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comments9.xml" ContentType="application/vnd.openxmlformats-officedocument.spreadsheetml.comment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comments6.xml" ContentType="application/vnd.openxmlformats-officedocument.spreadsheetml.comments+xml"/>
  <Override PartName="/xl/comments7.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omments4.xml" ContentType="application/vnd.openxmlformats-officedocument.spreadsheetml.comments+xml"/>
  <Override PartName="/xl/comments5.xml" ContentType="application/vnd.openxmlformats-officedocument.spreadsheetml.comments+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2370" yWindow="-150" windowWidth="20730" windowHeight="11730" activeTab="2"/>
  </bookViews>
  <sheets>
    <sheet name="7PSourceSummary" sheetId="10" r:id="rId1"/>
    <sheet name="forRPM" sheetId="18" r:id="rId2"/>
    <sheet name="SC-New" sheetId="9" r:id="rId3"/>
    <sheet name="SC-NR" sheetId="8" r:id="rId4"/>
    <sheet name="M_Input_Out" sheetId="15" r:id="rId5"/>
    <sheet name="M_Input" sheetId="3" r:id="rId6"/>
    <sheet name="Segmented" sheetId="23" r:id="rId7"/>
    <sheet name="Weighting" sheetId="22" r:id="rId8"/>
    <sheet name="Compiled" sheetId="21" r:id="rId9"/>
    <sheet name="Raw" sheetId="1" r:id="rId10"/>
    <sheet name="WeightedSavings" sheetId="20" r:id="rId11"/>
    <sheet name="SavingsCalcs" sheetId="19" r:id="rId12"/>
    <sheet name="analysis" sheetId="25" r:id="rId13"/>
    <sheet name="AdjustedOutput" sheetId="24" r:id="rId14"/>
    <sheet name="SEEMoutput" sheetId="28" r:id="rId15"/>
    <sheet name="GSHPCostSources" sheetId="14" r:id="rId16"/>
    <sheet name="HP sizes&amp;costs" sheetId="26" r:id="rId17"/>
    <sheet name="Calibration" sheetId="27" r:id="rId18"/>
    <sheet name="(Tons) (Furnsize)" sheetId="29" r:id="rId19"/>
  </sheets>
  <externalReferences>
    <externalReference r:id="rId20"/>
    <externalReference r:id="rId21"/>
    <externalReference r:id="rId22"/>
  </externalReferences>
  <definedNames>
    <definedName name="_xlnm._FilterDatabase" localSheetId="15" hidden="1">GSHPCostSources!$A$3:$K$113</definedName>
    <definedName name="_Key1" localSheetId="18" hidden="1">#REF!</definedName>
    <definedName name="_Key1" localSheetId="0" hidden="1">#REF!</definedName>
    <definedName name="_Key1" localSheetId="17" hidden="1">#REF!</definedName>
    <definedName name="_Key1" localSheetId="1" hidden="1">#REF!</definedName>
    <definedName name="_Key1" localSheetId="2" hidden="1">#REF!</definedName>
    <definedName name="_Key1" localSheetId="3" hidden="1">#REF!</definedName>
    <definedName name="_Key1" localSheetId="14" hidden="1">#REF!</definedName>
    <definedName name="_Key1" hidden="1">#REF!</definedName>
    <definedName name="_Order1" hidden="1">255</definedName>
    <definedName name="_Sort" localSheetId="18" hidden="1">#REF!</definedName>
    <definedName name="_Sort" localSheetId="0" hidden="1">#REF!</definedName>
    <definedName name="_Sort" localSheetId="17" hidden="1">#REF!</definedName>
    <definedName name="_Sort" localSheetId="1" hidden="1">#REF!</definedName>
    <definedName name="_Sort" localSheetId="2" hidden="1">#REF!</definedName>
    <definedName name="_Sort" localSheetId="3" hidden="1">#REF!</definedName>
    <definedName name="_Sort" localSheetId="14" hidden="1">#REF!</definedName>
    <definedName name="_Sort" hidden="1">#REF!</definedName>
    <definedName name="anscount" hidden="1">1</definedName>
    <definedName name="CBWorkbookPriority" hidden="1">-738590518</definedName>
    <definedName name="limcount" hidden="1">1</definedName>
    <definedName name="MeasureOutput">M_Input_Out!$A$4:$AM$100</definedName>
    <definedName name="ResBase">'[1]Res Forecast (Base Case)'!$C$14:$BD$61</definedName>
    <definedName name="sencount" hidden="1">1</definedName>
    <definedName name="sort" hidden="1">#REF!</definedName>
  </definedNames>
  <calcPr calcId="125725"/>
</workbook>
</file>

<file path=xl/calcChain.xml><?xml version="1.0" encoding="utf-8"?>
<calcChain xmlns="http://schemas.openxmlformats.org/spreadsheetml/2006/main">
  <c r="D9" i="9"/>
  <c r="D8"/>
  <c r="D9" i="8"/>
  <c r="D8"/>
  <c r="C51"/>
  <c r="J236" i="24"/>
  <c r="H193"/>
  <c r="I193" s="1"/>
  <c r="F268"/>
  <c r="G268" s="1"/>
  <c r="H268" s="1"/>
  <c r="I268" s="1"/>
  <c r="E268"/>
  <c r="D268"/>
  <c r="B268"/>
  <c r="A268"/>
  <c r="G267"/>
  <c r="H267" s="1"/>
  <c r="I267" s="1"/>
  <c r="F267"/>
  <c r="E267"/>
  <c r="D267"/>
  <c r="B267"/>
  <c r="A267"/>
  <c r="F266"/>
  <c r="E266"/>
  <c r="D266"/>
  <c r="B266"/>
  <c r="A266"/>
  <c r="F265"/>
  <c r="G265" s="1"/>
  <c r="H265" s="1"/>
  <c r="I265" s="1"/>
  <c r="E265"/>
  <c r="D265"/>
  <c r="J265" s="1"/>
  <c r="B265"/>
  <c r="A265"/>
  <c r="F264"/>
  <c r="E264"/>
  <c r="D264"/>
  <c r="B264"/>
  <c r="A264"/>
  <c r="G263"/>
  <c r="H263" s="1"/>
  <c r="I263" s="1"/>
  <c r="F263"/>
  <c r="E263"/>
  <c r="D263"/>
  <c r="B263"/>
  <c r="A263"/>
  <c r="F262"/>
  <c r="G262" s="1"/>
  <c r="H262" s="1"/>
  <c r="I262" s="1"/>
  <c r="E262"/>
  <c r="D262"/>
  <c r="B262"/>
  <c r="A262"/>
  <c r="F261"/>
  <c r="G261" s="1"/>
  <c r="H261" s="1"/>
  <c r="I261" s="1"/>
  <c r="E261"/>
  <c r="D261"/>
  <c r="B261"/>
  <c r="A261"/>
  <c r="F260"/>
  <c r="E260"/>
  <c r="D260"/>
  <c r="B260"/>
  <c r="A260"/>
  <c r="G259"/>
  <c r="H259" s="1"/>
  <c r="I259" s="1"/>
  <c r="F259"/>
  <c r="E259"/>
  <c r="D259"/>
  <c r="J259" s="1"/>
  <c r="B259"/>
  <c r="A259"/>
  <c r="F258"/>
  <c r="G258" s="1"/>
  <c r="H258" s="1"/>
  <c r="I258" s="1"/>
  <c r="E258"/>
  <c r="D258"/>
  <c r="B258"/>
  <c r="A258"/>
  <c r="F257"/>
  <c r="G257" s="1"/>
  <c r="H257" s="1"/>
  <c r="I257" s="1"/>
  <c r="E257"/>
  <c r="D257"/>
  <c r="B257"/>
  <c r="A257"/>
  <c r="F256"/>
  <c r="G256" s="1"/>
  <c r="H256" s="1"/>
  <c r="I256" s="1"/>
  <c r="E256"/>
  <c r="D256"/>
  <c r="B256"/>
  <c r="A256"/>
  <c r="G255"/>
  <c r="H255" s="1"/>
  <c r="I255" s="1"/>
  <c r="F255"/>
  <c r="E255"/>
  <c r="D255"/>
  <c r="B255"/>
  <c r="A255"/>
  <c r="F254"/>
  <c r="E254"/>
  <c r="D254"/>
  <c r="B254"/>
  <c r="A254"/>
  <c r="F253"/>
  <c r="G253" s="1"/>
  <c r="H253" s="1"/>
  <c r="I253" s="1"/>
  <c r="E253"/>
  <c r="D253"/>
  <c r="B253"/>
  <c r="A253"/>
  <c r="F252"/>
  <c r="G252" s="1"/>
  <c r="H252" s="1"/>
  <c r="I252" s="1"/>
  <c r="E252"/>
  <c r="D252"/>
  <c r="B252"/>
  <c r="A252"/>
  <c r="G251"/>
  <c r="H251" s="1"/>
  <c r="I251" s="1"/>
  <c r="F251"/>
  <c r="E251"/>
  <c r="D251"/>
  <c r="B251"/>
  <c r="A251"/>
  <c r="F250"/>
  <c r="E250"/>
  <c r="D250"/>
  <c r="B250"/>
  <c r="A250"/>
  <c r="G249"/>
  <c r="H249" s="1"/>
  <c r="I249" s="1"/>
  <c r="F249"/>
  <c r="E249"/>
  <c r="D249"/>
  <c r="J249" s="1"/>
  <c r="B249"/>
  <c r="A249"/>
  <c r="F248"/>
  <c r="E248"/>
  <c r="D248"/>
  <c r="B248"/>
  <c r="A248"/>
  <c r="G247"/>
  <c r="H247" s="1"/>
  <c r="I247" s="1"/>
  <c r="F247"/>
  <c r="E247"/>
  <c r="D247"/>
  <c r="B247"/>
  <c r="A247"/>
  <c r="F246"/>
  <c r="G246" s="1"/>
  <c r="H246" s="1"/>
  <c r="I246" s="1"/>
  <c r="E246"/>
  <c r="D246"/>
  <c r="B246"/>
  <c r="A246"/>
  <c r="F245"/>
  <c r="G245" s="1"/>
  <c r="H245" s="1"/>
  <c r="I245" s="1"/>
  <c r="E245"/>
  <c r="D245"/>
  <c r="B245"/>
  <c r="A245"/>
  <c r="F244"/>
  <c r="E244"/>
  <c r="D244"/>
  <c r="B244"/>
  <c r="A244"/>
  <c r="G243"/>
  <c r="H243" s="1"/>
  <c r="I243" s="1"/>
  <c r="F243"/>
  <c r="E243"/>
  <c r="D243"/>
  <c r="J243" s="1"/>
  <c r="B243"/>
  <c r="A243"/>
  <c r="F242"/>
  <c r="G242" s="1"/>
  <c r="H242" s="1"/>
  <c r="I242" s="1"/>
  <c r="E242"/>
  <c r="D242"/>
  <c r="B242"/>
  <c r="A242"/>
  <c r="G241"/>
  <c r="H241" s="1"/>
  <c r="I241" s="1"/>
  <c r="F241"/>
  <c r="E241"/>
  <c r="D241"/>
  <c r="B241"/>
  <c r="A241"/>
  <c r="F240"/>
  <c r="G240" s="1"/>
  <c r="H240" s="1"/>
  <c r="I240" s="1"/>
  <c r="E240"/>
  <c r="D240"/>
  <c r="B240"/>
  <c r="A240"/>
  <c r="G239"/>
  <c r="H239" s="1"/>
  <c r="I239" s="1"/>
  <c r="F239"/>
  <c r="E239"/>
  <c r="D239"/>
  <c r="B239"/>
  <c r="A239"/>
  <c r="F238"/>
  <c r="E238"/>
  <c r="D238"/>
  <c r="B238"/>
  <c r="A238"/>
  <c r="F237"/>
  <c r="G237" s="1"/>
  <c r="H237" s="1"/>
  <c r="I237" s="1"/>
  <c r="E237"/>
  <c r="D237"/>
  <c r="B237"/>
  <c r="A237"/>
  <c r="F236"/>
  <c r="G236" s="1"/>
  <c r="H236" s="1"/>
  <c r="I236" s="1"/>
  <c r="E236"/>
  <c r="D236"/>
  <c r="B236"/>
  <c r="A236"/>
  <c r="F235"/>
  <c r="E235"/>
  <c r="D235"/>
  <c r="B235"/>
  <c r="A235"/>
  <c r="F234"/>
  <c r="E234"/>
  <c r="D234"/>
  <c r="B234"/>
  <c r="A234"/>
  <c r="G233"/>
  <c r="H233" s="1"/>
  <c r="I233" s="1"/>
  <c r="F233"/>
  <c r="J233" s="1"/>
  <c r="E233"/>
  <c r="D233"/>
  <c r="B233"/>
  <c r="A233"/>
  <c r="F232"/>
  <c r="E232"/>
  <c r="D232"/>
  <c r="B232"/>
  <c r="A232"/>
  <c r="G231"/>
  <c r="H231" s="1"/>
  <c r="I231" s="1"/>
  <c r="F231"/>
  <c r="E231"/>
  <c r="D231"/>
  <c r="B231"/>
  <c r="A231"/>
  <c r="F230"/>
  <c r="G230" s="1"/>
  <c r="H230" s="1"/>
  <c r="I230" s="1"/>
  <c r="E230"/>
  <c r="D230"/>
  <c r="B230"/>
  <c r="A230"/>
  <c r="F229"/>
  <c r="G229" s="1"/>
  <c r="H229" s="1"/>
  <c r="I229" s="1"/>
  <c r="E229"/>
  <c r="D229"/>
  <c r="B229"/>
  <c r="A229"/>
  <c r="F228"/>
  <c r="E228"/>
  <c r="D228"/>
  <c r="B228"/>
  <c r="A228"/>
  <c r="F227"/>
  <c r="G227" s="1"/>
  <c r="H227" s="1"/>
  <c r="I227" s="1"/>
  <c r="E227"/>
  <c r="D227"/>
  <c r="J227" s="1"/>
  <c r="B227"/>
  <c r="A227"/>
  <c r="F226"/>
  <c r="G226" s="1"/>
  <c r="H226" s="1"/>
  <c r="I226" s="1"/>
  <c r="E226"/>
  <c r="D226"/>
  <c r="B226"/>
  <c r="A226"/>
  <c r="G225"/>
  <c r="H225" s="1"/>
  <c r="I225" s="1"/>
  <c r="F225"/>
  <c r="E225"/>
  <c r="D225"/>
  <c r="B225"/>
  <c r="A225"/>
  <c r="F224"/>
  <c r="G224" s="1"/>
  <c r="H224" s="1"/>
  <c r="I224" s="1"/>
  <c r="E224"/>
  <c r="D224"/>
  <c r="B224"/>
  <c r="A224"/>
  <c r="G223"/>
  <c r="H223" s="1"/>
  <c r="I223" s="1"/>
  <c r="F223"/>
  <c r="E223"/>
  <c r="D223"/>
  <c r="B223"/>
  <c r="A223"/>
  <c r="F222"/>
  <c r="E222"/>
  <c r="D222"/>
  <c r="B222"/>
  <c r="A222"/>
  <c r="F221"/>
  <c r="G221" s="1"/>
  <c r="H221" s="1"/>
  <c r="I221" s="1"/>
  <c r="E221"/>
  <c r="D221"/>
  <c r="B221"/>
  <c r="A221"/>
  <c r="F220"/>
  <c r="G220" s="1"/>
  <c r="H220" s="1"/>
  <c r="I220" s="1"/>
  <c r="E220"/>
  <c r="D220"/>
  <c r="B220"/>
  <c r="A220"/>
  <c r="F219"/>
  <c r="E219"/>
  <c r="D219"/>
  <c r="B219"/>
  <c r="A219"/>
  <c r="F218"/>
  <c r="E218"/>
  <c r="D218"/>
  <c r="B218"/>
  <c r="A218"/>
  <c r="G217"/>
  <c r="H217" s="1"/>
  <c r="I217" s="1"/>
  <c r="F217"/>
  <c r="E217"/>
  <c r="D217"/>
  <c r="J217" s="1"/>
  <c r="B217"/>
  <c r="A217"/>
  <c r="F216"/>
  <c r="E216"/>
  <c r="D216"/>
  <c r="B216"/>
  <c r="A216"/>
  <c r="G215"/>
  <c r="H215" s="1"/>
  <c r="I215" s="1"/>
  <c r="F215"/>
  <c r="E215"/>
  <c r="D215"/>
  <c r="B215"/>
  <c r="A215"/>
  <c r="F214"/>
  <c r="G214" s="1"/>
  <c r="H214" s="1"/>
  <c r="I214" s="1"/>
  <c r="E214"/>
  <c r="D214"/>
  <c r="B214"/>
  <c r="A214"/>
  <c r="F213"/>
  <c r="G213" s="1"/>
  <c r="H213" s="1"/>
  <c r="I213" s="1"/>
  <c r="E213"/>
  <c r="D213"/>
  <c r="B213"/>
  <c r="A213"/>
  <c r="F212"/>
  <c r="E212"/>
  <c r="D212"/>
  <c r="B212"/>
  <c r="A212"/>
  <c r="F211"/>
  <c r="G211" s="1"/>
  <c r="H211" s="1"/>
  <c r="I211" s="1"/>
  <c r="E211"/>
  <c r="D211"/>
  <c r="J211" s="1"/>
  <c r="B211"/>
  <c r="A211"/>
  <c r="F210"/>
  <c r="G210" s="1"/>
  <c r="H210" s="1"/>
  <c r="I210" s="1"/>
  <c r="E210"/>
  <c r="D210"/>
  <c r="B210"/>
  <c r="A210"/>
  <c r="G209"/>
  <c r="H209" s="1"/>
  <c r="I209" s="1"/>
  <c r="F209"/>
  <c r="E209"/>
  <c r="D209"/>
  <c r="B209"/>
  <c r="A209"/>
  <c r="F208"/>
  <c r="G208" s="1"/>
  <c r="H208" s="1"/>
  <c r="I208" s="1"/>
  <c r="E208"/>
  <c r="D208"/>
  <c r="B208"/>
  <c r="A208"/>
  <c r="G207"/>
  <c r="H207" s="1"/>
  <c r="I207" s="1"/>
  <c r="F207"/>
  <c r="E207"/>
  <c r="D207"/>
  <c r="B207"/>
  <c r="A207"/>
  <c r="F206"/>
  <c r="E206"/>
  <c r="D206"/>
  <c r="B206"/>
  <c r="A206"/>
  <c r="F205"/>
  <c r="G205" s="1"/>
  <c r="H205" s="1"/>
  <c r="I205" s="1"/>
  <c r="E205"/>
  <c r="D205"/>
  <c r="B205"/>
  <c r="A205"/>
  <c r="F204"/>
  <c r="G204" s="1"/>
  <c r="H204" s="1"/>
  <c r="I204" s="1"/>
  <c r="E204"/>
  <c r="D204"/>
  <c r="B204"/>
  <c r="A204"/>
  <c r="F203"/>
  <c r="E203"/>
  <c r="D203"/>
  <c r="B203"/>
  <c r="A203"/>
  <c r="F202"/>
  <c r="E202"/>
  <c r="D202"/>
  <c r="B202"/>
  <c r="A202"/>
  <c r="G201"/>
  <c r="H201" s="1"/>
  <c r="I201" s="1"/>
  <c r="F201"/>
  <c r="J201" s="1"/>
  <c r="E201"/>
  <c r="D201"/>
  <c r="B201"/>
  <c r="A201"/>
  <c r="F200"/>
  <c r="E200"/>
  <c r="D200"/>
  <c r="B200"/>
  <c r="A200"/>
  <c r="G199"/>
  <c r="H199" s="1"/>
  <c r="I199" s="1"/>
  <c r="F199"/>
  <c r="E199"/>
  <c r="D199"/>
  <c r="B199"/>
  <c r="A199"/>
  <c r="F198"/>
  <c r="G198" s="1"/>
  <c r="H198" s="1"/>
  <c r="I198" s="1"/>
  <c r="E198"/>
  <c r="D198"/>
  <c r="B198"/>
  <c r="A198"/>
  <c r="F197"/>
  <c r="G197" s="1"/>
  <c r="H197" s="1"/>
  <c r="I197" s="1"/>
  <c r="E197"/>
  <c r="D197"/>
  <c r="B197"/>
  <c r="A197"/>
  <c r="F196"/>
  <c r="E196"/>
  <c r="D196"/>
  <c r="B196"/>
  <c r="A196"/>
  <c r="F195"/>
  <c r="G195" s="1"/>
  <c r="H195" s="1"/>
  <c r="I195" s="1"/>
  <c r="E195"/>
  <c r="D195"/>
  <c r="J195" s="1"/>
  <c r="B195"/>
  <c r="A195"/>
  <c r="F194"/>
  <c r="G194" s="1"/>
  <c r="H194" s="1"/>
  <c r="I194" s="1"/>
  <c r="E194"/>
  <c r="D194"/>
  <c r="B194"/>
  <c r="A194"/>
  <c r="G193"/>
  <c r="F193"/>
  <c r="E193"/>
  <c r="D193"/>
  <c r="B193"/>
  <c r="A193"/>
  <c r="F192"/>
  <c r="G192" s="1"/>
  <c r="H192" s="1"/>
  <c r="I192" s="1"/>
  <c r="E192"/>
  <c r="D192"/>
  <c r="B192"/>
  <c r="A192"/>
  <c r="G191"/>
  <c r="H191" s="1"/>
  <c r="I191" s="1"/>
  <c r="F191"/>
  <c r="E191"/>
  <c r="D191"/>
  <c r="B191"/>
  <c r="A191"/>
  <c r="F190"/>
  <c r="E190"/>
  <c r="D190"/>
  <c r="B190"/>
  <c r="A190"/>
  <c r="F189"/>
  <c r="G189" s="1"/>
  <c r="H189" s="1"/>
  <c r="I189" s="1"/>
  <c r="E189"/>
  <c r="D189"/>
  <c r="B189"/>
  <c r="A189"/>
  <c r="F188"/>
  <c r="G188" s="1"/>
  <c r="H188" s="1"/>
  <c r="I188" s="1"/>
  <c r="E188"/>
  <c r="D188"/>
  <c r="B188"/>
  <c r="A188"/>
  <c r="F187"/>
  <c r="E187"/>
  <c r="D187"/>
  <c r="B187"/>
  <c r="A187"/>
  <c r="F186"/>
  <c r="E186"/>
  <c r="D186"/>
  <c r="B186"/>
  <c r="A186"/>
  <c r="G185"/>
  <c r="H185" s="1"/>
  <c r="I185" s="1"/>
  <c r="F185"/>
  <c r="E185"/>
  <c r="D185"/>
  <c r="J185" s="1"/>
  <c r="B185"/>
  <c r="A185"/>
  <c r="F184"/>
  <c r="E184"/>
  <c r="D184"/>
  <c r="B184"/>
  <c r="A184"/>
  <c r="G183"/>
  <c r="H183" s="1"/>
  <c r="I183" s="1"/>
  <c r="F183"/>
  <c r="E183"/>
  <c r="D183"/>
  <c r="B183"/>
  <c r="A183"/>
  <c r="F182"/>
  <c r="G182" s="1"/>
  <c r="H182" s="1"/>
  <c r="I182" s="1"/>
  <c r="E182"/>
  <c r="D182"/>
  <c r="B182"/>
  <c r="A182"/>
  <c r="F181"/>
  <c r="G181" s="1"/>
  <c r="H181" s="1"/>
  <c r="I181" s="1"/>
  <c r="E181"/>
  <c r="D181"/>
  <c r="B181"/>
  <c r="A181"/>
  <c r="F180"/>
  <c r="E180"/>
  <c r="D180"/>
  <c r="B180"/>
  <c r="A180"/>
  <c r="F179"/>
  <c r="G179" s="1"/>
  <c r="H179" s="1"/>
  <c r="I179" s="1"/>
  <c r="E179"/>
  <c r="D179"/>
  <c r="J179" s="1"/>
  <c r="B179"/>
  <c r="A179"/>
  <c r="F178"/>
  <c r="G178" s="1"/>
  <c r="H178" s="1"/>
  <c r="I178" s="1"/>
  <c r="E178"/>
  <c r="D178"/>
  <c r="B178"/>
  <c r="A178"/>
  <c r="G177"/>
  <c r="H177" s="1"/>
  <c r="I177" s="1"/>
  <c r="F177"/>
  <c r="E177"/>
  <c r="D177"/>
  <c r="B177"/>
  <c r="A177"/>
  <c r="F176"/>
  <c r="G176" s="1"/>
  <c r="H176" s="1"/>
  <c r="I176" s="1"/>
  <c r="E176"/>
  <c r="D176"/>
  <c r="B176"/>
  <c r="A176"/>
  <c r="G175"/>
  <c r="H175" s="1"/>
  <c r="I175" s="1"/>
  <c r="F175"/>
  <c r="E175"/>
  <c r="D175"/>
  <c r="B175"/>
  <c r="A175"/>
  <c r="F174"/>
  <c r="E174"/>
  <c r="D174"/>
  <c r="B174"/>
  <c r="A174"/>
  <c r="F173"/>
  <c r="G173" s="1"/>
  <c r="H173" s="1"/>
  <c r="I173" s="1"/>
  <c r="E173"/>
  <c r="D173"/>
  <c r="B173"/>
  <c r="A173"/>
  <c r="F172"/>
  <c r="G172" s="1"/>
  <c r="H172" s="1"/>
  <c r="I172" s="1"/>
  <c r="E172"/>
  <c r="D172"/>
  <c r="B172"/>
  <c r="A172"/>
  <c r="F171"/>
  <c r="E171"/>
  <c r="D171"/>
  <c r="B171"/>
  <c r="A171"/>
  <c r="F170"/>
  <c r="E170"/>
  <c r="D170"/>
  <c r="B170"/>
  <c r="A170"/>
  <c r="G169"/>
  <c r="H169" s="1"/>
  <c r="I169" s="1"/>
  <c r="F169"/>
  <c r="J169" s="1"/>
  <c r="E169"/>
  <c r="D169"/>
  <c r="B169"/>
  <c r="A169"/>
  <c r="F168"/>
  <c r="E168"/>
  <c r="D168"/>
  <c r="B168"/>
  <c r="A168"/>
  <c r="G167"/>
  <c r="H167" s="1"/>
  <c r="I167" s="1"/>
  <c r="F167"/>
  <c r="E167"/>
  <c r="D167"/>
  <c r="B167"/>
  <c r="A167"/>
  <c r="F166"/>
  <c r="G166" s="1"/>
  <c r="H166" s="1"/>
  <c r="I166" s="1"/>
  <c r="E166"/>
  <c r="D166"/>
  <c r="B166"/>
  <c r="A166"/>
  <c r="F165"/>
  <c r="G165" s="1"/>
  <c r="H165" s="1"/>
  <c r="I165" s="1"/>
  <c r="E165"/>
  <c r="D165"/>
  <c r="B165"/>
  <c r="A165"/>
  <c r="F164"/>
  <c r="E164"/>
  <c r="D164"/>
  <c r="B164"/>
  <c r="A164"/>
  <c r="F163"/>
  <c r="G163" s="1"/>
  <c r="H163" s="1"/>
  <c r="I163" s="1"/>
  <c r="E163"/>
  <c r="D163"/>
  <c r="J163" s="1"/>
  <c r="B163"/>
  <c r="A163"/>
  <c r="F162"/>
  <c r="G162" s="1"/>
  <c r="H162" s="1"/>
  <c r="I162" s="1"/>
  <c r="E162"/>
  <c r="D162"/>
  <c r="B162"/>
  <c r="A162"/>
  <c r="G161"/>
  <c r="H161" s="1"/>
  <c r="I161" s="1"/>
  <c r="F161"/>
  <c r="E161"/>
  <c r="D161"/>
  <c r="B161"/>
  <c r="A161"/>
  <c r="F160"/>
  <c r="G160" s="1"/>
  <c r="H160" s="1"/>
  <c r="I160" s="1"/>
  <c r="E160"/>
  <c r="D160"/>
  <c r="B160"/>
  <c r="A160"/>
  <c r="G159"/>
  <c r="H159" s="1"/>
  <c r="I159" s="1"/>
  <c r="F159"/>
  <c r="E159"/>
  <c r="D159"/>
  <c r="B159"/>
  <c r="A159"/>
  <c r="F158"/>
  <c r="E158"/>
  <c r="D158"/>
  <c r="B158"/>
  <c r="A158"/>
  <c r="F157"/>
  <c r="G157" s="1"/>
  <c r="H157" s="1"/>
  <c r="I157" s="1"/>
  <c r="E157"/>
  <c r="D157"/>
  <c r="B157"/>
  <c r="A157"/>
  <c r="F156"/>
  <c r="G156" s="1"/>
  <c r="H156" s="1"/>
  <c r="I156" s="1"/>
  <c r="E156"/>
  <c r="D156"/>
  <c r="B156"/>
  <c r="A156"/>
  <c r="F155"/>
  <c r="E155"/>
  <c r="D155"/>
  <c r="B155"/>
  <c r="A155"/>
  <c r="F154"/>
  <c r="E154"/>
  <c r="D154"/>
  <c r="B154"/>
  <c r="A154"/>
  <c r="G153"/>
  <c r="H153" s="1"/>
  <c r="I153" s="1"/>
  <c r="F153"/>
  <c r="E153"/>
  <c r="D153"/>
  <c r="J153" s="1"/>
  <c r="B153"/>
  <c r="A153"/>
  <c r="F152"/>
  <c r="E152"/>
  <c r="D152"/>
  <c r="B152"/>
  <c r="A152"/>
  <c r="G151"/>
  <c r="H151" s="1"/>
  <c r="I151" s="1"/>
  <c r="F151"/>
  <c r="E151"/>
  <c r="D151"/>
  <c r="B151"/>
  <c r="A151"/>
  <c r="F150"/>
  <c r="G150" s="1"/>
  <c r="H150" s="1"/>
  <c r="I150" s="1"/>
  <c r="E150"/>
  <c r="D150"/>
  <c r="B150"/>
  <c r="A150"/>
  <c r="F149"/>
  <c r="G149" s="1"/>
  <c r="H149" s="1"/>
  <c r="I149" s="1"/>
  <c r="E149"/>
  <c r="D149"/>
  <c r="B149"/>
  <c r="A149"/>
  <c r="F148"/>
  <c r="E148"/>
  <c r="D148"/>
  <c r="B148"/>
  <c r="A148"/>
  <c r="F147"/>
  <c r="G147" s="1"/>
  <c r="H147" s="1"/>
  <c r="I147" s="1"/>
  <c r="E147"/>
  <c r="D147"/>
  <c r="J147" s="1"/>
  <c r="B147"/>
  <c r="A147"/>
  <c r="F146"/>
  <c r="G146" s="1"/>
  <c r="H146" s="1"/>
  <c r="I146" s="1"/>
  <c r="E146"/>
  <c r="D146"/>
  <c r="B146"/>
  <c r="A146"/>
  <c r="G145"/>
  <c r="H145" s="1"/>
  <c r="I145" s="1"/>
  <c r="F145"/>
  <c r="E145"/>
  <c r="D145"/>
  <c r="B145"/>
  <c r="A145"/>
  <c r="F144"/>
  <c r="G144" s="1"/>
  <c r="H144" s="1"/>
  <c r="I144" s="1"/>
  <c r="E144"/>
  <c r="D144"/>
  <c r="B144"/>
  <c r="A144"/>
  <c r="F143"/>
  <c r="G143" s="1"/>
  <c r="H143" s="1"/>
  <c r="I143" s="1"/>
  <c r="E143"/>
  <c r="D143"/>
  <c r="B143"/>
  <c r="A143"/>
  <c r="F142"/>
  <c r="E142"/>
  <c r="D142"/>
  <c r="B142"/>
  <c r="A142"/>
  <c r="F141"/>
  <c r="E141"/>
  <c r="D141"/>
  <c r="B141"/>
  <c r="A141"/>
  <c r="F140"/>
  <c r="G140" s="1"/>
  <c r="H140" s="1"/>
  <c r="I140" s="1"/>
  <c r="E140"/>
  <c r="D140"/>
  <c r="B140"/>
  <c r="A140"/>
  <c r="F139"/>
  <c r="J139" s="1"/>
  <c r="E139"/>
  <c r="D139"/>
  <c r="B139"/>
  <c r="A139"/>
  <c r="F138"/>
  <c r="E138"/>
  <c r="D138"/>
  <c r="B138"/>
  <c r="A138"/>
  <c r="F137"/>
  <c r="G137" s="1"/>
  <c r="H137" s="1"/>
  <c r="I137" s="1"/>
  <c r="E137"/>
  <c r="D137"/>
  <c r="B137"/>
  <c r="A137"/>
  <c r="F136"/>
  <c r="E136"/>
  <c r="D136"/>
  <c r="B136"/>
  <c r="A136"/>
  <c r="F135"/>
  <c r="G135" s="1"/>
  <c r="H135" s="1"/>
  <c r="I135" s="1"/>
  <c r="E135"/>
  <c r="D135"/>
  <c r="B135"/>
  <c r="A135"/>
  <c r="F134"/>
  <c r="G134" s="1"/>
  <c r="H134" s="1"/>
  <c r="I134" s="1"/>
  <c r="E134"/>
  <c r="D134"/>
  <c r="B134"/>
  <c r="A134"/>
  <c r="F133"/>
  <c r="G133" s="1"/>
  <c r="H133" s="1"/>
  <c r="I133" s="1"/>
  <c r="E133"/>
  <c r="D133"/>
  <c r="B133"/>
  <c r="A133"/>
  <c r="F132"/>
  <c r="E132"/>
  <c r="D132"/>
  <c r="B132"/>
  <c r="A132"/>
  <c r="F131"/>
  <c r="G131" s="1"/>
  <c r="H131" s="1"/>
  <c r="I131" s="1"/>
  <c r="E131"/>
  <c r="D131"/>
  <c r="B131"/>
  <c r="A131"/>
  <c r="F130"/>
  <c r="G130" s="1"/>
  <c r="H130" s="1"/>
  <c r="I130" s="1"/>
  <c r="E130"/>
  <c r="D130"/>
  <c r="B130"/>
  <c r="A130"/>
  <c r="F129"/>
  <c r="J129" s="1"/>
  <c r="E129"/>
  <c r="D129"/>
  <c r="B129"/>
  <c r="A129"/>
  <c r="F128"/>
  <c r="G128" s="1"/>
  <c r="H128" s="1"/>
  <c r="I128" s="1"/>
  <c r="E128"/>
  <c r="D128"/>
  <c r="B128"/>
  <c r="A128"/>
  <c r="F127"/>
  <c r="E127"/>
  <c r="D127"/>
  <c r="B127"/>
  <c r="A127"/>
  <c r="F126"/>
  <c r="E126"/>
  <c r="D126"/>
  <c r="B126"/>
  <c r="A126"/>
  <c r="G125"/>
  <c r="H125" s="1"/>
  <c r="I125" s="1"/>
  <c r="F125"/>
  <c r="J125" s="1"/>
  <c r="E125"/>
  <c r="D125"/>
  <c r="B125"/>
  <c r="A125"/>
  <c r="F124"/>
  <c r="G124" s="1"/>
  <c r="H124" s="1"/>
  <c r="I124" s="1"/>
  <c r="E124"/>
  <c r="D124"/>
  <c r="B124"/>
  <c r="A124"/>
  <c r="F123"/>
  <c r="E123"/>
  <c r="D123"/>
  <c r="B123"/>
  <c r="A123"/>
  <c r="F122"/>
  <c r="E122"/>
  <c r="D122"/>
  <c r="B122"/>
  <c r="A122"/>
  <c r="F121"/>
  <c r="J121" s="1"/>
  <c r="E121"/>
  <c r="D121"/>
  <c r="B121"/>
  <c r="A121"/>
  <c r="F120"/>
  <c r="E120"/>
  <c r="D120"/>
  <c r="B120"/>
  <c r="A120"/>
  <c r="F119"/>
  <c r="G119" s="1"/>
  <c r="H119" s="1"/>
  <c r="I119" s="1"/>
  <c r="E119"/>
  <c r="D119"/>
  <c r="B119"/>
  <c r="A119"/>
  <c r="F118"/>
  <c r="G118" s="1"/>
  <c r="H118" s="1"/>
  <c r="I118" s="1"/>
  <c r="E118"/>
  <c r="D118"/>
  <c r="B118"/>
  <c r="A118"/>
  <c r="G117"/>
  <c r="H117" s="1"/>
  <c r="I117" s="1"/>
  <c r="F117"/>
  <c r="E117"/>
  <c r="D117"/>
  <c r="B117"/>
  <c r="A117"/>
  <c r="F116"/>
  <c r="J116" s="1"/>
  <c r="E116"/>
  <c r="D116"/>
  <c r="B116"/>
  <c r="A116"/>
  <c r="G115"/>
  <c r="H115" s="1"/>
  <c r="I115" s="1"/>
  <c r="F115"/>
  <c r="E115"/>
  <c r="D115"/>
  <c r="B115"/>
  <c r="A115"/>
  <c r="F114"/>
  <c r="J114" s="1"/>
  <c r="E114"/>
  <c r="D114"/>
  <c r="B114"/>
  <c r="A114"/>
  <c r="G113"/>
  <c r="H113" s="1"/>
  <c r="I113" s="1"/>
  <c r="F113"/>
  <c r="E113"/>
  <c r="D113"/>
  <c r="B113"/>
  <c r="A113"/>
  <c r="F112"/>
  <c r="J112" s="1"/>
  <c r="E112"/>
  <c r="D112"/>
  <c r="B112"/>
  <c r="A112"/>
  <c r="G111"/>
  <c r="H111" s="1"/>
  <c r="I111" s="1"/>
  <c r="F111"/>
  <c r="J111" s="1"/>
  <c r="E111"/>
  <c r="D111"/>
  <c r="B111"/>
  <c r="A111"/>
  <c r="F110"/>
  <c r="J110" s="1"/>
  <c r="E110"/>
  <c r="D110"/>
  <c r="B110"/>
  <c r="A110"/>
  <c r="G109"/>
  <c r="H109" s="1"/>
  <c r="I109" s="1"/>
  <c r="F109"/>
  <c r="E109"/>
  <c r="D109"/>
  <c r="B109"/>
  <c r="A109"/>
  <c r="F108"/>
  <c r="J108" s="1"/>
  <c r="E108"/>
  <c r="D108"/>
  <c r="B108"/>
  <c r="A108"/>
  <c r="G107"/>
  <c r="H107" s="1"/>
  <c r="I107" s="1"/>
  <c r="F107"/>
  <c r="E107"/>
  <c r="D107"/>
  <c r="B107"/>
  <c r="A107"/>
  <c r="F106"/>
  <c r="J106" s="1"/>
  <c r="E106"/>
  <c r="D106"/>
  <c r="B106"/>
  <c r="A106"/>
  <c r="G105"/>
  <c r="H105" s="1"/>
  <c r="I105" s="1"/>
  <c r="F105"/>
  <c r="J105" s="1"/>
  <c r="E105"/>
  <c r="D105"/>
  <c r="B105"/>
  <c r="A105"/>
  <c r="F104"/>
  <c r="J104" s="1"/>
  <c r="E104"/>
  <c r="D104"/>
  <c r="B104"/>
  <c r="A104"/>
  <c r="G103"/>
  <c r="H103" s="1"/>
  <c r="I103" s="1"/>
  <c r="F103"/>
  <c r="E103"/>
  <c r="D103"/>
  <c r="B103"/>
  <c r="A103"/>
  <c r="F102"/>
  <c r="J102" s="1"/>
  <c r="E102"/>
  <c r="D102"/>
  <c r="B102"/>
  <c r="A102"/>
  <c r="G101"/>
  <c r="H101" s="1"/>
  <c r="I101" s="1"/>
  <c r="F101"/>
  <c r="E101"/>
  <c r="D101"/>
  <c r="B101"/>
  <c r="A101"/>
  <c r="F100"/>
  <c r="J100" s="1"/>
  <c r="E100"/>
  <c r="D100"/>
  <c r="B100"/>
  <c r="A100"/>
  <c r="G99"/>
  <c r="H99" s="1"/>
  <c r="I99" s="1"/>
  <c r="F99"/>
  <c r="E99"/>
  <c r="D99"/>
  <c r="B99"/>
  <c r="A99"/>
  <c r="F98"/>
  <c r="J98" s="1"/>
  <c r="E98"/>
  <c r="D98"/>
  <c r="B98"/>
  <c r="A98"/>
  <c r="G97"/>
  <c r="H97" s="1"/>
  <c r="I97" s="1"/>
  <c r="F97"/>
  <c r="E97"/>
  <c r="D97"/>
  <c r="B97"/>
  <c r="A97"/>
  <c r="F96"/>
  <c r="J96" s="1"/>
  <c r="E96"/>
  <c r="D96"/>
  <c r="B96"/>
  <c r="A96"/>
  <c r="G95"/>
  <c r="H95" s="1"/>
  <c r="I95" s="1"/>
  <c r="F95"/>
  <c r="E95"/>
  <c r="D95"/>
  <c r="B95"/>
  <c r="A95"/>
  <c r="F94"/>
  <c r="J94" s="1"/>
  <c r="E94"/>
  <c r="D94"/>
  <c r="B94"/>
  <c r="A94"/>
  <c r="G93"/>
  <c r="H93" s="1"/>
  <c r="I93" s="1"/>
  <c r="F93"/>
  <c r="E93"/>
  <c r="D93"/>
  <c r="B93"/>
  <c r="A93"/>
  <c r="F92"/>
  <c r="J92" s="1"/>
  <c r="E92"/>
  <c r="D92"/>
  <c r="B92"/>
  <c r="A92"/>
  <c r="G91"/>
  <c r="H91" s="1"/>
  <c r="I91" s="1"/>
  <c r="F91"/>
  <c r="E91"/>
  <c r="D91"/>
  <c r="B91"/>
  <c r="A91"/>
  <c r="F90"/>
  <c r="J90" s="1"/>
  <c r="E90"/>
  <c r="D90"/>
  <c r="B90"/>
  <c r="A90"/>
  <c r="G89"/>
  <c r="H89" s="1"/>
  <c r="I89" s="1"/>
  <c r="F89"/>
  <c r="E89"/>
  <c r="D89"/>
  <c r="B89"/>
  <c r="A89"/>
  <c r="F88"/>
  <c r="J88" s="1"/>
  <c r="E88"/>
  <c r="D88"/>
  <c r="B88"/>
  <c r="A88"/>
  <c r="G87"/>
  <c r="H87" s="1"/>
  <c r="I87" s="1"/>
  <c r="F87"/>
  <c r="E87"/>
  <c r="D87"/>
  <c r="B87"/>
  <c r="A87"/>
  <c r="F86"/>
  <c r="J86" s="1"/>
  <c r="E86"/>
  <c r="D86"/>
  <c r="B86"/>
  <c r="A86"/>
  <c r="G85"/>
  <c r="H85" s="1"/>
  <c r="I85" s="1"/>
  <c r="F85"/>
  <c r="E85"/>
  <c r="D85"/>
  <c r="B85"/>
  <c r="A85"/>
  <c r="F84"/>
  <c r="J84" s="1"/>
  <c r="E84"/>
  <c r="D84"/>
  <c r="B84"/>
  <c r="A84"/>
  <c r="G83"/>
  <c r="H83" s="1"/>
  <c r="I83" s="1"/>
  <c r="F83"/>
  <c r="E83"/>
  <c r="D83"/>
  <c r="B83"/>
  <c r="A83"/>
  <c r="F82"/>
  <c r="J82" s="1"/>
  <c r="E82"/>
  <c r="D82"/>
  <c r="B82"/>
  <c r="A82"/>
  <c r="G81"/>
  <c r="H81" s="1"/>
  <c r="I81" s="1"/>
  <c r="F81"/>
  <c r="E81"/>
  <c r="D81"/>
  <c r="B81"/>
  <c r="A81"/>
  <c r="F80"/>
  <c r="J80" s="1"/>
  <c r="E80"/>
  <c r="D80"/>
  <c r="B80"/>
  <c r="A80"/>
  <c r="G79"/>
  <c r="H79" s="1"/>
  <c r="I79" s="1"/>
  <c r="F79"/>
  <c r="E79"/>
  <c r="D79"/>
  <c r="J79" s="1"/>
  <c r="B79"/>
  <c r="A79"/>
  <c r="F78"/>
  <c r="J78" s="1"/>
  <c r="E78"/>
  <c r="D78"/>
  <c r="B78"/>
  <c r="A78"/>
  <c r="G77"/>
  <c r="H77" s="1"/>
  <c r="I77" s="1"/>
  <c r="F77"/>
  <c r="E77"/>
  <c r="D77"/>
  <c r="B77"/>
  <c r="A77"/>
  <c r="F76"/>
  <c r="J76" s="1"/>
  <c r="E76"/>
  <c r="D76"/>
  <c r="B76"/>
  <c r="A76"/>
  <c r="G75"/>
  <c r="H75" s="1"/>
  <c r="I75" s="1"/>
  <c r="F75"/>
  <c r="E75"/>
  <c r="D75"/>
  <c r="B75"/>
  <c r="A75"/>
  <c r="F74"/>
  <c r="J74" s="1"/>
  <c r="E74"/>
  <c r="D74"/>
  <c r="B74"/>
  <c r="A74"/>
  <c r="G73"/>
  <c r="H73" s="1"/>
  <c r="I73" s="1"/>
  <c r="F73"/>
  <c r="E73"/>
  <c r="D73"/>
  <c r="J73" s="1"/>
  <c r="B73"/>
  <c r="A73"/>
  <c r="F72"/>
  <c r="J72" s="1"/>
  <c r="E72"/>
  <c r="D72"/>
  <c r="B72"/>
  <c r="A72"/>
  <c r="G71"/>
  <c r="H71" s="1"/>
  <c r="I71" s="1"/>
  <c r="F71"/>
  <c r="E71"/>
  <c r="D71"/>
  <c r="B71"/>
  <c r="A71"/>
  <c r="F70"/>
  <c r="J70" s="1"/>
  <c r="E70"/>
  <c r="D70"/>
  <c r="B70"/>
  <c r="A70"/>
  <c r="G69"/>
  <c r="H69" s="1"/>
  <c r="I69" s="1"/>
  <c r="F69"/>
  <c r="E69"/>
  <c r="D69"/>
  <c r="B69"/>
  <c r="A69"/>
  <c r="F68"/>
  <c r="J68" s="1"/>
  <c r="E68"/>
  <c r="D68"/>
  <c r="B68"/>
  <c r="A68"/>
  <c r="G67"/>
  <c r="H67" s="1"/>
  <c r="I67" s="1"/>
  <c r="F67"/>
  <c r="E67"/>
  <c r="D67"/>
  <c r="B67"/>
  <c r="A67"/>
  <c r="F66"/>
  <c r="J66" s="1"/>
  <c r="E66"/>
  <c r="D66"/>
  <c r="B66"/>
  <c r="A66"/>
  <c r="G65"/>
  <c r="H65" s="1"/>
  <c r="I65" s="1"/>
  <c r="F65"/>
  <c r="E65"/>
  <c r="D65"/>
  <c r="B65"/>
  <c r="A65"/>
  <c r="F64"/>
  <c r="J64" s="1"/>
  <c r="E64"/>
  <c r="D64"/>
  <c r="B64"/>
  <c r="A64"/>
  <c r="G63"/>
  <c r="H63" s="1"/>
  <c r="I63" s="1"/>
  <c r="F63"/>
  <c r="E63"/>
  <c r="D63"/>
  <c r="B63"/>
  <c r="A63"/>
  <c r="F62"/>
  <c r="J62" s="1"/>
  <c r="E62"/>
  <c r="D62"/>
  <c r="B62"/>
  <c r="A62"/>
  <c r="G61"/>
  <c r="H61" s="1"/>
  <c r="I61" s="1"/>
  <c r="F61"/>
  <c r="E61"/>
  <c r="D61"/>
  <c r="B61"/>
  <c r="A61"/>
  <c r="F60"/>
  <c r="J60" s="1"/>
  <c r="E60"/>
  <c r="D60"/>
  <c r="B60"/>
  <c r="A60"/>
  <c r="G59"/>
  <c r="H59" s="1"/>
  <c r="I59" s="1"/>
  <c r="F59"/>
  <c r="E59"/>
  <c r="D59"/>
  <c r="B59"/>
  <c r="A59"/>
  <c r="F58"/>
  <c r="J58" s="1"/>
  <c r="E58"/>
  <c r="D58"/>
  <c r="B58"/>
  <c r="A58"/>
  <c r="G57"/>
  <c r="H57" s="1"/>
  <c r="I57" s="1"/>
  <c r="F57"/>
  <c r="E57"/>
  <c r="D57"/>
  <c r="B57"/>
  <c r="A57"/>
  <c r="F56"/>
  <c r="J56" s="1"/>
  <c r="E56"/>
  <c r="D56"/>
  <c r="B56"/>
  <c r="A56"/>
  <c r="G55"/>
  <c r="H55" s="1"/>
  <c r="I55" s="1"/>
  <c r="F55"/>
  <c r="E55"/>
  <c r="D55"/>
  <c r="B55"/>
  <c r="A55"/>
  <c r="F54"/>
  <c r="J54" s="1"/>
  <c r="E54"/>
  <c r="D54"/>
  <c r="B54"/>
  <c r="A54"/>
  <c r="G53"/>
  <c r="H53" s="1"/>
  <c r="I53" s="1"/>
  <c r="F53"/>
  <c r="E53"/>
  <c r="D53"/>
  <c r="B53"/>
  <c r="A53"/>
  <c r="F52"/>
  <c r="J52" s="1"/>
  <c r="E52"/>
  <c r="D52"/>
  <c r="B52"/>
  <c r="A52"/>
  <c r="G51"/>
  <c r="H51" s="1"/>
  <c r="I51" s="1"/>
  <c r="F51"/>
  <c r="E51"/>
  <c r="D51"/>
  <c r="B51"/>
  <c r="A51"/>
  <c r="F50"/>
  <c r="J50" s="1"/>
  <c r="E50"/>
  <c r="D50"/>
  <c r="B50"/>
  <c r="A50"/>
  <c r="G49"/>
  <c r="H49" s="1"/>
  <c r="I49" s="1"/>
  <c r="F49"/>
  <c r="E49"/>
  <c r="D49"/>
  <c r="B49"/>
  <c r="A49"/>
  <c r="F48"/>
  <c r="J48" s="1"/>
  <c r="E48"/>
  <c r="D48"/>
  <c r="B48"/>
  <c r="A48"/>
  <c r="G47"/>
  <c r="H47" s="1"/>
  <c r="I47" s="1"/>
  <c r="F47"/>
  <c r="E47"/>
  <c r="D47"/>
  <c r="J47" s="1"/>
  <c r="B47"/>
  <c r="A47"/>
  <c r="F46"/>
  <c r="J46" s="1"/>
  <c r="E46"/>
  <c r="D46"/>
  <c r="B46"/>
  <c r="A46"/>
  <c r="G45"/>
  <c r="H45" s="1"/>
  <c r="I45" s="1"/>
  <c r="F45"/>
  <c r="E45"/>
  <c r="D45"/>
  <c r="B45"/>
  <c r="A45"/>
  <c r="F44"/>
  <c r="J44" s="1"/>
  <c r="E44"/>
  <c r="D44"/>
  <c r="B44"/>
  <c r="A44"/>
  <c r="G43"/>
  <c r="H43" s="1"/>
  <c r="I43" s="1"/>
  <c r="F43"/>
  <c r="E43"/>
  <c r="D43"/>
  <c r="B43"/>
  <c r="A43"/>
  <c r="F42"/>
  <c r="J42" s="1"/>
  <c r="E42"/>
  <c r="D42"/>
  <c r="B42"/>
  <c r="A42"/>
  <c r="G41"/>
  <c r="H41" s="1"/>
  <c r="I41" s="1"/>
  <c r="F41"/>
  <c r="E41"/>
  <c r="D41"/>
  <c r="J41" s="1"/>
  <c r="B41"/>
  <c r="A41"/>
  <c r="F40"/>
  <c r="J40" s="1"/>
  <c r="E40"/>
  <c r="D40"/>
  <c r="B40"/>
  <c r="A40"/>
  <c r="G39"/>
  <c r="H39" s="1"/>
  <c r="I39" s="1"/>
  <c r="F39"/>
  <c r="E39"/>
  <c r="D39"/>
  <c r="B39"/>
  <c r="A39"/>
  <c r="F38"/>
  <c r="J38" s="1"/>
  <c r="E38"/>
  <c r="D38"/>
  <c r="B38"/>
  <c r="A38"/>
  <c r="G37"/>
  <c r="H37" s="1"/>
  <c r="I37" s="1"/>
  <c r="F37"/>
  <c r="E37"/>
  <c r="D37"/>
  <c r="B37"/>
  <c r="A37"/>
  <c r="F36"/>
  <c r="J36" s="1"/>
  <c r="E36"/>
  <c r="D36"/>
  <c r="B36"/>
  <c r="A36"/>
  <c r="G35"/>
  <c r="H35" s="1"/>
  <c r="I35" s="1"/>
  <c r="F35"/>
  <c r="E35"/>
  <c r="D35"/>
  <c r="B35"/>
  <c r="A35"/>
  <c r="F34"/>
  <c r="J34" s="1"/>
  <c r="E34"/>
  <c r="D34"/>
  <c r="B34"/>
  <c r="A34"/>
  <c r="G33"/>
  <c r="H33" s="1"/>
  <c r="I33" s="1"/>
  <c r="F33"/>
  <c r="E33"/>
  <c r="D33"/>
  <c r="B33"/>
  <c r="A33"/>
  <c r="F32"/>
  <c r="J32" s="1"/>
  <c r="E32"/>
  <c r="D32"/>
  <c r="B32"/>
  <c r="A32"/>
  <c r="G31"/>
  <c r="H31" s="1"/>
  <c r="I31" s="1"/>
  <c r="F31"/>
  <c r="E31"/>
  <c r="D31"/>
  <c r="B31"/>
  <c r="A31"/>
  <c r="F30"/>
  <c r="J30" s="1"/>
  <c r="E30"/>
  <c r="D30"/>
  <c r="B30"/>
  <c r="A30"/>
  <c r="G29"/>
  <c r="H29" s="1"/>
  <c r="I29" s="1"/>
  <c r="F29"/>
  <c r="E29"/>
  <c r="D29"/>
  <c r="B29"/>
  <c r="A29"/>
  <c r="F28"/>
  <c r="J28" s="1"/>
  <c r="E28"/>
  <c r="D28"/>
  <c r="B28"/>
  <c r="A28"/>
  <c r="G27"/>
  <c r="H27" s="1"/>
  <c r="I27" s="1"/>
  <c r="F27"/>
  <c r="E27"/>
  <c r="D27"/>
  <c r="B27"/>
  <c r="A27"/>
  <c r="F26"/>
  <c r="J26" s="1"/>
  <c r="E26"/>
  <c r="D26"/>
  <c r="B26"/>
  <c r="A26"/>
  <c r="G25"/>
  <c r="H25" s="1"/>
  <c r="I25" s="1"/>
  <c r="F25"/>
  <c r="E25"/>
  <c r="D25"/>
  <c r="B25"/>
  <c r="A25"/>
  <c r="F24"/>
  <c r="J24" s="1"/>
  <c r="E24"/>
  <c r="D24"/>
  <c r="B24"/>
  <c r="A24"/>
  <c r="G23"/>
  <c r="H23" s="1"/>
  <c r="I23" s="1"/>
  <c r="F23"/>
  <c r="E23"/>
  <c r="D23"/>
  <c r="B23"/>
  <c r="A23"/>
  <c r="F22"/>
  <c r="J22" s="1"/>
  <c r="E22"/>
  <c r="D22"/>
  <c r="B22"/>
  <c r="A22"/>
  <c r="G21"/>
  <c r="H21" s="1"/>
  <c r="I21" s="1"/>
  <c r="F21"/>
  <c r="E21"/>
  <c r="D21"/>
  <c r="B21"/>
  <c r="A21"/>
  <c r="F20"/>
  <c r="J20" s="1"/>
  <c r="E20"/>
  <c r="D20"/>
  <c r="B20"/>
  <c r="A20"/>
  <c r="G19"/>
  <c r="H19" s="1"/>
  <c r="I19" s="1"/>
  <c r="F19"/>
  <c r="E19"/>
  <c r="D19"/>
  <c r="B19"/>
  <c r="A19"/>
  <c r="F18"/>
  <c r="J18" s="1"/>
  <c r="E18"/>
  <c r="D18"/>
  <c r="B18"/>
  <c r="A18"/>
  <c r="G17"/>
  <c r="H17" s="1"/>
  <c r="I17" s="1"/>
  <c r="F17"/>
  <c r="E17"/>
  <c r="D17"/>
  <c r="B17"/>
  <c r="A17"/>
  <c r="F16"/>
  <c r="J16" s="1"/>
  <c r="E16"/>
  <c r="D16"/>
  <c r="B16"/>
  <c r="A16"/>
  <c r="G15"/>
  <c r="H15" s="1"/>
  <c r="I15" s="1"/>
  <c r="F15"/>
  <c r="E15"/>
  <c r="D15"/>
  <c r="J15" s="1"/>
  <c r="B15"/>
  <c r="A15"/>
  <c r="F14"/>
  <c r="J14" s="1"/>
  <c r="E14"/>
  <c r="D14"/>
  <c r="B14"/>
  <c r="A14"/>
  <c r="G13"/>
  <c r="H13" s="1"/>
  <c r="I13" s="1"/>
  <c r="F13"/>
  <c r="E13"/>
  <c r="D13"/>
  <c r="B13"/>
  <c r="A13"/>
  <c r="F12"/>
  <c r="J12" s="1"/>
  <c r="E12"/>
  <c r="D12"/>
  <c r="B12"/>
  <c r="A12"/>
  <c r="G11"/>
  <c r="H11" s="1"/>
  <c r="I11" s="1"/>
  <c r="F11"/>
  <c r="E11"/>
  <c r="D11"/>
  <c r="B11"/>
  <c r="A11"/>
  <c r="F10"/>
  <c r="J10" s="1"/>
  <c r="E10"/>
  <c r="D10"/>
  <c r="B10"/>
  <c r="A10"/>
  <c r="G9"/>
  <c r="H9" s="1"/>
  <c r="I9" s="1"/>
  <c r="F9"/>
  <c r="E9"/>
  <c r="D9"/>
  <c r="B9"/>
  <c r="A9"/>
  <c r="F8"/>
  <c r="J8" s="1"/>
  <c r="E8"/>
  <c r="D8"/>
  <c r="B8"/>
  <c r="A8"/>
  <c r="G7"/>
  <c r="H7" s="1"/>
  <c r="I7" s="1"/>
  <c r="F7"/>
  <c r="E7"/>
  <c r="D7"/>
  <c r="B7"/>
  <c r="A7"/>
  <c r="F6"/>
  <c r="J6" s="1"/>
  <c r="E6"/>
  <c r="D6"/>
  <c r="B6"/>
  <c r="A6"/>
  <c r="G5"/>
  <c r="H5" s="1"/>
  <c r="I5" s="1"/>
  <c r="F5"/>
  <c r="E5"/>
  <c r="D5"/>
  <c r="B5"/>
  <c r="A5"/>
  <c r="C113" i="29"/>
  <c r="C112"/>
  <c r="C111"/>
  <c r="C110"/>
  <c r="C109"/>
  <c r="C108"/>
  <c r="C107"/>
  <c r="C106"/>
  <c r="C105"/>
  <c r="C104"/>
  <c r="C103"/>
  <c r="C102"/>
  <c r="C101"/>
  <c r="C100"/>
  <c r="C99"/>
  <c r="C98"/>
  <c r="C97"/>
  <c r="C96"/>
  <c r="C95"/>
  <c r="C94"/>
  <c r="C93"/>
  <c r="C92"/>
  <c r="C91"/>
  <c r="C90"/>
  <c r="C89"/>
  <c r="C88"/>
  <c r="C87"/>
  <c r="C86"/>
  <c r="C85"/>
  <c r="C84"/>
  <c r="C83"/>
  <c r="C82"/>
  <c r="C81"/>
  <c r="C80"/>
  <c r="C79"/>
  <c r="C78"/>
  <c r="C77"/>
  <c r="C76"/>
  <c r="C75"/>
  <c r="C74"/>
  <c r="C73"/>
  <c r="C72"/>
  <c r="C71"/>
  <c r="C70"/>
  <c r="C69"/>
  <c r="C68"/>
  <c r="C67"/>
  <c r="C66"/>
  <c r="C65"/>
  <c r="C64"/>
  <c r="C63"/>
  <c r="C62"/>
  <c r="C61"/>
  <c r="C60"/>
  <c r="C59"/>
  <c r="C58"/>
  <c r="C57"/>
  <c r="C56"/>
  <c r="C55"/>
  <c r="C54"/>
  <c r="C53"/>
  <c r="C52"/>
  <c r="C51"/>
  <c r="C50"/>
  <c r="C49"/>
  <c r="C48"/>
  <c r="C47"/>
  <c r="C46"/>
  <c r="C45"/>
  <c r="C44"/>
  <c r="C43"/>
  <c r="C42"/>
  <c r="C41"/>
  <c r="C40"/>
  <c r="C39"/>
  <c r="C38"/>
  <c r="C37"/>
  <c r="O9"/>
  <c r="P9" s="1"/>
  <c r="M9"/>
  <c r="P8"/>
  <c r="O8"/>
  <c r="M8"/>
  <c r="P7"/>
  <c r="O7"/>
  <c r="M7"/>
  <c r="O6"/>
  <c r="P6" s="1"/>
  <c r="M6"/>
  <c r="D6"/>
  <c r="C6"/>
  <c r="P5"/>
  <c r="O5"/>
  <c r="M5"/>
  <c r="D5"/>
  <c r="C5"/>
  <c r="P4"/>
  <c r="O4"/>
  <c r="M4"/>
  <c r="D4"/>
  <c r="C4"/>
  <c r="P3"/>
  <c r="O3"/>
  <c r="M3"/>
  <c r="M10" s="1"/>
  <c r="D3"/>
  <c r="C3"/>
  <c r="G6" i="24" l="1"/>
  <c r="H6" s="1"/>
  <c r="I6" s="1"/>
  <c r="G8"/>
  <c r="H8" s="1"/>
  <c r="I8" s="1"/>
  <c r="G10"/>
  <c r="H10" s="1"/>
  <c r="I10" s="1"/>
  <c r="G12"/>
  <c r="H12" s="1"/>
  <c r="I12" s="1"/>
  <c r="G14"/>
  <c r="H14" s="1"/>
  <c r="I14" s="1"/>
  <c r="G16"/>
  <c r="H16" s="1"/>
  <c r="I16" s="1"/>
  <c r="G18"/>
  <c r="H18" s="1"/>
  <c r="I18" s="1"/>
  <c r="G20"/>
  <c r="H20" s="1"/>
  <c r="I20" s="1"/>
  <c r="G22"/>
  <c r="H22" s="1"/>
  <c r="I22" s="1"/>
  <c r="G24"/>
  <c r="H24" s="1"/>
  <c r="I24" s="1"/>
  <c r="G26"/>
  <c r="H26" s="1"/>
  <c r="I26" s="1"/>
  <c r="G28"/>
  <c r="H28" s="1"/>
  <c r="I28" s="1"/>
  <c r="G30"/>
  <c r="H30" s="1"/>
  <c r="I30" s="1"/>
  <c r="G32"/>
  <c r="H32" s="1"/>
  <c r="I32" s="1"/>
  <c r="G34"/>
  <c r="H34" s="1"/>
  <c r="I34" s="1"/>
  <c r="G36"/>
  <c r="H36" s="1"/>
  <c r="I36" s="1"/>
  <c r="G38"/>
  <c r="H38" s="1"/>
  <c r="I38" s="1"/>
  <c r="G40"/>
  <c r="H40" s="1"/>
  <c r="I40" s="1"/>
  <c r="G42"/>
  <c r="H42" s="1"/>
  <c r="I42" s="1"/>
  <c r="G44"/>
  <c r="H44" s="1"/>
  <c r="I44" s="1"/>
  <c r="G46"/>
  <c r="H46" s="1"/>
  <c r="I46" s="1"/>
  <c r="G48"/>
  <c r="H48" s="1"/>
  <c r="I48" s="1"/>
  <c r="G50"/>
  <c r="H50" s="1"/>
  <c r="I50" s="1"/>
  <c r="G52"/>
  <c r="H52" s="1"/>
  <c r="I52" s="1"/>
  <c r="G54"/>
  <c r="H54" s="1"/>
  <c r="I54" s="1"/>
  <c r="G56"/>
  <c r="H56" s="1"/>
  <c r="I56" s="1"/>
  <c r="G58"/>
  <c r="H58" s="1"/>
  <c r="I58" s="1"/>
  <c r="G60"/>
  <c r="H60" s="1"/>
  <c r="I60" s="1"/>
  <c r="G62"/>
  <c r="H62" s="1"/>
  <c r="I62" s="1"/>
  <c r="G64"/>
  <c r="H64" s="1"/>
  <c r="I64" s="1"/>
  <c r="G66"/>
  <c r="H66" s="1"/>
  <c r="I66" s="1"/>
  <c r="G68"/>
  <c r="H68" s="1"/>
  <c r="I68" s="1"/>
  <c r="G70"/>
  <c r="H70" s="1"/>
  <c r="I70" s="1"/>
  <c r="G72"/>
  <c r="H72" s="1"/>
  <c r="I72" s="1"/>
  <c r="G74"/>
  <c r="H74" s="1"/>
  <c r="I74" s="1"/>
  <c r="G76"/>
  <c r="H76" s="1"/>
  <c r="I76" s="1"/>
  <c r="G78"/>
  <c r="H78" s="1"/>
  <c r="I78" s="1"/>
  <c r="G80"/>
  <c r="H80" s="1"/>
  <c r="I80" s="1"/>
  <c r="G82"/>
  <c r="H82" s="1"/>
  <c r="I82" s="1"/>
  <c r="G84"/>
  <c r="H84" s="1"/>
  <c r="I84" s="1"/>
  <c r="G86"/>
  <c r="H86" s="1"/>
  <c r="I86" s="1"/>
  <c r="G88"/>
  <c r="H88" s="1"/>
  <c r="I88" s="1"/>
  <c r="G90"/>
  <c r="H90" s="1"/>
  <c r="I90" s="1"/>
  <c r="G92"/>
  <c r="H92" s="1"/>
  <c r="I92" s="1"/>
  <c r="G94"/>
  <c r="H94" s="1"/>
  <c r="I94" s="1"/>
  <c r="G96"/>
  <c r="H96" s="1"/>
  <c r="I96" s="1"/>
  <c r="G98"/>
  <c r="H98" s="1"/>
  <c r="I98" s="1"/>
  <c r="G100"/>
  <c r="H100" s="1"/>
  <c r="I100" s="1"/>
  <c r="G102"/>
  <c r="H102" s="1"/>
  <c r="I102" s="1"/>
  <c r="G104"/>
  <c r="H104" s="1"/>
  <c r="I104" s="1"/>
  <c r="G106"/>
  <c r="H106" s="1"/>
  <c r="I106" s="1"/>
  <c r="G108"/>
  <c r="H108" s="1"/>
  <c r="I108" s="1"/>
  <c r="G110"/>
  <c r="H110" s="1"/>
  <c r="I110" s="1"/>
  <c r="G112"/>
  <c r="H112" s="1"/>
  <c r="I112" s="1"/>
  <c r="G114"/>
  <c r="H114" s="1"/>
  <c r="I114" s="1"/>
  <c r="G116"/>
  <c r="H116" s="1"/>
  <c r="I116" s="1"/>
  <c r="J123"/>
  <c r="J141"/>
  <c r="J155"/>
  <c r="J159"/>
  <c r="J171"/>
  <c r="J175"/>
  <c r="J187"/>
  <c r="J191"/>
  <c r="J203"/>
  <c r="J207"/>
  <c r="J219"/>
  <c r="J223"/>
  <c r="J235"/>
  <c r="J239"/>
  <c r="J251"/>
  <c r="J255"/>
  <c r="J267"/>
  <c r="J137"/>
  <c r="J242"/>
  <c r="J268"/>
  <c r="J178"/>
  <c r="J204"/>
  <c r="J210"/>
  <c r="J5"/>
  <c r="J7"/>
  <c r="J13"/>
  <c r="J19"/>
  <c r="J25"/>
  <c r="J29"/>
  <c r="J31"/>
  <c r="J35"/>
  <c r="J45"/>
  <c r="J51"/>
  <c r="J57"/>
  <c r="J61"/>
  <c r="J63"/>
  <c r="J67"/>
  <c r="J77"/>
  <c r="J83"/>
  <c r="J89"/>
  <c r="J93"/>
  <c r="J95"/>
  <c r="J99"/>
  <c r="J109"/>
  <c r="J115"/>
  <c r="J127"/>
  <c r="J140"/>
  <c r="G141"/>
  <c r="H141" s="1"/>
  <c r="I141" s="1"/>
  <c r="J143"/>
  <c r="J145"/>
  <c r="G155"/>
  <c r="H155" s="1"/>
  <c r="I155" s="1"/>
  <c r="J157"/>
  <c r="J161"/>
  <c r="G171"/>
  <c r="H171" s="1"/>
  <c r="I171" s="1"/>
  <c r="J173"/>
  <c r="J177"/>
  <c r="G187"/>
  <c r="H187" s="1"/>
  <c r="I187" s="1"/>
  <c r="J189"/>
  <c r="J193"/>
  <c r="G203"/>
  <c r="H203" s="1"/>
  <c r="I203" s="1"/>
  <c r="J205"/>
  <c r="J209"/>
  <c r="G219"/>
  <c r="H219" s="1"/>
  <c r="I219" s="1"/>
  <c r="J221"/>
  <c r="J225"/>
  <c r="G235"/>
  <c r="H235" s="1"/>
  <c r="I235" s="1"/>
  <c r="J237"/>
  <c r="J241"/>
  <c r="J253"/>
  <c r="J257"/>
  <c r="J146"/>
  <c r="J172"/>
  <c r="J120"/>
  <c r="G120"/>
  <c r="H120" s="1"/>
  <c r="I120" s="1"/>
  <c r="J136"/>
  <c r="G136"/>
  <c r="H136" s="1"/>
  <c r="I136" s="1"/>
  <c r="J152"/>
  <c r="G152"/>
  <c r="H152" s="1"/>
  <c r="I152" s="1"/>
  <c r="J168"/>
  <c r="G168"/>
  <c r="H168" s="1"/>
  <c r="I168" s="1"/>
  <c r="J184"/>
  <c r="G184"/>
  <c r="H184" s="1"/>
  <c r="I184" s="1"/>
  <c r="J200"/>
  <c r="G200"/>
  <c r="H200" s="1"/>
  <c r="I200" s="1"/>
  <c r="J216"/>
  <c r="G216"/>
  <c r="H216" s="1"/>
  <c r="I216" s="1"/>
  <c r="J232"/>
  <c r="G232"/>
  <c r="H232" s="1"/>
  <c r="I232" s="1"/>
  <c r="J248"/>
  <c r="G248"/>
  <c r="H248" s="1"/>
  <c r="I248" s="1"/>
  <c r="J264"/>
  <c r="G264"/>
  <c r="H264" s="1"/>
  <c r="I264" s="1"/>
  <c r="G122"/>
  <c r="H122" s="1"/>
  <c r="I122" s="1"/>
  <c r="J122"/>
  <c r="G138"/>
  <c r="H138" s="1"/>
  <c r="I138" s="1"/>
  <c r="J138"/>
  <c r="G154"/>
  <c r="H154" s="1"/>
  <c r="I154" s="1"/>
  <c r="J154"/>
  <c r="G170"/>
  <c r="H170" s="1"/>
  <c r="I170" s="1"/>
  <c r="J170"/>
  <c r="G186"/>
  <c r="H186" s="1"/>
  <c r="I186" s="1"/>
  <c r="J186"/>
  <c r="G202"/>
  <c r="H202" s="1"/>
  <c r="I202" s="1"/>
  <c r="J202"/>
  <c r="G218"/>
  <c r="H218" s="1"/>
  <c r="I218" s="1"/>
  <c r="J218"/>
  <c r="G234"/>
  <c r="H234" s="1"/>
  <c r="I234" s="1"/>
  <c r="J234"/>
  <c r="G250"/>
  <c r="H250" s="1"/>
  <c r="I250" s="1"/>
  <c r="J250"/>
  <c r="G266"/>
  <c r="H266" s="1"/>
  <c r="I266" s="1"/>
  <c r="J266"/>
  <c r="J9"/>
  <c r="J11"/>
  <c r="J17"/>
  <c r="J21"/>
  <c r="J23"/>
  <c r="J27"/>
  <c r="J33"/>
  <c r="J37"/>
  <c r="J39"/>
  <c r="J43"/>
  <c r="J49"/>
  <c r="J53"/>
  <c r="J55"/>
  <c r="J59"/>
  <c r="J65"/>
  <c r="J69"/>
  <c r="J71"/>
  <c r="J75"/>
  <c r="J81"/>
  <c r="J85"/>
  <c r="J87"/>
  <c r="J91"/>
  <c r="J97"/>
  <c r="J101"/>
  <c r="J103"/>
  <c r="J107"/>
  <c r="J113"/>
  <c r="J117"/>
  <c r="G127"/>
  <c r="H127" s="1"/>
  <c r="I127" s="1"/>
  <c r="J133"/>
  <c r="J149"/>
  <c r="J165"/>
  <c r="J181"/>
  <c r="J197"/>
  <c r="J213"/>
  <c r="J229"/>
  <c r="J245"/>
  <c r="J261"/>
  <c r="J128"/>
  <c r="J131"/>
  <c r="J134"/>
  <c r="J160"/>
  <c r="J166"/>
  <c r="J192"/>
  <c r="J198"/>
  <c r="J224"/>
  <c r="J230"/>
  <c r="J256"/>
  <c r="J262"/>
  <c r="G132"/>
  <c r="H132" s="1"/>
  <c r="I132" s="1"/>
  <c r="J132"/>
  <c r="G148"/>
  <c r="H148" s="1"/>
  <c r="I148" s="1"/>
  <c r="J148"/>
  <c r="G164"/>
  <c r="H164" s="1"/>
  <c r="I164" s="1"/>
  <c r="J164"/>
  <c r="G180"/>
  <c r="H180" s="1"/>
  <c r="I180" s="1"/>
  <c r="J180"/>
  <c r="G196"/>
  <c r="H196" s="1"/>
  <c r="I196" s="1"/>
  <c r="J196"/>
  <c r="G212"/>
  <c r="H212" s="1"/>
  <c r="I212" s="1"/>
  <c r="J212"/>
  <c r="G228"/>
  <c r="H228" s="1"/>
  <c r="I228" s="1"/>
  <c r="J228"/>
  <c r="G244"/>
  <c r="H244" s="1"/>
  <c r="I244" s="1"/>
  <c r="J244"/>
  <c r="G260"/>
  <c r="H260" s="1"/>
  <c r="I260" s="1"/>
  <c r="J260"/>
  <c r="J119"/>
  <c r="G121"/>
  <c r="H121" s="1"/>
  <c r="I121" s="1"/>
  <c r="G129"/>
  <c r="H129" s="1"/>
  <c r="I129" s="1"/>
  <c r="J135"/>
  <c r="J151"/>
  <c r="J167"/>
  <c r="J183"/>
  <c r="J199"/>
  <c r="J215"/>
  <c r="J231"/>
  <c r="J247"/>
  <c r="J263"/>
  <c r="J124"/>
  <c r="J130"/>
  <c r="J156"/>
  <c r="J162"/>
  <c r="J188"/>
  <c r="J194"/>
  <c r="J220"/>
  <c r="J226"/>
  <c r="J252"/>
  <c r="J258"/>
  <c r="J126"/>
  <c r="G126"/>
  <c r="H126" s="1"/>
  <c r="I126" s="1"/>
  <c r="J142"/>
  <c r="G142"/>
  <c r="H142" s="1"/>
  <c r="I142" s="1"/>
  <c r="J158"/>
  <c r="G158"/>
  <c r="H158" s="1"/>
  <c r="I158" s="1"/>
  <c r="J174"/>
  <c r="G174"/>
  <c r="H174" s="1"/>
  <c r="I174" s="1"/>
  <c r="J190"/>
  <c r="G190"/>
  <c r="H190" s="1"/>
  <c r="I190" s="1"/>
  <c r="J206"/>
  <c r="G206"/>
  <c r="H206" s="1"/>
  <c r="I206" s="1"/>
  <c r="J222"/>
  <c r="G222"/>
  <c r="H222" s="1"/>
  <c r="I222" s="1"/>
  <c r="J238"/>
  <c r="G238"/>
  <c r="H238" s="1"/>
  <c r="I238" s="1"/>
  <c r="J254"/>
  <c r="G254"/>
  <c r="H254" s="1"/>
  <c r="I254" s="1"/>
  <c r="G123"/>
  <c r="H123" s="1"/>
  <c r="I123" s="1"/>
  <c r="G139"/>
  <c r="H139" s="1"/>
  <c r="I139" s="1"/>
  <c r="J118"/>
  <c r="J144"/>
  <c r="J150"/>
  <c r="J176"/>
  <c r="J182"/>
  <c r="J208"/>
  <c r="J214"/>
  <c r="J240"/>
  <c r="J246"/>
  <c r="E4" i="29"/>
  <c r="F4" s="1"/>
  <c r="G4" s="1"/>
  <c r="H4" s="1"/>
  <c r="E5"/>
  <c r="E6"/>
  <c r="F6" s="1"/>
  <c r="G6" s="1"/>
  <c r="H6" s="1"/>
  <c r="E3"/>
  <c r="F3" s="1"/>
  <c r="F5"/>
  <c r="G5" s="1"/>
  <c r="H5" s="1"/>
  <c r="P10"/>
  <c r="F7" l="1"/>
  <c r="G7" s="1"/>
  <c r="H7" s="1"/>
  <c r="G3"/>
  <c r="H3" s="1"/>
  <c r="AC13" i="27" l="1"/>
  <c r="AC12"/>
  <c r="H12"/>
  <c r="AC11"/>
  <c r="H11"/>
  <c r="AC10"/>
  <c r="AC9"/>
  <c r="AC8"/>
  <c r="AC7"/>
  <c r="H7"/>
  <c r="E7"/>
  <c r="AC6"/>
  <c r="H6"/>
  <c r="F6"/>
  <c r="F7" s="1"/>
  <c r="E6"/>
  <c r="AC5"/>
  <c r="H5"/>
  <c r="AF4"/>
  <c r="AE4"/>
  <c r="I7" l="1"/>
  <c r="H9"/>
  <c r="H13"/>
  <c r="I6"/>
  <c r="AE6" s="1"/>
  <c r="F8"/>
  <c r="G7"/>
  <c r="AD7" s="1"/>
  <c r="H8"/>
  <c r="G6"/>
  <c r="AD6" s="1"/>
  <c r="AF7"/>
  <c r="E8"/>
  <c r="E9" s="1"/>
  <c r="E10" s="1"/>
  <c r="E11" s="1"/>
  <c r="I5"/>
  <c r="AE5" s="1"/>
  <c r="AE7"/>
  <c r="AF6"/>
  <c r="AG4"/>
  <c r="AF5"/>
  <c r="H10" l="1"/>
  <c r="F9"/>
  <c r="AG9" s="1"/>
  <c r="I11"/>
  <c r="E12"/>
  <c r="AG6"/>
  <c r="AG7"/>
  <c r="AG5"/>
  <c r="AH4"/>
  <c r="AG8"/>
  <c r="AF8"/>
  <c r="G5"/>
  <c r="AD5" s="1"/>
  <c r="I8" l="1"/>
  <c r="AE8" s="1"/>
  <c r="F10"/>
  <c r="AF9"/>
  <c r="AH7"/>
  <c r="AH5"/>
  <c r="AI4"/>
  <c r="AH9"/>
  <c r="AH6"/>
  <c r="AH10"/>
  <c r="AH8"/>
  <c r="I12"/>
  <c r="E13"/>
  <c r="I13" s="1"/>
  <c r="I9" l="1"/>
  <c r="AE9" s="1"/>
  <c r="I10"/>
  <c r="AE10" s="1"/>
  <c r="F11"/>
  <c r="AF10"/>
  <c r="AG10"/>
  <c r="AI9"/>
  <c r="AI8"/>
  <c r="AI10"/>
  <c r="AI7"/>
  <c r="AI6"/>
  <c r="AI5"/>
  <c r="AJ4"/>
  <c r="AJ10" l="1"/>
  <c r="AJ5"/>
  <c r="AK4"/>
  <c r="AJ11"/>
  <c r="AJ6"/>
  <c r="AJ9"/>
  <c r="AJ8"/>
  <c r="AJ12"/>
  <c r="AJ7"/>
  <c r="F12"/>
  <c r="G11"/>
  <c r="AD11"/>
  <c r="AE11"/>
  <c r="AF11"/>
  <c r="AG11"/>
  <c r="AH11"/>
  <c r="AI11"/>
  <c r="G8" l="1"/>
  <c r="AD8" s="1"/>
  <c r="AK11"/>
  <c r="AK6"/>
  <c r="AK8"/>
  <c r="AK12"/>
  <c r="AK10"/>
  <c r="AK5"/>
  <c r="AL4"/>
  <c r="AK9"/>
  <c r="AK7"/>
  <c r="F13"/>
  <c r="AK13" s="1"/>
  <c r="G12"/>
  <c r="AF12"/>
  <c r="AE12"/>
  <c r="AG12"/>
  <c r="AH12"/>
  <c r="AI12"/>
  <c r="G9" l="1"/>
  <c r="AD9" s="1"/>
  <c r="AD12"/>
  <c r="G13"/>
  <c r="AF13"/>
  <c r="AE13"/>
  <c r="AG13"/>
  <c r="AH13"/>
  <c r="AI13"/>
  <c r="AJ13"/>
  <c r="AL12"/>
  <c r="AL7"/>
  <c r="AL10"/>
  <c r="AM4"/>
  <c r="AL9"/>
  <c r="AL8"/>
  <c r="AL11"/>
  <c r="AL6"/>
  <c r="AL5"/>
  <c r="AL13"/>
  <c r="G10" l="1"/>
  <c r="AD10" s="1"/>
  <c r="AM13"/>
  <c r="AM9"/>
  <c r="AM8"/>
  <c r="AM11"/>
  <c r="AM10"/>
  <c r="AM5"/>
  <c r="AM12"/>
  <c r="AM7"/>
  <c r="AM6"/>
  <c r="AN4"/>
  <c r="AD13"/>
  <c r="AN10" l="1"/>
  <c r="AN5"/>
  <c r="AO4"/>
  <c r="AN11"/>
  <c r="AN6"/>
  <c r="AN13"/>
  <c r="AN9"/>
  <c r="AN8"/>
  <c r="AN12"/>
  <c r="AN7"/>
  <c r="AO11" l="1"/>
  <c r="AO6"/>
  <c r="AO13"/>
  <c r="AO9"/>
  <c r="AO7"/>
  <c r="AO10"/>
  <c r="AO5"/>
  <c r="AP4"/>
  <c r="AO8"/>
  <c r="AO12"/>
  <c r="AP12" l="1"/>
  <c r="AP7"/>
  <c r="AP10"/>
  <c r="AP5"/>
  <c r="AQ4"/>
  <c r="AP13"/>
  <c r="AP9"/>
  <c r="AP11"/>
  <c r="AP6"/>
  <c r="AP8"/>
  <c r="AQ13" l="1"/>
  <c r="AQ9"/>
  <c r="AQ8"/>
  <c r="AQ11"/>
  <c r="AQ10"/>
  <c r="AQ12"/>
  <c r="AQ7"/>
  <c r="AQ6"/>
  <c r="AQ5"/>
  <c r="AR4"/>
  <c r="AR10" l="1"/>
  <c r="AR5"/>
  <c r="AS4"/>
  <c r="AR11"/>
  <c r="AR6"/>
  <c r="AR13"/>
  <c r="AR9"/>
  <c r="AR8"/>
  <c r="AR12"/>
  <c r="AR7"/>
  <c r="AS11" l="1"/>
  <c r="AS6"/>
  <c r="AS12"/>
  <c r="AS7"/>
  <c r="AS10"/>
  <c r="AS5"/>
  <c r="AT4"/>
  <c r="AS13"/>
  <c r="AS9"/>
  <c r="AS8"/>
  <c r="AT12" l="1"/>
  <c r="AT7"/>
  <c r="AT13"/>
  <c r="AT9"/>
  <c r="AT8"/>
  <c r="AT11"/>
  <c r="AT6"/>
  <c r="AT10"/>
  <c r="AT5"/>
  <c r="H9" i="1" l="1"/>
  <c r="H10"/>
  <c r="H12"/>
  <c r="H13"/>
  <c r="H15"/>
  <c r="H16"/>
  <c r="H18"/>
  <c r="H19"/>
  <c r="H21"/>
  <c r="H22"/>
  <c r="H24"/>
  <c r="H25"/>
  <c r="H27"/>
  <c r="H28"/>
  <c r="H30"/>
  <c r="H31"/>
  <c r="H33"/>
  <c r="H34"/>
  <c r="H36"/>
  <c r="H37"/>
  <c r="H39"/>
  <c r="H40"/>
  <c r="H42"/>
  <c r="H43"/>
  <c r="H45"/>
  <c r="H46"/>
  <c r="H48"/>
  <c r="H49"/>
  <c r="H51"/>
  <c r="H52"/>
  <c r="H54"/>
  <c r="H55"/>
  <c r="H57"/>
  <c r="H58"/>
  <c r="H60"/>
  <c r="H61"/>
  <c r="A52" i="8"/>
  <c r="A53"/>
  <c r="A54"/>
  <c r="A44"/>
  <c r="A45"/>
  <c r="A46"/>
  <c r="AI40" i="26" l="1"/>
  <c r="AI47"/>
  <c r="AI46"/>
  <c r="AI44"/>
  <c r="AI42"/>
  <c r="A73" i="8"/>
  <c r="B72"/>
  <c r="J6" i="18"/>
  <c r="I6"/>
  <c r="J5"/>
  <c r="I5"/>
  <c r="C76" i="8"/>
  <c r="C75"/>
  <c r="B75"/>
  <c r="H5" i="18" s="1"/>
  <c r="B76" i="8"/>
  <c r="H6" i="18" s="1"/>
  <c r="A75" i="8"/>
  <c r="G5" i="18" s="1"/>
  <c r="A76" i="8"/>
  <c r="G6" i="18" s="1"/>
  <c r="D44" i="8"/>
  <c r="D45"/>
  <c r="D46"/>
  <c r="D54" s="1"/>
  <c r="D52"/>
  <c r="D53"/>
  <c r="H13" i="3" l="1"/>
  <c r="I13"/>
  <c r="J13"/>
  <c r="K13"/>
  <c r="L13"/>
  <c r="M13"/>
  <c r="N13"/>
  <c r="O13"/>
  <c r="I14"/>
  <c r="J14"/>
  <c r="K14"/>
  <c r="L14"/>
  <c r="M14"/>
  <c r="N14"/>
  <c r="O14"/>
  <c r="H15"/>
  <c r="I15"/>
  <c r="J15"/>
  <c r="K15"/>
  <c r="L15"/>
  <c r="M15"/>
  <c r="N15"/>
  <c r="O15"/>
  <c r="H16"/>
  <c r="I16"/>
  <c r="J16"/>
  <c r="K16"/>
  <c r="L16"/>
  <c r="M16"/>
  <c r="N16"/>
  <c r="O16"/>
  <c r="I17"/>
  <c r="J17"/>
  <c r="K17"/>
  <c r="L17"/>
  <c r="M17"/>
  <c r="N17"/>
  <c r="O17"/>
  <c r="H18"/>
  <c r="I18"/>
  <c r="J18"/>
  <c r="K18"/>
  <c r="L18"/>
  <c r="M18"/>
  <c r="N18"/>
  <c r="O18"/>
  <c r="H19"/>
  <c r="I19"/>
  <c r="J19"/>
  <c r="K19"/>
  <c r="L19"/>
  <c r="M19"/>
  <c r="N19"/>
  <c r="O19"/>
  <c r="O5" i="19" l="1"/>
  <c r="AD54" i="26" l="1"/>
  <c r="AC54"/>
  <c r="AB54"/>
  <c r="AA54"/>
  <c r="AF54" s="1"/>
  <c r="AO44"/>
  <c r="AD53"/>
  <c r="AC53"/>
  <c r="AB53"/>
  <c r="AA53"/>
  <c r="AF53" s="1"/>
  <c r="AD52"/>
  <c r="AC52"/>
  <c r="AB52"/>
  <c r="AA52"/>
  <c r="AF52" s="1"/>
  <c r="AO40"/>
  <c r="AD51"/>
  <c r="AC51"/>
  <c r="AB51"/>
  <c r="AA51"/>
  <c r="AF51" s="1"/>
  <c r="AP47"/>
  <c r="AP46"/>
  <c r="AO46"/>
  <c r="AP45"/>
  <c r="AP44"/>
  <c r="AI45"/>
  <c r="AP43"/>
  <c r="AP42"/>
  <c r="AO42"/>
  <c r="AI43"/>
  <c r="AP41"/>
  <c r="AP40"/>
  <c r="AM29"/>
  <c r="AC29"/>
  <c r="AA29"/>
  <c r="Y29"/>
  <c r="O29"/>
  <c r="AO29" s="1"/>
  <c r="I29"/>
  <c r="AD29" s="1"/>
  <c r="AE29" s="1"/>
  <c r="H29"/>
  <c r="AC28"/>
  <c r="AB28"/>
  <c r="AA28"/>
  <c r="Y28"/>
  <c r="O28"/>
  <c r="I28"/>
  <c r="AD28" s="1"/>
  <c r="AE28" s="1"/>
  <c r="H28"/>
  <c r="AM27"/>
  <c r="AH27"/>
  <c r="AC27"/>
  <c r="AA27"/>
  <c r="Y27"/>
  <c r="O27"/>
  <c r="AO27" s="1"/>
  <c r="I27"/>
  <c r="AD27" s="1"/>
  <c r="AE27" s="1"/>
  <c r="H27"/>
  <c r="AC26"/>
  <c r="AB26"/>
  <c r="AA26"/>
  <c r="Y26"/>
  <c r="O26"/>
  <c r="I26"/>
  <c r="AD26" s="1"/>
  <c r="AE26" s="1"/>
  <c r="H26"/>
  <c r="AM25"/>
  <c r="AC25"/>
  <c r="AA25"/>
  <c r="Y25"/>
  <c r="O25"/>
  <c r="AO25" s="1"/>
  <c r="I25"/>
  <c r="Z25" s="1"/>
  <c r="H25"/>
  <c r="AC24"/>
  <c r="AB24"/>
  <c r="AA24"/>
  <c r="Y24"/>
  <c r="O24"/>
  <c r="I24"/>
  <c r="AD24" s="1"/>
  <c r="AE24" s="1"/>
  <c r="H24"/>
  <c r="AM23"/>
  <c r="AC23"/>
  <c r="AA23"/>
  <c r="Y23"/>
  <c r="O23"/>
  <c r="AO23" s="1"/>
  <c r="I23"/>
  <c r="Z23" s="1"/>
  <c r="H23"/>
  <c r="AC22"/>
  <c r="AB22"/>
  <c r="AA22"/>
  <c r="Y22"/>
  <c r="O22"/>
  <c r="I22"/>
  <c r="AD22" s="1"/>
  <c r="AE22" s="1"/>
  <c r="H22"/>
  <c r="AM21"/>
  <c r="AC21"/>
  <c r="AA21"/>
  <c r="Y21"/>
  <c r="O21"/>
  <c r="AO21" s="1"/>
  <c r="I21"/>
  <c r="AD21" s="1"/>
  <c r="AE21" s="1"/>
  <c r="H21"/>
  <c r="AC20"/>
  <c r="AB20"/>
  <c r="AA20"/>
  <c r="Y20"/>
  <c r="O20"/>
  <c r="I20"/>
  <c r="AD20" s="1"/>
  <c r="AE20" s="1"/>
  <c r="H20"/>
  <c r="AM19"/>
  <c r="AC19"/>
  <c r="AA19"/>
  <c r="Y19"/>
  <c r="O19"/>
  <c r="AO19" s="1"/>
  <c r="I19"/>
  <c r="AD19" s="1"/>
  <c r="AE19" s="1"/>
  <c r="H19"/>
  <c r="AC18"/>
  <c r="AB18"/>
  <c r="AA18"/>
  <c r="Y18"/>
  <c r="O18"/>
  <c r="I18"/>
  <c r="AD18" s="1"/>
  <c r="AE18" s="1"/>
  <c r="H18"/>
  <c r="AN17"/>
  <c r="AM17"/>
  <c r="AC17"/>
  <c r="AA17"/>
  <c r="Y17"/>
  <c r="O17"/>
  <c r="AO17" s="1"/>
  <c r="I17"/>
  <c r="AD17" s="1"/>
  <c r="AE17" s="1"/>
  <c r="H17"/>
  <c r="AM16"/>
  <c r="AC16"/>
  <c r="AA16"/>
  <c r="Y16"/>
  <c r="O16"/>
  <c r="AO16" s="1"/>
  <c r="I16"/>
  <c r="AB16" s="1"/>
  <c r="H16"/>
  <c r="AC15"/>
  <c r="AB15"/>
  <c r="AA15"/>
  <c r="Y15"/>
  <c r="O15"/>
  <c r="AN15" s="1"/>
  <c r="I15"/>
  <c r="AD15" s="1"/>
  <c r="AE15" s="1"/>
  <c r="H15"/>
  <c r="AM14"/>
  <c r="AC14"/>
  <c r="AA14"/>
  <c r="Y14"/>
  <c r="O14"/>
  <c r="AO14" s="1"/>
  <c r="I14"/>
  <c r="AD14" s="1"/>
  <c r="AE14" s="1"/>
  <c r="H14"/>
  <c r="AC13"/>
  <c r="AB13"/>
  <c r="AA13"/>
  <c r="Y13"/>
  <c r="O13"/>
  <c r="AN13" s="1"/>
  <c r="I13"/>
  <c r="AD13" s="1"/>
  <c r="AE13" s="1"/>
  <c r="H13"/>
  <c r="AM12"/>
  <c r="AC12"/>
  <c r="AA12"/>
  <c r="Y12"/>
  <c r="O12"/>
  <c r="AO12" s="1"/>
  <c r="I12"/>
  <c r="AD12" s="1"/>
  <c r="AE12" s="1"/>
  <c r="H12"/>
  <c r="AC11"/>
  <c r="AB11"/>
  <c r="AA11"/>
  <c r="Y11"/>
  <c r="O11"/>
  <c r="AN11" s="1"/>
  <c r="I11"/>
  <c r="AD11" s="1"/>
  <c r="AE11" s="1"/>
  <c r="H11"/>
  <c r="AM10"/>
  <c r="AH10"/>
  <c r="AC10"/>
  <c r="AA10"/>
  <c r="Y10"/>
  <c r="O10"/>
  <c r="AO10" s="1"/>
  <c r="I10"/>
  <c r="AD10" s="1"/>
  <c r="AE10" s="1"/>
  <c r="H10"/>
  <c r="AC9"/>
  <c r="AA9"/>
  <c r="Y9"/>
  <c r="O9"/>
  <c r="H9"/>
  <c r="I9" s="1"/>
  <c r="AM8"/>
  <c r="AH8"/>
  <c r="AC8"/>
  <c r="AA8"/>
  <c r="Y8"/>
  <c r="O8"/>
  <c r="AO8" s="1"/>
  <c r="I8"/>
  <c r="AD8" s="1"/>
  <c r="AE8" s="1"/>
  <c r="H8"/>
  <c r="AC7"/>
  <c r="AA7"/>
  <c r="Y7"/>
  <c r="O7"/>
  <c r="H7"/>
  <c r="I7" s="1"/>
  <c r="AM6"/>
  <c r="AH6"/>
  <c r="AC6"/>
  <c r="AA6"/>
  <c r="Y6"/>
  <c r="O6"/>
  <c r="AO6" s="1"/>
  <c r="I6"/>
  <c r="AD6" s="1"/>
  <c r="AE6" s="1"/>
  <c r="H6"/>
  <c r="J80" i="25"/>
  <c r="F6" i="19" s="1"/>
  <c r="J81" i="25"/>
  <c r="F7" i="19" s="1"/>
  <c r="J82" i="25"/>
  <c r="F8" i="19" s="1"/>
  <c r="J83" i="25"/>
  <c r="F9" i="19" s="1"/>
  <c r="J84" i="25"/>
  <c r="F10" i="19" s="1"/>
  <c r="J85" i="25"/>
  <c r="F11" i="19" s="1"/>
  <c r="J86" i="25"/>
  <c r="F12" i="19" s="1"/>
  <c r="J87" i="25"/>
  <c r="F13" i="19" s="1"/>
  <c r="J88" i="25"/>
  <c r="F14" i="19" s="1"/>
  <c r="J89" i="25"/>
  <c r="F15" i="19" s="1"/>
  <c r="J90" i="25"/>
  <c r="F16" i="19" s="1"/>
  <c r="J91" i="25"/>
  <c r="F17" i="19" s="1"/>
  <c r="J92" i="25"/>
  <c r="F18" i="19" s="1"/>
  <c r="J93" i="25"/>
  <c r="F19" i="19" s="1"/>
  <c r="J94" i="25"/>
  <c r="F20" i="19" s="1"/>
  <c r="J95" i="25"/>
  <c r="F21" i="19" s="1"/>
  <c r="J96" i="25"/>
  <c r="F22" i="19" s="1"/>
  <c r="J97" i="25"/>
  <c r="F23" i="19" s="1"/>
  <c r="J98" i="25"/>
  <c r="F24" i="19" s="1"/>
  <c r="J99" i="25"/>
  <c r="F25" i="19" s="1"/>
  <c r="J100" i="25"/>
  <c r="F26" i="19" s="1"/>
  <c r="J101" i="25"/>
  <c r="F27" i="19" s="1"/>
  <c r="J102" i="25"/>
  <c r="F28" i="19" s="1"/>
  <c r="J103" i="25"/>
  <c r="F29" i="19" s="1"/>
  <c r="J104" i="25"/>
  <c r="F30" i="19" s="1"/>
  <c r="J105" i="25"/>
  <c r="F31" i="19" s="1"/>
  <c r="J106" i="25"/>
  <c r="F32" i="19" s="1"/>
  <c r="J107" i="25"/>
  <c r="F33" i="19" s="1"/>
  <c r="J108" i="25"/>
  <c r="F34" i="19" s="1"/>
  <c r="J109" i="25"/>
  <c r="F35" i="19" s="1"/>
  <c r="J110" i="25"/>
  <c r="F36" i="19" s="1"/>
  <c r="J111" i="25"/>
  <c r="F37" i="19" s="1"/>
  <c r="J112" i="25"/>
  <c r="F38" i="19" s="1"/>
  <c r="J113" i="25"/>
  <c r="F39" i="19" s="1"/>
  <c r="J114" i="25"/>
  <c r="F40" i="19" s="1"/>
  <c r="J115" i="25"/>
  <c r="F41" i="19" s="1"/>
  <c r="J116" i="25"/>
  <c r="F42" i="19" s="1"/>
  <c r="J117" i="25"/>
  <c r="F43" i="19" s="1"/>
  <c r="J118" i="25"/>
  <c r="F44" i="19" s="1"/>
  <c r="J119" i="25"/>
  <c r="F45" i="19" s="1"/>
  <c r="J120" i="25"/>
  <c r="F46" i="19" s="1"/>
  <c r="J121" i="25"/>
  <c r="F47" i="19" s="1"/>
  <c r="J122" i="25"/>
  <c r="F48" i="19" s="1"/>
  <c r="J123" i="25"/>
  <c r="F49" i="19" s="1"/>
  <c r="J124" i="25"/>
  <c r="F50" i="19" s="1"/>
  <c r="J125" i="25"/>
  <c r="F51" i="19" s="1"/>
  <c r="J126" i="25"/>
  <c r="F52" i="19" s="1"/>
  <c r="J127" i="25"/>
  <c r="F53" i="19" s="1"/>
  <c r="J128" i="25"/>
  <c r="F54" i="19" s="1"/>
  <c r="J129" i="25"/>
  <c r="F55" i="19" s="1"/>
  <c r="J130" i="25"/>
  <c r="F56" i="19" s="1"/>
  <c r="J131" i="25"/>
  <c r="F57" i="19" s="1"/>
  <c r="J132" i="25"/>
  <c r="F58" i="19" s="1"/>
  <c r="J133" i="25"/>
  <c r="F59" i="19" s="1"/>
  <c r="J134" i="25"/>
  <c r="F60" i="19" s="1"/>
  <c r="J135" i="25"/>
  <c r="F61" i="19" s="1"/>
  <c r="J136" i="25"/>
  <c r="F62" i="19" s="1"/>
  <c r="J137" i="25"/>
  <c r="F63" i="19" s="1"/>
  <c r="J138" i="25"/>
  <c r="F64" i="19" s="1"/>
  <c r="J139" i="25"/>
  <c r="F65" i="19" s="1"/>
  <c r="J140" i="25"/>
  <c r="F66" i="19" s="1"/>
  <c r="J141" i="25"/>
  <c r="F67" i="19" s="1"/>
  <c r="J142" i="25"/>
  <c r="F68" i="19" s="1"/>
  <c r="J143" i="25"/>
  <c r="F69" i="19" s="1"/>
  <c r="J144" i="25"/>
  <c r="F70" i="19" s="1"/>
  <c r="J145" i="25"/>
  <c r="F71" i="19" s="1"/>
  <c r="J146" i="25"/>
  <c r="F72" i="19" s="1"/>
  <c r="J147" i="25"/>
  <c r="F73" i="19" s="1"/>
  <c r="J148" i="25"/>
  <c r="F74" i="19" s="1"/>
  <c r="J149" i="25"/>
  <c r="F75" i="19" s="1"/>
  <c r="J150" i="25"/>
  <c r="F76" i="19" s="1"/>
  <c r="J151" i="25"/>
  <c r="F77" i="19" s="1"/>
  <c r="J152" i="25"/>
  <c r="F78" i="19" s="1"/>
  <c r="J153" i="25"/>
  <c r="F79" i="19" s="1"/>
  <c r="J154" i="25"/>
  <c r="F80" i="19" s="1"/>
  <c r="J155" i="25"/>
  <c r="F81" i="19" s="1"/>
  <c r="J156" i="25"/>
  <c r="F82" i="19" s="1"/>
  <c r="J157" i="25"/>
  <c r="F83" i="19" s="1"/>
  <c r="J158" i="25"/>
  <c r="F84" i="19" s="1"/>
  <c r="J159" i="25"/>
  <c r="F85" i="19" s="1"/>
  <c r="J160" i="25"/>
  <c r="F86" i="19" s="1"/>
  <c r="J161" i="25"/>
  <c r="F87" i="19" s="1"/>
  <c r="J162" i="25"/>
  <c r="F88" i="19" s="1"/>
  <c r="J163" i="25"/>
  <c r="F89" i="19" s="1"/>
  <c r="J164" i="25"/>
  <c r="F90" i="19" s="1"/>
  <c r="J165" i="25"/>
  <c r="F91" i="19" s="1"/>
  <c r="J166" i="25"/>
  <c r="F92" i="19" s="1"/>
  <c r="J167" i="25"/>
  <c r="F93" i="19" s="1"/>
  <c r="J168" i="25"/>
  <c r="F94" i="19" s="1"/>
  <c r="J169" i="25"/>
  <c r="F95" i="19" s="1"/>
  <c r="J170" i="25"/>
  <c r="F96" i="19" s="1"/>
  <c r="J171" i="25"/>
  <c r="F97" i="19" s="1"/>
  <c r="J172" i="25"/>
  <c r="F98" i="19" s="1"/>
  <c r="J173" i="25"/>
  <c r="F99" i="19" s="1"/>
  <c r="J174" i="25"/>
  <c r="F100" i="19" s="1"/>
  <c r="J175" i="25"/>
  <c r="F101" i="19" s="1"/>
  <c r="J176" i="25"/>
  <c r="F102" i="19" s="1"/>
  <c r="J177" i="25"/>
  <c r="F103" i="19" s="1"/>
  <c r="J178" i="25"/>
  <c r="F104" i="19" s="1"/>
  <c r="J179" i="25"/>
  <c r="F105" i="19" s="1"/>
  <c r="J180" i="25"/>
  <c r="F106" i="19" s="1"/>
  <c r="J181" i="25"/>
  <c r="F107" i="19" s="1"/>
  <c r="J182" i="25"/>
  <c r="F108" i="19" s="1"/>
  <c r="J183" i="25"/>
  <c r="F109" i="19" s="1"/>
  <c r="J184" i="25"/>
  <c r="F110" i="19" s="1"/>
  <c r="J185" i="25"/>
  <c r="F111" i="19" s="1"/>
  <c r="J186" i="25"/>
  <c r="F112" i="19" s="1"/>
  <c r="J187" i="25"/>
  <c r="F113" i="19" s="1"/>
  <c r="J188" i="25"/>
  <c r="F114" i="19" s="1"/>
  <c r="J189" i="25"/>
  <c r="F115" i="19" s="1"/>
  <c r="J190" i="25"/>
  <c r="F116" i="19" s="1"/>
  <c r="J191" i="25"/>
  <c r="F117" i="19" s="1"/>
  <c r="J192" i="25"/>
  <c r="F118" i="19" s="1"/>
  <c r="J193" i="25"/>
  <c r="F119" i="19" s="1"/>
  <c r="J194" i="25"/>
  <c r="F120" i="19" s="1"/>
  <c r="J195" i="25"/>
  <c r="F121" i="19" s="1"/>
  <c r="J196" i="25"/>
  <c r="F122" i="19" s="1"/>
  <c r="J197" i="25"/>
  <c r="F123" i="19" s="1"/>
  <c r="J198" i="25"/>
  <c r="F124" i="19" s="1"/>
  <c r="J199" i="25"/>
  <c r="F125" i="19" s="1"/>
  <c r="J200" i="25"/>
  <c r="F126" i="19" s="1"/>
  <c r="J201" i="25"/>
  <c r="F127" i="19" s="1"/>
  <c r="J202" i="25"/>
  <c r="F128" i="19" s="1"/>
  <c r="J203" i="25"/>
  <c r="F129" i="19" s="1"/>
  <c r="J204" i="25"/>
  <c r="F130" i="19" s="1"/>
  <c r="J205" i="25"/>
  <c r="F131" i="19" s="1"/>
  <c r="J206" i="25"/>
  <c r="F132" i="19" s="1"/>
  <c r="J207" i="25"/>
  <c r="F133" i="19" s="1"/>
  <c r="J208" i="25"/>
  <c r="F134" i="19" s="1"/>
  <c r="J209" i="25"/>
  <c r="F135" i="19" s="1"/>
  <c r="J210" i="25"/>
  <c r="F136" i="19" s="1"/>
  <c r="J211" i="25"/>
  <c r="F137" i="19" s="1"/>
  <c r="J212" i="25"/>
  <c r="F138" i="19" s="1"/>
  <c r="J213" i="25"/>
  <c r="F139" i="19" s="1"/>
  <c r="J214" i="25"/>
  <c r="F140" i="19" s="1"/>
  <c r="J215" i="25"/>
  <c r="F141" i="19" s="1"/>
  <c r="J216" i="25"/>
  <c r="F142" i="19" s="1"/>
  <c r="J217" i="25"/>
  <c r="F143" i="19" s="1"/>
  <c r="J218" i="25"/>
  <c r="F144" i="19" s="1"/>
  <c r="J219" i="25"/>
  <c r="F145" i="19" s="1"/>
  <c r="J220" i="25"/>
  <c r="F146" i="19" s="1"/>
  <c r="J221" i="25"/>
  <c r="F147" i="19" s="1"/>
  <c r="J222" i="25"/>
  <c r="F148" i="19" s="1"/>
  <c r="J79" i="25"/>
  <c r="F5" i="19" s="1"/>
  <c r="O148"/>
  <c r="M148"/>
  <c r="O147"/>
  <c r="M147"/>
  <c r="O146"/>
  <c r="M146"/>
  <c r="O145"/>
  <c r="M145"/>
  <c r="O144"/>
  <c r="M144"/>
  <c r="O143"/>
  <c r="M143"/>
  <c r="O142"/>
  <c r="M142"/>
  <c r="O141"/>
  <c r="M141"/>
  <c r="O140"/>
  <c r="M140"/>
  <c r="O139"/>
  <c r="M139"/>
  <c r="O138"/>
  <c r="M138"/>
  <c r="O137"/>
  <c r="M137"/>
  <c r="O136"/>
  <c r="M136"/>
  <c r="O135"/>
  <c r="M135"/>
  <c r="O134"/>
  <c r="M134"/>
  <c r="O133"/>
  <c r="M133"/>
  <c r="O132"/>
  <c r="M132"/>
  <c r="O131"/>
  <c r="M131"/>
  <c r="O130"/>
  <c r="M130"/>
  <c r="O129"/>
  <c r="M129"/>
  <c r="O128"/>
  <c r="M128"/>
  <c r="O127"/>
  <c r="M127"/>
  <c r="O126"/>
  <c r="M126"/>
  <c r="O125"/>
  <c r="M125"/>
  <c r="O124"/>
  <c r="M124"/>
  <c r="O123"/>
  <c r="M123"/>
  <c r="O122"/>
  <c r="M122"/>
  <c r="O121"/>
  <c r="M121"/>
  <c r="O120"/>
  <c r="M120"/>
  <c r="O119"/>
  <c r="M119"/>
  <c r="O118"/>
  <c r="M118"/>
  <c r="O117"/>
  <c r="M117"/>
  <c r="O116"/>
  <c r="M116"/>
  <c r="O115"/>
  <c r="M115"/>
  <c r="O114"/>
  <c r="M114"/>
  <c r="O113"/>
  <c r="M113"/>
  <c r="O112"/>
  <c r="M112"/>
  <c r="O111"/>
  <c r="M111"/>
  <c r="O110"/>
  <c r="M110"/>
  <c r="O109"/>
  <c r="M109"/>
  <c r="O108"/>
  <c r="M108"/>
  <c r="O107"/>
  <c r="M107"/>
  <c r="O106"/>
  <c r="M106"/>
  <c r="O105"/>
  <c r="M105"/>
  <c r="O104"/>
  <c r="M104"/>
  <c r="O103"/>
  <c r="M103"/>
  <c r="O102"/>
  <c r="M102"/>
  <c r="O101"/>
  <c r="M101"/>
  <c r="O100"/>
  <c r="M100"/>
  <c r="O99"/>
  <c r="M99"/>
  <c r="O98"/>
  <c r="M98"/>
  <c r="O97"/>
  <c r="M97"/>
  <c r="O96"/>
  <c r="M96"/>
  <c r="O95"/>
  <c r="M95"/>
  <c r="O94"/>
  <c r="M94"/>
  <c r="O93"/>
  <c r="M93"/>
  <c r="O92"/>
  <c r="M92"/>
  <c r="O91"/>
  <c r="M91"/>
  <c r="O90"/>
  <c r="M90"/>
  <c r="O89"/>
  <c r="M89"/>
  <c r="O88"/>
  <c r="M88"/>
  <c r="O87"/>
  <c r="M87"/>
  <c r="O86"/>
  <c r="M86"/>
  <c r="O85"/>
  <c r="M85"/>
  <c r="O84"/>
  <c r="M84"/>
  <c r="O83"/>
  <c r="M83"/>
  <c r="O82"/>
  <c r="M82"/>
  <c r="O81"/>
  <c r="M81"/>
  <c r="O80"/>
  <c r="M80"/>
  <c r="O79"/>
  <c r="M79"/>
  <c r="O78"/>
  <c r="M78"/>
  <c r="O77"/>
  <c r="M77"/>
  <c r="O76"/>
  <c r="M76"/>
  <c r="O75"/>
  <c r="M75"/>
  <c r="O74"/>
  <c r="M74"/>
  <c r="O73"/>
  <c r="M73"/>
  <c r="O72"/>
  <c r="M72"/>
  <c r="O71"/>
  <c r="M71"/>
  <c r="O70"/>
  <c r="M70"/>
  <c r="O69"/>
  <c r="M69"/>
  <c r="O68"/>
  <c r="M68"/>
  <c r="O67"/>
  <c r="M67"/>
  <c r="O66"/>
  <c r="M66"/>
  <c r="O65"/>
  <c r="M65"/>
  <c r="O64"/>
  <c r="M64"/>
  <c r="O63"/>
  <c r="M63"/>
  <c r="O62"/>
  <c r="M62"/>
  <c r="O61"/>
  <c r="M61"/>
  <c r="O60"/>
  <c r="M60"/>
  <c r="O59"/>
  <c r="M59"/>
  <c r="O58"/>
  <c r="M58"/>
  <c r="O57"/>
  <c r="M57"/>
  <c r="O56"/>
  <c r="M56"/>
  <c r="O55"/>
  <c r="M55"/>
  <c r="O54"/>
  <c r="M54"/>
  <c r="O53"/>
  <c r="M53"/>
  <c r="O52"/>
  <c r="M52"/>
  <c r="O51"/>
  <c r="M51"/>
  <c r="O50"/>
  <c r="M50"/>
  <c r="O49"/>
  <c r="M49"/>
  <c r="O48"/>
  <c r="M48"/>
  <c r="O47"/>
  <c r="M47"/>
  <c r="O46"/>
  <c r="M46"/>
  <c r="O45"/>
  <c r="M45"/>
  <c r="O44"/>
  <c r="M44"/>
  <c r="O43"/>
  <c r="M43"/>
  <c r="O42"/>
  <c r="M42"/>
  <c r="O41"/>
  <c r="M41"/>
  <c r="O40"/>
  <c r="M40"/>
  <c r="O39"/>
  <c r="M39"/>
  <c r="O38"/>
  <c r="M38"/>
  <c r="O37"/>
  <c r="M37"/>
  <c r="O36"/>
  <c r="M36"/>
  <c r="O35"/>
  <c r="M35"/>
  <c r="O34"/>
  <c r="M34"/>
  <c r="O33"/>
  <c r="M33"/>
  <c r="O32"/>
  <c r="M32"/>
  <c r="O31"/>
  <c r="M31"/>
  <c r="O30"/>
  <c r="M30"/>
  <c r="O29"/>
  <c r="M29"/>
  <c r="O28"/>
  <c r="M28"/>
  <c r="O27"/>
  <c r="M27"/>
  <c r="O26"/>
  <c r="M26"/>
  <c r="O25"/>
  <c r="M25"/>
  <c r="O24"/>
  <c r="M24"/>
  <c r="O23"/>
  <c r="M23"/>
  <c r="O22"/>
  <c r="M22"/>
  <c r="O21"/>
  <c r="M21"/>
  <c r="O20"/>
  <c r="M20"/>
  <c r="O19"/>
  <c r="M19"/>
  <c r="O18"/>
  <c r="M18"/>
  <c r="O17"/>
  <c r="M17"/>
  <c r="O16"/>
  <c r="M16"/>
  <c r="O15"/>
  <c r="M15"/>
  <c r="O14"/>
  <c r="M14"/>
  <c r="O13"/>
  <c r="M13"/>
  <c r="O12"/>
  <c r="M12"/>
  <c r="O11"/>
  <c r="M11"/>
  <c r="O10"/>
  <c r="M10"/>
  <c r="O9"/>
  <c r="M9"/>
  <c r="O8"/>
  <c r="M8"/>
  <c r="O7"/>
  <c r="M7"/>
  <c r="O6"/>
  <c r="M6"/>
  <c r="M5"/>
  <c r="C8" i="25"/>
  <c r="C9"/>
  <c r="C10"/>
  <c r="C11"/>
  <c r="C12"/>
  <c r="C13"/>
  <c r="C14"/>
  <c r="C15"/>
  <c r="C16"/>
  <c r="C17"/>
  <c r="C18"/>
  <c r="C19"/>
  <c r="C20"/>
  <c r="C21"/>
  <c r="C22"/>
  <c r="C23"/>
  <c r="C24"/>
  <c r="C25"/>
  <c r="C26"/>
  <c r="C27"/>
  <c r="C28"/>
  <c r="C29"/>
  <c r="C30"/>
  <c r="C31"/>
  <c r="C32"/>
  <c r="C33"/>
  <c r="C34"/>
  <c r="C35"/>
  <c r="C36"/>
  <c r="C37"/>
  <c r="C38"/>
  <c r="C39"/>
  <c r="C40"/>
  <c r="C4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7"/>
  <c r="T268" i="24"/>
  <c r="T266"/>
  <c r="T265"/>
  <c r="T264"/>
  <c r="T262"/>
  <c r="T261"/>
  <c r="T260"/>
  <c r="T258"/>
  <c r="T257"/>
  <c r="T256"/>
  <c r="T254"/>
  <c r="T253"/>
  <c r="T252"/>
  <c r="T250"/>
  <c r="T249"/>
  <c r="T248"/>
  <c r="T246"/>
  <c r="T245"/>
  <c r="T244"/>
  <c r="T242"/>
  <c r="T241"/>
  <c r="T240"/>
  <c r="T238"/>
  <c r="T237"/>
  <c r="T236"/>
  <c r="T234"/>
  <c r="T233"/>
  <c r="T232"/>
  <c r="T230"/>
  <c r="T229"/>
  <c r="T228"/>
  <c r="T226"/>
  <c r="T225"/>
  <c r="T224"/>
  <c r="T222"/>
  <c r="T221"/>
  <c r="T220"/>
  <c r="B222" i="25"/>
  <c r="D221"/>
  <c r="B221"/>
  <c r="D220"/>
  <c r="T218" i="24"/>
  <c r="B220" i="25"/>
  <c r="F220" s="1"/>
  <c r="T217" i="24"/>
  <c r="B219" i="25"/>
  <c r="T216" i="24"/>
  <c r="B218" i="25"/>
  <c r="D217"/>
  <c r="B217"/>
  <c r="D216"/>
  <c r="T214" i="24"/>
  <c r="B216" i="25"/>
  <c r="D215"/>
  <c r="T213" i="24"/>
  <c r="B215" i="25"/>
  <c r="Q215" s="1"/>
  <c r="D214"/>
  <c r="T212" i="24"/>
  <c r="B214" i="25"/>
  <c r="D213"/>
  <c r="B213"/>
  <c r="D212"/>
  <c r="T210" i="24"/>
  <c r="B212" i="25"/>
  <c r="T209" i="24"/>
  <c r="B211" i="25"/>
  <c r="F211" s="1"/>
  <c r="D210"/>
  <c r="T208" i="24"/>
  <c r="B210" i="25"/>
  <c r="B209"/>
  <c r="D208"/>
  <c r="T206" i="24"/>
  <c r="B208" i="25"/>
  <c r="F208" s="1"/>
  <c r="D207"/>
  <c r="T205" i="24"/>
  <c r="B207" i="25"/>
  <c r="D206"/>
  <c r="T204" i="24"/>
  <c r="B206" i="25"/>
  <c r="B205"/>
  <c r="T202" i="24"/>
  <c r="B204" i="25"/>
  <c r="T201" i="24"/>
  <c r="B203" i="25"/>
  <c r="F203" s="1"/>
  <c r="D202"/>
  <c r="T200" i="24"/>
  <c r="B202" i="25"/>
  <c r="D201"/>
  <c r="B201"/>
  <c r="D200"/>
  <c r="T198" i="24"/>
  <c r="B200" i="25"/>
  <c r="F200" s="1"/>
  <c r="D199"/>
  <c r="T197" i="24"/>
  <c r="B199" i="25"/>
  <c r="T196" i="24"/>
  <c r="B198" i="25"/>
  <c r="F198" s="1"/>
  <c r="B197"/>
  <c r="F197" s="1"/>
  <c r="D196"/>
  <c r="T194" i="24"/>
  <c r="B196" i="25"/>
  <c r="T193" i="24"/>
  <c r="B195" i="25"/>
  <c r="D194"/>
  <c r="T192" i="24"/>
  <c r="B194" i="25"/>
  <c r="F194" s="1"/>
  <c r="D193"/>
  <c r="B193"/>
  <c r="D192"/>
  <c r="T190" i="24"/>
  <c r="B192" i="25"/>
  <c r="D191"/>
  <c r="T189" i="24"/>
  <c r="B191" i="25"/>
  <c r="D190"/>
  <c r="T188" i="24"/>
  <c r="B190" i="25"/>
  <c r="D189"/>
  <c r="B189"/>
  <c r="F189" s="1"/>
  <c r="T186" i="24"/>
  <c r="B188" i="25"/>
  <c r="T185" i="24"/>
  <c r="B187" i="25"/>
  <c r="D186"/>
  <c r="T184" i="24"/>
  <c r="B186" i="25"/>
  <c r="B185"/>
  <c r="F185" s="1"/>
  <c r="D184"/>
  <c r="T182" i="24"/>
  <c r="B184" i="25"/>
  <c r="D183"/>
  <c r="T181" i="24"/>
  <c r="B183" i="25"/>
  <c r="T180" i="24"/>
  <c r="B182" i="25"/>
  <c r="F182" s="1"/>
  <c r="D181"/>
  <c r="B181"/>
  <c r="T178" i="24"/>
  <c r="B180" i="25"/>
  <c r="Q180" s="1"/>
  <c r="T177" i="24"/>
  <c r="B179" i="25"/>
  <c r="F179" s="1"/>
  <c r="D178"/>
  <c r="T176" i="24"/>
  <c r="B178" i="25"/>
  <c r="B177"/>
  <c r="T174" i="24"/>
  <c r="B176" i="25"/>
  <c r="D175"/>
  <c r="T173" i="24"/>
  <c r="B175" i="25"/>
  <c r="T172" i="24"/>
  <c r="B174" i="25"/>
  <c r="F174" s="1"/>
  <c r="D173"/>
  <c r="B173"/>
  <c r="F173" s="1"/>
  <c r="T170" i="24"/>
  <c r="B172" i="25"/>
  <c r="T169" i="24"/>
  <c r="B171" i="25"/>
  <c r="F171" s="1"/>
  <c r="D170"/>
  <c r="T168" i="24"/>
  <c r="B170" i="25"/>
  <c r="B169"/>
  <c r="T166" i="24"/>
  <c r="B168" i="25"/>
  <c r="D167"/>
  <c r="T165" i="24"/>
  <c r="B167" i="25"/>
  <c r="T164" i="24"/>
  <c r="B166" i="25"/>
  <c r="D165"/>
  <c r="B165"/>
  <c r="F165" s="1"/>
  <c r="T162" i="24"/>
  <c r="B164" i="25"/>
  <c r="F164" s="1"/>
  <c r="D163"/>
  <c r="T161" i="24"/>
  <c r="B163" i="25"/>
  <c r="D162"/>
  <c r="T160" i="24"/>
  <c r="B162" i="25"/>
  <c r="B161"/>
  <c r="D160"/>
  <c r="T158" i="24"/>
  <c r="B160" i="25"/>
  <c r="D159"/>
  <c r="T157" i="24"/>
  <c r="B159" i="25"/>
  <c r="D158"/>
  <c r="T156" i="24"/>
  <c r="B158" i="25"/>
  <c r="B157"/>
  <c r="Q157" s="1"/>
  <c r="D156"/>
  <c r="T154" i="24"/>
  <c r="B156" i="25"/>
  <c r="T153" i="24"/>
  <c r="B155" i="25"/>
  <c r="F155" s="1"/>
  <c r="D154"/>
  <c r="T152" i="24"/>
  <c r="B154" i="25"/>
  <c r="D153"/>
  <c r="B153"/>
  <c r="D152"/>
  <c r="T150" i="24"/>
  <c r="B152" i="25"/>
  <c r="T149" i="24"/>
  <c r="B151" i="25"/>
  <c r="D150"/>
  <c r="T148" i="24"/>
  <c r="B150" i="25"/>
  <c r="F150" s="1"/>
  <c r="D149"/>
  <c r="B149"/>
  <c r="F149" s="1"/>
  <c r="D148"/>
  <c r="T146" i="24"/>
  <c r="B148" i="25"/>
  <c r="T145" i="24"/>
  <c r="B147" i="25"/>
  <c r="D146"/>
  <c r="T144" i="24"/>
  <c r="B146" i="25"/>
  <c r="F146" s="1"/>
  <c r="D145"/>
  <c r="B145"/>
  <c r="D144"/>
  <c r="T142" i="24"/>
  <c r="B144" i="25"/>
  <c r="D143"/>
  <c r="T141" i="24"/>
  <c r="B143" i="25"/>
  <c r="D142"/>
  <c r="T140" i="24"/>
  <c r="B142" i="25"/>
  <c r="D141"/>
  <c r="B141"/>
  <c r="D140"/>
  <c r="T138" i="24"/>
  <c r="B140" i="25"/>
  <c r="T137" i="24"/>
  <c r="B139" i="25"/>
  <c r="D138"/>
  <c r="T136" i="24"/>
  <c r="B138" i="25"/>
  <c r="D137"/>
  <c r="B137"/>
  <c r="D136"/>
  <c r="T134" i="24"/>
  <c r="B136" i="25"/>
  <c r="D135"/>
  <c r="T133" i="24"/>
  <c r="B135" i="25"/>
  <c r="F135" s="1"/>
  <c r="D134"/>
  <c r="T132" i="24"/>
  <c r="B134" i="25"/>
  <c r="F134" s="1"/>
  <c r="B133"/>
  <c r="D132"/>
  <c r="T130" i="24"/>
  <c r="B132" i="25"/>
  <c r="F132" s="1"/>
  <c r="D131"/>
  <c r="T129" i="24"/>
  <c r="B131" i="25"/>
  <c r="F131" s="1"/>
  <c r="D130"/>
  <c r="T128" i="24"/>
  <c r="B130" i="25"/>
  <c r="F130" s="1"/>
  <c r="D129"/>
  <c r="B129"/>
  <c r="D128"/>
  <c r="T126" i="24"/>
  <c r="B128" i="25"/>
  <c r="D127"/>
  <c r="T125" i="24"/>
  <c r="B127" i="25"/>
  <c r="D126"/>
  <c r="T124" i="24"/>
  <c r="B126" i="25"/>
  <c r="D125"/>
  <c r="B125"/>
  <c r="D124"/>
  <c r="T122" i="24"/>
  <c r="B124" i="25"/>
  <c r="Q124" s="1"/>
  <c r="D123"/>
  <c r="T121" i="24"/>
  <c r="B123" i="25"/>
  <c r="F123" s="1"/>
  <c r="D122"/>
  <c r="T120" i="24"/>
  <c r="B122" i="25"/>
  <c r="D121"/>
  <c r="B121"/>
  <c r="Q121" s="1"/>
  <c r="D120"/>
  <c r="T118" i="24"/>
  <c r="B120" i="25"/>
  <c r="T117" i="24"/>
  <c r="B119" i="25"/>
  <c r="D118"/>
  <c r="T116" i="24"/>
  <c r="B118" i="25"/>
  <c r="B117"/>
  <c r="F117" s="1"/>
  <c r="D116"/>
  <c r="T114" i="24"/>
  <c r="B116" i="25"/>
  <c r="F116" s="1"/>
  <c r="T113" i="24"/>
  <c r="B115" i="25"/>
  <c r="F115" s="1"/>
  <c r="D114"/>
  <c r="T112" i="24"/>
  <c r="B114" i="25"/>
  <c r="D113"/>
  <c r="B113"/>
  <c r="D112"/>
  <c r="T110" i="24"/>
  <c r="B112" i="25"/>
  <c r="F112" s="1"/>
  <c r="D111"/>
  <c r="T109" i="24"/>
  <c r="B111" i="25"/>
  <c r="F111" s="1"/>
  <c r="T108" i="24"/>
  <c r="B110" i="25"/>
  <c r="D109"/>
  <c r="B109"/>
  <c r="T106" i="24"/>
  <c r="B108" i="25"/>
  <c r="D107"/>
  <c r="T105" i="24"/>
  <c r="B107" i="25"/>
  <c r="D106"/>
  <c r="T104" i="24"/>
  <c r="B106" i="25"/>
  <c r="B105"/>
  <c r="T102" i="24"/>
  <c r="B104" i="25"/>
  <c r="D103"/>
  <c r="T101" i="24"/>
  <c r="B103" i="25"/>
  <c r="F103" s="1"/>
  <c r="T100" i="24"/>
  <c r="B102" i="25"/>
  <c r="D101"/>
  <c r="B101"/>
  <c r="D100"/>
  <c r="T98" i="24"/>
  <c r="B100" i="25"/>
  <c r="F100" s="1"/>
  <c r="D99"/>
  <c r="T97" i="24"/>
  <c r="B99" i="25"/>
  <c r="T96" i="24"/>
  <c r="B98" i="25"/>
  <c r="D97"/>
  <c r="B97"/>
  <c r="T94" i="24"/>
  <c r="B96" i="25"/>
  <c r="T93" i="24"/>
  <c r="B95" i="25"/>
  <c r="F95" s="1"/>
  <c r="D94"/>
  <c r="B94"/>
  <c r="F94" s="1"/>
  <c r="D93"/>
  <c r="B93"/>
  <c r="F93" s="1"/>
  <c r="T90" i="24"/>
  <c r="B92" i="25"/>
  <c r="F92" s="1"/>
  <c r="D91"/>
  <c r="T89" i="24"/>
  <c r="B91" i="25"/>
  <c r="T88" i="24"/>
  <c r="B90" i="25"/>
  <c r="D89"/>
  <c r="B89"/>
  <c r="T86" i="24"/>
  <c r="B88" i="25"/>
  <c r="D87"/>
  <c r="T85" i="24"/>
  <c r="B87" i="25"/>
  <c r="F87" s="1"/>
  <c r="T84" i="24"/>
  <c r="B86" i="25"/>
  <c r="F86" s="1"/>
  <c r="D85"/>
  <c r="B85"/>
  <c r="D84"/>
  <c r="T82" i="24"/>
  <c r="B84" i="25"/>
  <c r="D83"/>
  <c r="T81" i="24"/>
  <c r="B83" i="25"/>
  <c r="D82"/>
  <c r="T80" i="24"/>
  <c r="B82" i="25"/>
  <c r="F82" s="1"/>
  <c r="B81"/>
  <c r="Q81" s="1"/>
  <c r="T78" i="24"/>
  <c r="B80" i="25"/>
  <c r="F80" s="1"/>
  <c r="D79"/>
  <c r="T77" i="24"/>
  <c r="B79" i="25"/>
  <c r="F79" s="1"/>
  <c r="D78"/>
  <c r="T76" i="24"/>
  <c r="B78" i="25"/>
  <c r="B77"/>
  <c r="D76"/>
  <c r="T74" i="24"/>
  <c r="B76" i="25"/>
  <c r="F76" s="1"/>
  <c r="D75"/>
  <c r="T73" i="24"/>
  <c r="B75" i="25"/>
  <c r="D74"/>
  <c r="T72" i="24"/>
  <c r="B74" i="25"/>
  <c r="B73"/>
  <c r="F73" s="1"/>
  <c r="D72"/>
  <c r="T70" i="24"/>
  <c r="B72" i="25"/>
  <c r="D71"/>
  <c r="T69" i="24"/>
  <c r="B71" i="25"/>
  <c r="T68" i="24"/>
  <c r="B70" i="25"/>
  <c r="F70" s="1"/>
  <c r="D69"/>
  <c r="B69"/>
  <c r="T66" i="24"/>
  <c r="B68" i="25"/>
  <c r="F68" s="1"/>
  <c r="D67"/>
  <c r="T65" i="24"/>
  <c r="B67" i="25"/>
  <c r="F67" s="1"/>
  <c r="D66"/>
  <c r="T64" i="24"/>
  <c r="B66" i="25"/>
  <c r="B65"/>
  <c r="T62" i="24"/>
  <c r="B64" i="25"/>
  <c r="F64" s="1"/>
  <c r="D63"/>
  <c r="T61" i="24"/>
  <c r="B63" i="25"/>
  <c r="T60" i="24"/>
  <c r="B62" i="25"/>
  <c r="B61"/>
  <c r="F61" s="1"/>
  <c r="T58" i="24"/>
  <c r="B60" i="25"/>
  <c r="T57" i="24"/>
  <c r="B59" i="25"/>
  <c r="T56" i="24"/>
  <c r="B58" i="25"/>
  <c r="D57"/>
  <c r="B57"/>
  <c r="D56"/>
  <c r="T54" i="24"/>
  <c r="B56" i="25"/>
  <c r="D55"/>
  <c r="T53" i="24"/>
  <c r="B55" i="25"/>
  <c r="D54"/>
  <c r="T52" i="24"/>
  <c r="B54" i="25"/>
  <c r="B53"/>
  <c r="D52"/>
  <c r="T50" i="24"/>
  <c r="B52" i="25"/>
  <c r="D51"/>
  <c r="T49" i="24"/>
  <c r="B51" i="25"/>
  <c r="D50"/>
  <c r="T48" i="24"/>
  <c r="B50" i="25"/>
  <c r="B49"/>
  <c r="D48"/>
  <c r="T46" i="24"/>
  <c r="B48" i="25"/>
  <c r="T45" i="24"/>
  <c r="B47" i="25"/>
  <c r="T44" i="24"/>
  <c r="B46" i="25"/>
  <c r="D45"/>
  <c r="B45"/>
  <c r="T42" i="24"/>
  <c r="B44" i="25"/>
  <c r="D43"/>
  <c r="T41" i="24"/>
  <c r="B43" i="25"/>
  <c r="D42"/>
  <c r="T40" i="24"/>
  <c r="B42" i="25"/>
  <c r="F42" s="1"/>
  <c r="D41"/>
  <c r="B41"/>
  <c r="F41" s="1"/>
  <c r="D40"/>
  <c r="T38" i="24"/>
  <c r="B40" i="25"/>
  <c r="D39"/>
  <c r="T37" i="24"/>
  <c r="B39" i="25"/>
  <c r="T36" i="24"/>
  <c r="B38" i="25"/>
  <c r="F38" s="1"/>
  <c r="D37"/>
  <c r="B37"/>
  <c r="D36"/>
  <c r="T34" i="24"/>
  <c r="B36" i="25"/>
  <c r="T33" i="24"/>
  <c r="B35" i="25"/>
  <c r="F35" s="1"/>
  <c r="D34"/>
  <c r="T32" i="24"/>
  <c r="B34" i="25"/>
  <c r="B33"/>
  <c r="F33" s="1"/>
  <c r="D32"/>
  <c r="T30" i="24"/>
  <c r="B32" i="25"/>
  <c r="F32" s="1"/>
  <c r="D31"/>
  <c r="T29" i="24"/>
  <c r="B31" i="25"/>
  <c r="D30"/>
  <c r="T28" i="24"/>
  <c r="B30" i="25"/>
  <c r="F30" s="1"/>
  <c r="D29"/>
  <c r="B29"/>
  <c r="F29" s="1"/>
  <c r="T26" i="24"/>
  <c r="B28" i="25"/>
  <c r="T25" i="24"/>
  <c r="B27" i="25"/>
  <c r="F27" s="1"/>
  <c r="T24" i="24"/>
  <c r="B26" i="25"/>
  <c r="F26" s="1"/>
  <c r="B25"/>
  <c r="D24"/>
  <c r="T22" i="24"/>
  <c r="B24" i="25"/>
  <c r="F24" s="1"/>
  <c r="T21" i="24"/>
  <c r="B23" i="25"/>
  <c r="F23" s="1"/>
  <c r="D22"/>
  <c r="T20" i="24"/>
  <c r="B22" i="25"/>
  <c r="B21"/>
  <c r="F21" s="1"/>
  <c r="D20"/>
  <c r="T18" i="24"/>
  <c r="B20" i="25"/>
  <c r="T17" i="24"/>
  <c r="B19" i="25"/>
  <c r="F19" s="1"/>
  <c r="D18"/>
  <c r="T16" i="24"/>
  <c r="B18" i="25"/>
  <c r="B17"/>
  <c r="F17" s="1"/>
  <c r="T14" i="24"/>
  <c r="B16" i="25"/>
  <c r="D15"/>
  <c r="T13" i="24"/>
  <c r="B15" i="25"/>
  <c r="D14"/>
  <c r="B14"/>
  <c r="T11" i="24"/>
  <c r="B13" i="25"/>
  <c r="D12"/>
  <c r="T10" i="24"/>
  <c r="B12" i="25"/>
  <c r="T9" i="24"/>
  <c r="B11" i="25"/>
  <c r="D10"/>
  <c r="B10"/>
  <c r="F10" s="1"/>
  <c r="T7" i="24"/>
  <c r="B9" i="25"/>
  <c r="D8"/>
  <c r="T6" i="24"/>
  <c r="B8" i="25"/>
  <c r="T5" i="24"/>
  <c r="B7" i="25"/>
  <c r="F7" s="1"/>
  <c r="K8" i="24" l="1"/>
  <c r="O8"/>
  <c r="P8"/>
  <c r="Q8"/>
  <c r="M8"/>
  <c r="N8"/>
  <c r="L8"/>
  <c r="K12"/>
  <c r="Q12"/>
  <c r="O12"/>
  <c r="P12"/>
  <c r="M12"/>
  <c r="N12"/>
  <c r="L12"/>
  <c r="P15"/>
  <c r="Q15"/>
  <c r="K15"/>
  <c r="M15"/>
  <c r="O15"/>
  <c r="N15"/>
  <c r="L15"/>
  <c r="O19"/>
  <c r="K19"/>
  <c r="Q19"/>
  <c r="P19"/>
  <c r="M19"/>
  <c r="N19"/>
  <c r="L19"/>
  <c r="K27"/>
  <c r="M27"/>
  <c r="O27"/>
  <c r="P27"/>
  <c r="Q27"/>
  <c r="N27"/>
  <c r="L27"/>
  <c r="Q35"/>
  <c r="O35"/>
  <c r="P35"/>
  <c r="K35"/>
  <c r="M35"/>
  <c r="N35"/>
  <c r="L35"/>
  <c r="Q39"/>
  <c r="O39"/>
  <c r="K39"/>
  <c r="P39"/>
  <c r="M39"/>
  <c r="N39"/>
  <c r="L39"/>
  <c r="K43"/>
  <c r="O43"/>
  <c r="Q43"/>
  <c r="P43"/>
  <c r="M43"/>
  <c r="N43"/>
  <c r="L43"/>
  <c r="M87"/>
  <c r="P87"/>
  <c r="K87"/>
  <c r="Q87"/>
  <c r="O87"/>
  <c r="N87"/>
  <c r="L87"/>
  <c r="Q95"/>
  <c r="P95"/>
  <c r="M95"/>
  <c r="O95"/>
  <c r="K95"/>
  <c r="N95"/>
  <c r="L95"/>
  <c r="Q99"/>
  <c r="P99"/>
  <c r="M99"/>
  <c r="O99"/>
  <c r="K99"/>
  <c r="N99"/>
  <c r="L99"/>
  <c r="O107"/>
  <c r="P107"/>
  <c r="K107"/>
  <c r="Q107"/>
  <c r="M107"/>
  <c r="N107"/>
  <c r="L107"/>
  <c r="Q115"/>
  <c r="O115"/>
  <c r="P115"/>
  <c r="M115"/>
  <c r="K115"/>
  <c r="N115"/>
  <c r="L115"/>
  <c r="M123"/>
  <c r="Q123"/>
  <c r="K123"/>
  <c r="P123"/>
  <c r="O123"/>
  <c r="N123"/>
  <c r="L123"/>
  <c r="P135"/>
  <c r="M135"/>
  <c r="O135"/>
  <c r="K135"/>
  <c r="Q135"/>
  <c r="N135"/>
  <c r="L135"/>
  <c r="K147"/>
  <c r="Q147"/>
  <c r="O147"/>
  <c r="P147"/>
  <c r="M147"/>
  <c r="N147"/>
  <c r="L147"/>
  <c r="P155"/>
  <c r="Q155"/>
  <c r="K155"/>
  <c r="O155"/>
  <c r="M155"/>
  <c r="N155"/>
  <c r="L155"/>
  <c r="M159"/>
  <c r="K159"/>
  <c r="O159"/>
  <c r="P159"/>
  <c r="Q159"/>
  <c r="N159"/>
  <c r="L159"/>
  <c r="Q163"/>
  <c r="O163"/>
  <c r="P163"/>
  <c r="K163"/>
  <c r="M163"/>
  <c r="N163"/>
  <c r="L163"/>
  <c r="P167"/>
  <c r="M167"/>
  <c r="O167"/>
  <c r="Q167"/>
  <c r="K167"/>
  <c r="N167"/>
  <c r="R167" s="1"/>
  <c r="L167"/>
  <c r="Q179"/>
  <c r="O179"/>
  <c r="K179"/>
  <c r="P179"/>
  <c r="M179"/>
  <c r="N179"/>
  <c r="L179"/>
  <c r="Q183"/>
  <c r="O183"/>
  <c r="K183"/>
  <c r="P183"/>
  <c r="M183"/>
  <c r="N183"/>
  <c r="L183"/>
  <c r="M191"/>
  <c r="K191"/>
  <c r="Q191"/>
  <c r="P191"/>
  <c r="O191"/>
  <c r="N191"/>
  <c r="L191"/>
  <c r="P195"/>
  <c r="M195"/>
  <c r="Q195"/>
  <c r="O195"/>
  <c r="K195"/>
  <c r="N195"/>
  <c r="L195"/>
  <c r="O199"/>
  <c r="Q199"/>
  <c r="P199"/>
  <c r="K199"/>
  <c r="M199"/>
  <c r="N199"/>
  <c r="L199"/>
  <c r="P211"/>
  <c r="K211"/>
  <c r="O211"/>
  <c r="Q211"/>
  <c r="M211"/>
  <c r="N211"/>
  <c r="L211"/>
  <c r="Q219"/>
  <c r="O219"/>
  <c r="P219"/>
  <c r="K219"/>
  <c r="M219"/>
  <c r="N219"/>
  <c r="L219"/>
  <c r="K231"/>
  <c r="O231"/>
  <c r="Q231"/>
  <c r="P231"/>
  <c r="M231"/>
  <c r="N231"/>
  <c r="L231"/>
  <c r="P235"/>
  <c r="M235"/>
  <c r="K235"/>
  <c r="Q235"/>
  <c r="O235"/>
  <c r="N235"/>
  <c r="L235"/>
  <c r="P239"/>
  <c r="O239"/>
  <c r="K239"/>
  <c r="M239"/>
  <c r="Q239"/>
  <c r="N239"/>
  <c r="L239"/>
  <c r="O243"/>
  <c r="K243"/>
  <c r="Q243"/>
  <c r="P243"/>
  <c r="M243"/>
  <c r="N243"/>
  <c r="L243"/>
  <c r="Q11"/>
  <c r="O11"/>
  <c r="K11"/>
  <c r="P11"/>
  <c r="M11"/>
  <c r="N11"/>
  <c r="L11"/>
  <c r="P14"/>
  <c r="Q14"/>
  <c r="O14"/>
  <c r="M14"/>
  <c r="K14"/>
  <c r="N14"/>
  <c r="L14"/>
  <c r="K18"/>
  <c r="Q18"/>
  <c r="O18"/>
  <c r="P18"/>
  <c r="M18"/>
  <c r="N18"/>
  <c r="L18"/>
  <c r="K22"/>
  <c r="O22"/>
  <c r="P22"/>
  <c r="Q22"/>
  <c r="M22"/>
  <c r="N22"/>
  <c r="L22"/>
  <c r="P54"/>
  <c r="Q54"/>
  <c r="O54"/>
  <c r="K54"/>
  <c r="M54"/>
  <c r="N54"/>
  <c r="L54"/>
  <c r="K58"/>
  <c r="O58"/>
  <c r="Q58"/>
  <c r="P58"/>
  <c r="M58"/>
  <c r="N58"/>
  <c r="L58"/>
  <c r="K62"/>
  <c r="M62"/>
  <c r="O62"/>
  <c r="P62"/>
  <c r="Q62"/>
  <c r="N62"/>
  <c r="L62"/>
  <c r="Q70"/>
  <c r="P70"/>
  <c r="K70"/>
  <c r="O70"/>
  <c r="M70"/>
  <c r="N70"/>
  <c r="L70"/>
  <c r="M86"/>
  <c r="P86"/>
  <c r="K86"/>
  <c r="Q86"/>
  <c r="O86"/>
  <c r="N86"/>
  <c r="L86"/>
  <c r="Q94"/>
  <c r="O94"/>
  <c r="K94"/>
  <c r="P94"/>
  <c r="M94"/>
  <c r="N94"/>
  <c r="L94"/>
  <c r="Q98"/>
  <c r="P98"/>
  <c r="M98"/>
  <c r="O98"/>
  <c r="K98"/>
  <c r="N98"/>
  <c r="L98"/>
  <c r="Q110"/>
  <c r="O110"/>
  <c r="K110"/>
  <c r="P110"/>
  <c r="M110"/>
  <c r="N110"/>
  <c r="L110"/>
  <c r="O122"/>
  <c r="P122"/>
  <c r="K122"/>
  <c r="M122"/>
  <c r="Q122"/>
  <c r="N122"/>
  <c r="L122"/>
  <c r="Q126"/>
  <c r="O126"/>
  <c r="K126"/>
  <c r="P126"/>
  <c r="M126"/>
  <c r="N126"/>
  <c r="L126"/>
  <c r="O130"/>
  <c r="K130"/>
  <c r="Q130"/>
  <c r="P130"/>
  <c r="M130"/>
  <c r="N130"/>
  <c r="L130"/>
  <c r="Q134"/>
  <c r="O134"/>
  <c r="M134"/>
  <c r="K134"/>
  <c r="P134"/>
  <c r="N134"/>
  <c r="L134"/>
  <c r="M138"/>
  <c r="P138"/>
  <c r="K138"/>
  <c r="Q138"/>
  <c r="O138"/>
  <c r="N138"/>
  <c r="L138"/>
  <c r="O142"/>
  <c r="K142"/>
  <c r="M142"/>
  <c r="P142"/>
  <c r="Q142"/>
  <c r="N142"/>
  <c r="L142"/>
  <c r="Q146"/>
  <c r="P146"/>
  <c r="K146"/>
  <c r="O146"/>
  <c r="M146"/>
  <c r="N146"/>
  <c r="L146"/>
  <c r="O162"/>
  <c r="Q162"/>
  <c r="P162"/>
  <c r="K162"/>
  <c r="M162"/>
  <c r="N162"/>
  <c r="L162"/>
  <c r="Q166"/>
  <c r="O166"/>
  <c r="P166"/>
  <c r="K166"/>
  <c r="M166"/>
  <c r="N166"/>
  <c r="L166"/>
  <c r="P170"/>
  <c r="M170"/>
  <c r="Q170"/>
  <c r="O170"/>
  <c r="K170"/>
  <c r="N170"/>
  <c r="L170"/>
  <c r="P194"/>
  <c r="M194"/>
  <c r="K194"/>
  <c r="Q194"/>
  <c r="O194"/>
  <c r="N194"/>
  <c r="L194"/>
  <c r="M206"/>
  <c r="P206"/>
  <c r="O206"/>
  <c r="K206"/>
  <c r="Q206"/>
  <c r="N206"/>
  <c r="L206"/>
  <c r="K210"/>
  <c r="M210"/>
  <c r="Q210"/>
  <c r="P210"/>
  <c r="O210"/>
  <c r="N210"/>
  <c r="L210"/>
  <c r="Q214"/>
  <c r="P214"/>
  <c r="K214"/>
  <c r="M214"/>
  <c r="O214"/>
  <c r="N214"/>
  <c r="L214"/>
  <c r="O218"/>
  <c r="K218"/>
  <c r="Q218"/>
  <c r="P218"/>
  <c r="M218"/>
  <c r="N218"/>
  <c r="L218"/>
  <c r="P222"/>
  <c r="O222"/>
  <c r="K222"/>
  <c r="Q222"/>
  <c r="M222"/>
  <c r="N222"/>
  <c r="L222"/>
  <c r="M234"/>
  <c r="P234"/>
  <c r="O234"/>
  <c r="K234"/>
  <c r="Q234"/>
  <c r="N234"/>
  <c r="L234"/>
  <c r="P238"/>
  <c r="Q238"/>
  <c r="O238"/>
  <c r="K238"/>
  <c r="M238"/>
  <c r="N238"/>
  <c r="L238"/>
  <c r="K254"/>
  <c r="M254"/>
  <c r="P254"/>
  <c r="Q254"/>
  <c r="O254"/>
  <c r="N254"/>
  <c r="L254"/>
  <c r="O258"/>
  <c r="Q258"/>
  <c r="K258"/>
  <c r="P258"/>
  <c r="M258"/>
  <c r="N258"/>
  <c r="L258"/>
  <c r="O6"/>
  <c r="K6"/>
  <c r="P6"/>
  <c r="M6"/>
  <c r="Q6"/>
  <c r="N6"/>
  <c r="L6"/>
  <c r="M5"/>
  <c r="Q5"/>
  <c r="K5"/>
  <c r="O5"/>
  <c r="P5"/>
  <c r="N5"/>
  <c r="L5"/>
  <c r="K9"/>
  <c r="O9"/>
  <c r="M9"/>
  <c r="Q9"/>
  <c r="P9"/>
  <c r="N9"/>
  <c r="L9"/>
  <c r="K13"/>
  <c r="O13"/>
  <c r="Q13"/>
  <c r="M13"/>
  <c r="P13"/>
  <c r="N13"/>
  <c r="L13"/>
  <c r="K16"/>
  <c r="P16"/>
  <c r="Q16"/>
  <c r="O16"/>
  <c r="M16"/>
  <c r="N16"/>
  <c r="L16"/>
  <c r="K20"/>
  <c r="O20"/>
  <c r="Q20"/>
  <c r="P20"/>
  <c r="M20"/>
  <c r="N20"/>
  <c r="L20"/>
  <c r="K24"/>
  <c r="P24"/>
  <c r="M24"/>
  <c r="O24"/>
  <c r="Q24"/>
  <c r="N24"/>
  <c r="L24"/>
  <c r="K28"/>
  <c r="M28"/>
  <c r="O28"/>
  <c r="Q28"/>
  <c r="P28"/>
  <c r="N28"/>
  <c r="L28"/>
  <c r="K32"/>
  <c r="O32"/>
  <c r="M32"/>
  <c r="P32"/>
  <c r="Q32"/>
  <c r="N32"/>
  <c r="L32"/>
  <c r="Q36"/>
  <c r="O36"/>
  <c r="P36"/>
  <c r="K36"/>
  <c r="M36"/>
  <c r="N36"/>
  <c r="L36"/>
  <c r="Q40"/>
  <c r="O40"/>
  <c r="P40"/>
  <c r="K40"/>
  <c r="M40"/>
  <c r="N40"/>
  <c r="L40"/>
  <c r="O44"/>
  <c r="Q44"/>
  <c r="K44"/>
  <c r="P44"/>
  <c r="M44"/>
  <c r="N44"/>
  <c r="L44"/>
  <c r="P48"/>
  <c r="O48"/>
  <c r="M48"/>
  <c r="K48"/>
  <c r="Q48"/>
  <c r="N48"/>
  <c r="L48"/>
  <c r="O52"/>
  <c r="P52"/>
  <c r="Q52"/>
  <c r="K52"/>
  <c r="M52"/>
  <c r="N52"/>
  <c r="L52"/>
  <c r="Q56"/>
  <c r="O56"/>
  <c r="K56"/>
  <c r="P56"/>
  <c r="M56"/>
  <c r="N56"/>
  <c r="L56"/>
  <c r="K60"/>
  <c r="Q60"/>
  <c r="P60"/>
  <c r="M60"/>
  <c r="O60"/>
  <c r="N60"/>
  <c r="L60"/>
  <c r="K64"/>
  <c r="M64"/>
  <c r="O64"/>
  <c r="P64"/>
  <c r="Q64"/>
  <c r="N64"/>
  <c r="L64"/>
  <c r="Q68"/>
  <c r="O68"/>
  <c r="P68"/>
  <c r="M68"/>
  <c r="K68"/>
  <c r="N68"/>
  <c r="L68"/>
  <c r="Q72"/>
  <c r="O72"/>
  <c r="P72"/>
  <c r="K72"/>
  <c r="M72"/>
  <c r="N72"/>
  <c r="L72"/>
  <c r="K76"/>
  <c r="O76"/>
  <c r="Q76"/>
  <c r="P76"/>
  <c r="M76"/>
  <c r="N76"/>
  <c r="L76"/>
  <c r="M80"/>
  <c r="O80"/>
  <c r="P80"/>
  <c r="Q80"/>
  <c r="K80"/>
  <c r="N80"/>
  <c r="L80"/>
  <c r="O84"/>
  <c r="Q84"/>
  <c r="K84"/>
  <c r="M84"/>
  <c r="P84"/>
  <c r="N84"/>
  <c r="L84"/>
  <c r="Q88"/>
  <c r="M88"/>
  <c r="P88"/>
  <c r="K88"/>
  <c r="O88"/>
  <c r="N88"/>
  <c r="L88"/>
  <c r="K92"/>
  <c r="Q92"/>
  <c r="O92"/>
  <c r="P92"/>
  <c r="M92"/>
  <c r="N92"/>
  <c r="L92"/>
  <c r="Q96"/>
  <c r="O96"/>
  <c r="P96"/>
  <c r="M96"/>
  <c r="K96"/>
  <c r="N96"/>
  <c r="L96"/>
  <c r="Q100"/>
  <c r="O100"/>
  <c r="P100"/>
  <c r="M100"/>
  <c r="K100"/>
  <c r="N100"/>
  <c r="L100"/>
  <c r="P104"/>
  <c r="M104"/>
  <c r="K104"/>
  <c r="Q104"/>
  <c r="O104"/>
  <c r="N104"/>
  <c r="L104"/>
  <c r="Q108"/>
  <c r="O108"/>
  <c r="P108"/>
  <c r="K108"/>
  <c r="M108"/>
  <c r="N108"/>
  <c r="L108"/>
  <c r="Q112"/>
  <c r="P112"/>
  <c r="K112"/>
  <c r="O112"/>
  <c r="M112"/>
  <c r="N112"/>
  <c r="L112"/>
  <c r="Q116"/>
  <c r="O116"/>
  <c r="P116"/>
  <c r="M116"/>
  <c r="K116"/>
  <c r="N116"/>
  <c r="L116"/>
  <c r="M120"/>
  <c r="P120"/>
  <c r="K120"/>
  <c r="Q120"/>
  <c r="O120"/>
  <c r="N120"/>
  <c r="L120"/>
  <c r="O124"/>
  <c r="M124"/>
  <c r="Q124"/>
  <c r="P124"/>
  <c r="K124"/>
  <c r="N124"/>
  <c r="L124"/>
  <c r="O128"/>
  <c r="Q128"/>
  <c r="P128"/>
  <c r="K128"/>
  <c r="M128"/>
  <c r="N128"/>
  <c r="L128"/>
  <c r="P132"/>
  <c r="M132"/>
  <c r="O132"/>
  <c r="K132"/>
  <c r="Q132"/>
  <c r="N132"/>
  <c r="L132"/>
  <c r="Q136"/>
  <c r="P136"/>
  <c r="M136"/>
  <c r="O136"/>
  <c r="K136"/>
  <c r="N136"/>
  <c r="L136"/>
  <c r="M140"/>
  <c r="Q140"/>
  <c r="P140"/>
  <c r="K140"/>
  <c r="O140"/>
  <c r="N140"/>
  <c r="L140"/>
  <c r="O144"/>
  <c r="Q144"/>
  <c r="K144"/>
  <c r="P144"/>
  <c r="M144"/>
  <c r="N144"/>
  <c r="L144"/>
  <c r="K148"/>
  <c r="O148"/>
  <c r="Q148"/>
  <c r="P148"/>
  <c r="M148"/>
  <c r="N148"/>
  <c r="L148"/>
  <c r="M152"/>
  <c r="K152"/>
  <c r="P152"/>
  <c r="O152"/>
  <c r="Q152"/>
  <c r="N152"/>
  <c r="L152"/>
  <c r="K156"/>
  <c r="Q156"/>
  <c r="P156"/>
  <c r="M156"/>
  <c r="O156"/>
  <c r="N156"/>
  <c r="L156"/>
  <c r="M160"/>
  <c r="K160"/>
  <c r="P160"/>
  <c r="Q160"/>
  <c r="O160"/>
  <c r="N160"/>
  <c r="L160"/>
  <c r="Q164"/>
  <c r="O164"/>
  <c r="K164"/>
  <c r="P164"/>
  <c r="M164"/>
  <c r="N164"/>
  <c r="L164"/>
  <c r="P168"/>
  <c r="O168"/>
  <c r="M168"/>
  <c r="Q168"/>
  <c r="K168"/>
  <c r="N168"/>
  <c r="L168"/>
  <c r="O172"/>
  <c r="P172"/>
  <c r="Q172"/>
  <c r="K172"/>
  <c r="M172"/>
  <c r="N172"/>
  <c r="L172"/>
  <c r="P176"/>
  <c r="Q176"/>
  <c r="K176"/>
  <c r="O176"/>
  <c r="M176"/>
  <c r="N176"/>
  <c r="L176"/>
  <c r="O180"/>
  <c r="Q180"/>
  <c r="K180"/>
  <c r="P180"/>
  <c r="M180"/>
  <c r="N180"/>
  <c r="L180"/>
  <c r="O184"/>
  <c r="Q184"/>
  <c r="P184"/>
  <c r="K184"/>
  <c r="M184"/>
  <c r="N184"/>
  <c r="L184"/>
  <c r="P188"/>
  <c r="O188"/>
  <c r="M188"/>
  <c r="K188"/>
  <c r="Q188"/>
  <c r="N188"/>
  <c r="L188"/>
  <c r="P192"/>
  <c r="Q192"/>
  <c r="M192"/>
  <c r="K192"/>
  <c r="O192"/>
  <c r="N192"/>
  <c r="L192"/>
  <c r="K196"/>
  <c r="Q196"/>
  <c r="P196"/>
  <c r="M196"/>
  <c r="O196"/>
  <c r="N196"/>
  <c r="L196"/>
  <c r="K200"/>
  <c r="Q200"/>
  <c r="P200"/>
  <c r="O200"/>
  <c r="M200"/>
  <c r="N200"/>
  <c r="L200"/>
  <c r="M204"/>
  <c r="P204"/>
  <c r="Q204"/>
  <c r="O204"/>
  <c r="K204"/>
  <c r="N204"/>
  <c r="L204"/>
  <c r="P208"/>
  <c r="O208"/>
  <c r="M208"/>
  <c r="K208"/>
  <c r="Q208"/>
  <c r="N208"/>
  <c r="L208"/>
  <c r="M212"/>
  <c r="P212"/>
  <c r="Q212"/>
  <c r="O212"/>
  <c r="K212"/>
  <c r="N212"/>
  <c r="L212"/>
  <c r="O216"/>
  <c r="Q216"/>
  <c r="P216"/>
  <c r="K216"/>
  <c r="M216"/>
  <c r="N216"/>
  <c r="L216"/>
  <c r="Q220"/>
  <c r="O220"/>
  <c r="P220"/>
  <c r="K220"/>
  <c r="M220"/>
  <c r="N220"/>
  <c r="L220"/>
  <c r="P224"/>
  <c r="M224"/>
  <c r="Q224"/>
  <c r="K224"/>
  <c r="O224"/>
  <c r="N224"/>
  <c r="L224"/>
  <c r="P228"/>
  <c r="M228"/>
  <c r="O228"/>
  <c r="Q228"/>
  <c r="K228"/>
  <c r="N228"/>
  <c r="L228"/>
  <c r="O232"/>
  <c r="Q232"/>
  <c r="P232"/>
  <c r="K232"/>
  <c r="M232"/>
  <c r="N232"/>
  <c r="L232"/>
  <c r="P236"/>
  <c r="M236"/>
  <c r="O236"/>
  <c r="K236"/>
  <c r="Q236"/>
  <c r="N236"/>
  <c r="L236"/>
  <c r="Q240"/>
  <c r="M240"/>
  <c r="P240"/>
  <c r="K240"/>
  <c r="O240"/>
  <c r="N240"/>
  <c r="L240"/>
  <c r="Q244"/>
  <c r="O244"/>
  <c r="P244"/>
  <c r="K244"/>
  <c r="M244"/>
  <c r="N244"/>
  <c r="L244"/>
  <c r="O248"/>
  <c r="P248"/>
  <c r="K248"/>
  <c r="M248"/>
  <c r="Q248"/>
  <c r="N248"/>
  <c r="L248"/>
  <c r="O252"/>
  <c r="M252"/>
  <c r="P252"/>
  <c r="K252"/>
  <c r="Q252"/>
  <c r="N252"/>
  <c r="L252"/>
  <c r="O256"/>
  <c r="Q256"/>
  <c r="P256"/>
  <c r="K256"/>
  <c r="M256"/>
  <c r="N256"/>
  <c r="L256"/>
  <c r="K260"/>
  <c r="M260"/>
  <c r="Q260"/>
  <c r="O260"/>
  <c r="P260"/>
  <c r="N260"/>
  <c r="L260"/>
  <c r="K264"/>
  <c r="P264"/>
  <c r="M264"/>
  <c r="O264"/>
  <c r="Q264"/>
  <c r="N264"/>
  <c r="L264"/>
  <c r="O268"/>
  <c r="Q268"/>
  <c r="P268"/>
  <c r="K268"/>
  <c r="M268"/>
  <c r="N268"/>
  <c r="L268"/>
  <c r="T8"/>
  <c r="T12"/>
  <c r="T15"/>
  <c r="T19"/>
  <c r="T23"/>
  <c r="T27"/>
  <c r="T31"/>
  <c r="T35"/>
  <c r="T39"/>
  <c r="T43"/>
  <c r="T47"/>
  <c r="T51"/>
  <c r="T55"/>
  <c r="T59"/>
  <c r="T63"/>
  <c r="T67"/>
  <c r="T71"/>
  <c r="T75"/>
  <c r="T79"/>
  <c r="T83"/>
  <c r="T87"/>
  <c r="T91"/>
  <c r="T95"/>
  <c r="T99"/>
  <c r="T103"/>
  <c r="T107"/>
  <c r="T111"/>
  <c r="T115"/>
  <c r="T119"/>
  <c r="T123"/>
  <c r="T127"/>
  <c r="T131"/>
  <c r="T135"/>
  <c r="T139"/>
  <c r="T143"/>
  <c r="T147"/>
  <c r="T151"/>
  <c r="T155"/>
  <c r="T159"/>
  <c r="T163"/>
  <c r="T167"/>
  <c r="T171"/>
  <c r="T175"/>
  <c r="T179"/>
  <c r="T183"/>
  <c r="T187"/>
  <c r="T191"/>
  <c r="T195"/>
  <c r="T199"/>
  <c r="T203"/>
  <c r="T207"/>
  <c r="T211"/>
  <c r="T215"/>
  <c r="T219"/>
  <c r="T223"/>
  <c r="T227"/>
  <c r="T231"/>
  <c r="T235"/>
  <c r="T239"/>
  <c r="T243"/>
  <c r="T247"/>
  <c r="T251"/>
  <c r="T255"/>
  <c r="T259"/>
  <c r="T263"/>
  <c r="T267"/>
  <c r="K23"/>
  <c r="P23"/>
  <c r="M23"/>
  <c r="O23"/>
  <c r="Q23"/>
  <c r="N23"/>
  <c r="L23"/>
  <c r="O31"/>
  <c r="K31"/>
  <c r="P31"/>
  <c r="M31"/>
  <c r="Q31"/>
  <c r="N31"/>
  <c r="L31"/>
  <c r="O47"/>
  <c r="M47"/>
  <c r="K47"/>
  <c r="Q47"/>
  <c r="P47"/>
  <c r="N47"/>
  <c r="L47"/>
  <c r="O51"/>
  <c r="P51"/>
  <c r="Q51"/>
  <c r="M51"/>
  <c r="K51"/>
  <c r="N51"/>
  <c r="L51"/>
  <c r="Q55"/>
  <c r="O55"/>
  <c r="P55"/>
  <c r="K55"/>
  <c r="M55"/>
  <c r="N55"/>
  <c r="L55"/>
  <c r="Q59"/>
  <c r="K59"/>
  <c r="O59"/>
  <c r="P59"/>
  <c r="M59"/>
  <c r="N59"/>
  <c r="L59"/>
  <c r="K63"/>
  <c r="M63"/>
  <c r="O63"/>
  <c r="P63"/>
  <c r="Q63"/>
  <c r="N63"/>
  <c r="L63"/>
  <c r="O67"/>
  <c r="K67"/>
  <c r="Q67"/>
  <c r="P67"/>
  <c r="M67"/>
  <c r="N67"/>
  <c r="L67"/>
  <c r="O71"/>
  <c r="K71"/>
  <c r="Q71"/>
  <c r="P71"/>
  <c r="M71"/>
  <c r="N71"/>
  <c r="L71"/>
  <c r="K75"/>
  <c r="Q75"/>
  <c r="O75"/>
  <c r="P75"/>
  <c r="M75"/>
  <c r="N75"/>
  <c r="L75"/>
  <c r="M79"/>
  <c r="O79"/>
  <c r="P79"/>
  <c r="Q79"/>
  <c r="K79"/>
  <c r="N79"/>
  <c r="L79"/>
  <c r="O83"/>
  <c r="K83"/>
  <c r="M83"/>
  <c r="P83"/>
  <c r="Q83"/>
  <c r="N83"/>
  <c r="L83"/>
  <c r="K91"/>
  <c r="Q91"/>
  <c r="O91"/>
  <c r="P91"/>
  <c r="M91"/>
  <c r="N91"/>
  <c r="L91"/>
  <c r="M103"/>
  <c r="Q103"/>
  <c r="K103"/>
  <c r="O103"/>
  <c r="P103"/>
  <c r="N103"/>
  <c r="L103"/>
  <c r="Q111"/>
  <c r="O111"/>
  <c r="P111"/>
  <c r="K111"/>
  <c r="M111"/>
  <c r="N111"/>
  <c r="L111"/>
  <c r="P119"/>
  <c r="M119"/>
  <c r="K119"/>
  <c r="Q119"/>
  <c r="O119"/>
  <c r="N119"/>
  <c r="L119"/>
  <c r="K127"/>
  <c r="Q127"/>
  <c r="O127"/>
  <c r="P127"/>
  <c r="M127"/>
  <c r="N127"/>
  <c r="L127"/>
  <c r="P131"/>
  <c r="K131"/>
  <c r="O131"/>
  <c r="M131"/>
  <c r="Q131"/>
  <c r="N131"/>
  <c r="L131"/>
  <c r="K139"/>
  <c r="P139"/>
  <c r="Q139"/>
  <c r="M139"/>
  <c r="O139"/>
  <c r="N139"/>
  <c r="L139"/>
  <c r="Q143"/>
  <c r="O143"/>
  <c r="K143"/>
  <c r="P143"/>
  <c r="M143"/>
  <c r="N143"/>
  <c r="L143"/>
  <c r="P151"/>
  <c r="M151"/>
  <c r="K151"/>
  <c r="Q151"/>
  <c r="O151"/>
  <c r="N151"/>
  <c r="L151"/>
  <c r="O171"/>
  <c r="M171"/>
  <c r="K171"/>
  <c r="P171"/>
  <c r="Q171"/>
  <c r="N171"/>
  <c r="L171"/>
  <c r="O175"/>
  <c r="P175"/>
  <c r="K175"/>
  <c r="Q175"/>
  <c r="M175"/>
  <c r="N175"/>
  <c r="L175"/>
  <c r="P187"/>
  <c r="O187"/>
  <c r="M187"/>
  <c r="K187"/>
  <c r="Q187"/>
  <c r="N187"/>
  <c r="L187"/>
  <c r="M203"/>
  <c r="P203"/>
  <c r="O203"/>
  <c r="Q203"/>
  <c r="K203"/>
  <c r="N203"/>
  <c r="L203"/>
  <c r="Q207"/>
  <c r="M207"/>
  <c r="P207"/>
  <c r="O207"/>
  <c r="K207"/>
  <c r="N207"/>
  <c r="L207"/>
  <c r="Q215"/>
  <c r="O215"/>
  <c r="P215"/>
  <c r="K215"/>
  <c r="M215"/>
  <c r="N215"/>
  <c r="L215"/>
  <c r="M223"/>
  <c r="Q223"/>
  <c r="K223"/>
  <c r="O223"/>
  <c r="P223"/>
  <c r="N223"/>
  <c r="L223"/>
  <c r="M227"/>
  <c r="O227"/>
  <c r="P227"/>
  <c r="K227"/>
  <c r="Q227"/>
  <c r="N227"/>
  <c r="L227"/>
  <c r="M247"/>
  <c r="Q247"/>
  <c r="P247"/>
  <c r="K247"/>
  <c r="O247"/>
  <c r="N247"/>
  <c r="L247"/>
  <c r="O251"/>
  <c r="M251"/>
  <c r="P251"/>
  <c r="Q251"/>
  <c r="K251"/>
  <c r="N251"/>
  <c r="R251" s="1"/>
  <c r="L251"/>
  <c r="Q255"/>
  <c r="P255"/>
  <c r="K255"/>
  <c r="O255"/>
  <c r="M255"/>
  <c r="N255"/>
  <c r="L255"/>
  <c r="M259"/>
  <c r="P259"/>
  <c r="Q259"/>
  <c r="K259"/>
  <c r="O259"/>
  <c r="N259"/>
  <c r="L259"/>
  <c r="M263"/>
  <c r="O263"/>
  <c r="K263"/>
  <c r="Q263"/>
  <c r="P263"/>
  <c r="N263"/>
  <c r="L263"/>
  <c r="Q267"/>
  <c r="P267"/>
  <c r="O267"/>
  <c r="K267"/>
  <c r="M267"/>
  <c r="N267"/>
  <c r="L267"/>
  <c r="K7"/>
  <c r="O7"/>
  <c r="M7"/>
  <c r="Q7"/>
  <c r="P7"/>
  <c r="N7"/>
  <c r="L7"/>
  <c r="K26"/>
  <c r="M26"/>
  <c r="O26"/>
  <c r="P26"/>
  <c r="Q26"/>
  <c r="N26"/>
  <c r="L26"/>
  <c r="K30"/>
  <c r="O30"/>
  <c r="M30"/>
  <c r="Q30"/>
  <c r="P30"/>
  <c r="N30"/>
  <c r="L30"/>
  <c r="Q34"/>
  <c r="M34"/>
  <c r="K34"/>
  <c r="P34"/>
  <c r="O34"/>
  <c r="N34"/>
  <c r="L34"/>
  <c r="Q38"/>
  <c r="O38"/>
  <c r="P38"/>
  <c r="K38"/>
  <c r="M38"/>
  <c r="N38"/>
  <c r="L38"/>
  <c r="Q42"/>
  <c r="K42"/>
  <c r="O42"/>
  <c r="M42"/>
  <c r="P42"/>
  <c r="N42"/>
  <c r="L42"/>
  <c r="K46"/>
  <c r="P46"/>
  <c r="Q46"/>
  <c r="M46"/>
  <c r="O46"/>
  <c r="N46"/>
  <c r="L46"/>
  <c r="O50"/>
  <c r="Q50"/>
  <c r="M50"/>
  <c r="K50"/>
  <c r="P50"/>
  <c r="N50"/>
  <c r="L50"/>
  <c r="O66"/>
  <c r="Q66"/>
  <c r="M66"/>
  <c r="K66"/>
  <c r="P66"/>
  <c r="N66"/>
  <c r="L66"/>
  <c r="K74"/>
  <c r="Q74"/>
  <c r="O74"/>
  <c r="P74"/>
  <c r="M74"/>
  <c r="N74"/>
  <c r="L74"/>
  <c r="P78"/>
  <c r="Q78"/>
  <c r="K78"/>
  <c r="M78"/>
  <c r="O78"/>
  <c r="N78"/>
  <c r="L78"/>
  <c r="Q82"/>
  <c r="K82"/>
  <c r="P82"/>
  <c r="O82"/>
  <c r="M82"/>
  <c r="N82"/>
  <c r="L82"/>
  <c r="K90"/>
  <c r="Q90"/>
  <c r="O90"/>
  <c r="P90"/>
  <c r="M90"/>
  <c r="N90"/>
  <c r="L90"/>
  <c r="K102"/>
  <c r="O102"/>
  <c r="M102"/>
  <c r="Q102"/>
  <c r="P102"/>
  <c r="N102"/>
  <c r="L102"/>
  <c r="O106"/>
  <c r="P106"/>
  <c r="K106"/>
  <c r="M106"/>
  <c r="Q106"/>
  <c r="N106"/>
  <c r="L106"/>
  <c r="Q114"/>
  <c r="P114"/>
  <c r="M114"/>
  <c r="O114"/>
  <c r="K114"/>
  <c r="N114"/>
  <c r="L114"/>
  <c r="K118"/>
  <c r="O118"/>
  <c r="P118"/>
  <c r="M118"/>
  <c r="Q118"/>
  <c r="N118"/>
  <c r="L118"/>
  <c r="P150"/>
  <c r="M150"/>
  <c r="O150"/>
  <c r="Q150"/>
  <c r="K150"/>
  <c r="N150"/>
  <c r="L150"/>
  <c r="Q154"/>
  <c r="P154"/>
  <c r="M154"/>
  <c r="O154"/>
  <c r="K154"/>
  <c r="N154"/>
  <c r="L154"/>
  <c r="P158"/>
  <c r="M158"/>
  <c r="K158"/>
  <c r="Q158"/>
  <c r="O158"/>
  <c r="N158"/>
  <c r="L158"/>
  <c r="M174"/>
  <c r="Q174"/>
  <c r="K174"/>
  <c r="O174"/>
  <c r="P174"/>
  <c r="N174"/>
  <c r="L174"/>
  <c r="P178"/>
  <c r="K178"/>
  <c r="Q178"/>
  <c r="M178"/>
  <c r="O178"/>
  <c r="N178"/>
  <c r="L178"/>
  <c r="K182"/>
  <c r="Q182"/>
  <c r="O182"/>
  <c r="P182"/>
  <c r="M182"/>
  <c r="N182"/>
  <c r="L182"/>
  <c r="M186"/>
  <c r="O186"/>
  <c r="P186"/>
  <c r="K186"/>
  <c r="Q186"/>
  <c r="N186"/>
  <c r="L186"/>
  <c r="M190"/>
  <c r="P190"/>
  <c r="O190"/>
  <c r="Q190"/>
  <c r="K190"/>
  <c r="N190"/>
  <c r="L190"/>
  <c r="K198"/>
  <c r="Q198"/>
  <c r="O198"/>
  <c r="P198"/>
  <c r="M198"/>
  <c r="N198"/>
  <c r="L198"/>
  <c r="O202"/>
  <c r="Q202"/>
  <c r="K202"/>
  <c r="P202"/>
  <c r="M202"/>
  <c r="N202"/>
  <c r="L202"/>
  <c r="Q226"/>
  <c r="K226"/>
  <c r="O226"/>
  <c r="P226"/>
  <c r="M226"/>
  <c r="N226"/>
  <c r="L226"/>
  <c r="M230"/>
  <c r="Q230"/>
  <c r="P230"/>
  <c r="K230"/>
  <c r="O230"/>
  <c r="N230"/>
  <c r="L230"/>
  <c r="M242"/>
  <c r="K242"/>
  <c r="Q242"/>
  <c r="O242"/>
  <c r="P242"/>
  <c r="N242"/>
  <c r="L242"/>
  <c r="P246"/>
  <c r="O246"/>
  <c r="M246"/>
  <c r="Q246"/>
  <c r="K246"/>
  <c r="N246"/>
  <c r="L246"/>
  <c r="P250"/>
  <c r="O250"/>
  <c r="Q250"/>
  <c r="K250"/>
  <c r="M250"/>
  <c r="N250"/>
  <c r="L250"/>
  <c r="K262"/>
  <c r="Q262"/>
  <c r="O262"/>
  <c r="P262"/>
  <c r="M262"/>
  <c r="N262"/>
  <c r="L262"/>
  <c r="M266"/>
  <c r="K266"/>
  <c r="Q266"/>
  <c r="O266"/>
  <c r="P266"/>
  <c r="N266"/>
  <c r="L266"/>
  <c r="K10"/>
  <c r="Q10"/>
  <c r="P10"/>
  <c r="O10"/>
  <c r="M10"/>
  <c r="N10"/>
  <c r="L10"/>
  <c r="P17"/>
  <c r="O17"/>
  <c r="K17"/>
  <c r="Q17"/>
  <c r="M17"/>
  <c r="N17"/>
  <c r="L17"/>
  <c r="K21"/>
  <c r="O21"/>
  <c r="P21"/>
  <c r="Q21"/>
  <c r="M21"/>
  <c r="N21"/>
  <c r="L21"/>
  <c r="K25"/>
  <c r="P25"/>
  <c r="M25"/>
  <c r="O25"/>
  <c r="Q25"/>
  <c r="N25"/>
  <c r="L25"/>
  <c r="O29"/>
  <c r="K29"/>
  <c r="Q29"/>
  <c r="P29"/>
  <c r="M29"/>
  <c r="N29"/>
  <c r="L29"/>
  <c r="K33"/>
  <c r="O33"/>
  <c r="P33"/>
  <c r="Q33"/>
  <c r="M33"/>
  <c r="N33"/>
  <c r="L33"/>
  <c r="Q37"/>
  <c r="P37"/>
  <c r="K37"/>
  <c r="O37"/>
  <c r="M37"/>
  <c r="N37"/>
  <c r="L37"/>
  <c r="Q41"/>
  <c r="M41"/>
  <c r="O41"/>
  <c r="P41"/>
  <c r="K41"/>
  <c r="N41"/>
  <c r="L41"/>
  <c r="Q45"/>
  <c r="O45"/>
  <c r="K45"/>
  <c r="P45"/>
  <c r="M45"/>
  <c r="N45"/>
  <c r="L45"/>
  <c r="O49"/>
  <c r="P49"/>
  <c r="M49"/>
  <c r="Q49"/>
  <c r="K49"/>
  <c r="N49"/>
  <c r="L49"/>
  <c r="K53"/>
  <c r="O53"/>
  <c r="Q53"/>
  <c r="P53"/>
  <c r="M53"/>
  <c r="N53"/>
  <c r="L53"/>
  <c r="Q57"/>
  <c r="O57"/>
  <c r="P57"/>
  <c r="K57"/>
  <c r="M57"/>
  <c r="N57"/>
  <c r="L57"/>
  <c r="Q61"/>
  <c r="K61"/>
  <c r="O61"/>
  <c r="P61"/>
  <c r="M61"/>
  <c r="N61"/>
  <c r="L61"/>
  <c r="O65"/>
  <c r="K65"/>
  <c r="Q65"/>
  <c r="P65"/>
  <c r="M65"/>
  <c r="N65"/>
  <c r="L65"/>
  <c r="O69"/>
  <c r="M69"/>
  <c r="K69"/>
  <c r="P69"/>
  <c r="Q69"/>
  <c r="N69"/>
  <c r="L69"/>
  <c r="Q73"/>
  <c r="O73"/>
  <c r="P73"/>
  <c r="K73"/>
  <c r="M73"/>
  <c r="N73"/>
  <c r="L73"/>
  <c r="K77"/>
  <c r="Q77"/>
  <c r="M77"/>
  <c r="O77"/>
  <c r="P77"/>
  <c r="N77"/>
  <c r="L77"/>
  <c r="M81"/>
  <c r="O81"/>
  <c r="Q81"/>
  <c r="K81"/>
  <c r="P81"/>
  <c r="N81"/>
  <c r="L81"/>
  <c r="O85"/>
  <c r="M85"/>
  <c r="P85"/>
  <c r="Q85"/>
  <c r="K85"/>
  <c r="N85"/>
  <c r="L85"/>
  <c r="Q89"/>
  <c r="O89"/>
  <c r="P89"/>
  <c r="K89"/>
  <c r="M89"/>
  <c r="N89"/>
  <c r="L89"/>
  <c r="K93"/>
  <c r="Q93"/>
  <c r="P93"/>
  <c r="O93"/>
  <c r="M93"/>
  <c r="N93"/>
  <c r="L93"/>
  <c r="Q97"/>
  <c r="M97"/>
  <c r="P97"/>
  <c r="O97"/>
  <c r="K97"/>
  <c r="N97"/>
  <c r="R97" s="1"/>
  <c r="L97"/>
  <c r="O101"/>
  <c r="P101"/>
  <c r="Q101"/>
  <c r="M101"/>
  <c r="K101"/>
  <c r="N101"/>
  <c r="L101"/>
  <c r="P105"/>
  <c r="K105"/>
  <c r="M105"/>
  <c r="Q105"/>
  <c r="O105"/>
  <c r="N105"/>
  <c r="L105"/>
  <c r="Q109"/>
  <c r="O109"/>
  <c r="K109"/>
  <c r="P109"/>
  <c r="M109"/>
  <c r="N109"/>
  <c r="L109"/>
  <c r="P113"/>
  <c r="M113"/>
  <c r="O113"/>
  <c r="Q113"/>
  <c r="K113"/>
  <c r="N113"/>
  <c r="L113"/>
  <c r="Q117"/>
  <c r="O117"/>
  <c r="M117"/>
  <c r="P117"/>
  <c r="K117"/>
  <c r="N117"/>
  <c r="L117"/>
  <c r="P121"/>
  <c r="K121"/>
  <c r="Q121"/>
  <c r="M121"/>
  <c r="O121"/>
  <c r="N121"/>
  <c r="L121"/>
  <c r="O125"/>
  <c r="Q125"/>
  <c r="P125"/>
  <c r="K125"/>
  <c r="M125"/>
  <c r="N125"/>
  <c r="L125"/>
  <c r="K129"/>
  <c r="O129"/>
  <c r="Q129"/>
  <c r="P129"/>
  <c r="M129"/>
  <c r="N129"/>
  <c r="L129"/>
  <c r="P133"/>
  <c r="M133"/>
  <c r="O133"/>
  <c r="K133"/>
  <c r="Q133"/>
  <c r="N133"/>
  <c r="L133"/>
  <c r="O137"/>
  <c r="M137"/>
  <c r="K137"/>
  <c r="P137"/>
  <c r="Q137"/>
  <c r="N137"/>
  <c r="L137"/>
  <c r="P141"/>
  <c r="M141"/>
  <c r="K141"/>
  <c r="Q141"/>
  <c r="O141"/>
  <c r="N141"/>
  <c r="L141"/>
  <c r="O145"/>
  <c r="P145"/>
  <c r="K145"/>
  <c r="Q145"/>
  <c r="M145"/>
  <c r="N145"/>
  <c r="L145"/>
  <c r="P149"/>
  <c r="M149"/>
  <c r="O149"/>
  <c r="K149"/>
  <c r="Q149"/>
  <c r="N149"/>
  <c r="L149"/>
  <c r="M153"/>
  <c r="P153"/>
  <c r="Q153"/>
  <c r="O153"/>
  <c r="K153"/>
  <c r="N153"/>
  <c r="L153"/>
  <c r="M157"/>
  <c r="P157"/>
  <c r="K157"/>
  <c r="Q157"/>
  <c r="O157"/>
  <c r="N157"/>
  <c r="L157"/>
  <c r="Q161"/>
  <c r="O161"/>
  <c r="P161"/>
  <c r="K161"/>
  <c r="M161"/>
  <c r="N161"/>
  <c r="L161"/>
  <c r="Q165"/>
  <c r="O165"/>
  <c r="P165"/>
  <c r="K165"/>
  <c r="M165"/>
  <c r="N165"/>
  <c r="L165"/>
  <c r="K169"/>
  <c r="M169"/>
  <c r="O169"/>
  <c r="P169"/>
  <c r="Q169"/>
  <c r="N169"/>
  <c r="R169" s="1"/>
  <c r="L169"/>
  <c r="M173"/>
  <c r="K173"/>
  <c r="Q173"/>
  <c r="P173"/>
  <c r="O173"/>
  <c r="N173"/>
  <c r="L173"/>
  <c r="M177"/>
  <c r="K177"/>
  <c r="Q177"/>
  <c r="P177"/>
  <c r="O177"/>
  <c r="N177"/>
  <c r="L177"/>
  <c r="O181"/>
  <c r="Q181"/>
  <c r="K181"/>
  <c r="P181"/>
  <c r="M181"/>
  <c r="N181"/>
  <c r="L181"/>
  <c r="O185"/>
  <c r="M185"/>
  <c r="P185"/>
  <c r="K185"/>
  <c r="Q185"/>
  <c r="N185"/>
  <c r="L185"/>
  <c r="P189"/>
  <c r="M189"/>
  <c r="O189"/>
  <c r="K189"/>
  <c r="Q189"/>
  <c r="N189"/>
  <c r="L189"/>
  <c r="M193"/>
  <c r="K193"/>
  <c r="P193"/>
  <c r="Q193"/>
  <c r="O193"/>
  <c r="N193"/>
  <c r="L193"/>
  <c r="O197"/>
  <c r="P197"/>
  <c r="K197"/>
  <c r="Q197"/>
  <c r="M197"/>
  <c r="N197"/>
  <c r="L197"/>
  <c r="Q201"/>
  <c r="K201"/>
  <c r="O201"/>
  <c r="P201"/>
  <c r="M201"/>
  <c r="N201"/>
  <c r="L201"/>
  <c r="O205"/>
  <c r="M205"/>
  <c r="K205"/>
  <c r="Q205"/>
  <c r="P205"/>
  <c r="N205"/>
  <c r="L205"/>
  <c r="K209"/>
  <c r="P209"/>
  <c r="M209"/>
  <c r="O209"/>
  <c r="Q209"/>
  <c r="N209"/>
  <c r="L209"/>
  <c r="K213"/>
  <c r="M213"/>
  <c r="Q213"/>
  <c r="P213"/>
  <c r="O213"/>
  <c r="N213"/>
  <c r="L213"/>
  <c r="Q217"/>
  <c r="O217"/>
  <c r="K217"/>
  <c r="P217"/>
  <c r="M217"/>
  <c r="N217"/>
  <c r="L217"/>
  <c r="P221"/>
  <c r="O221"/>
  <c r="M221"/>
  <c r="K221"/>
  <c r="Q221"/>
  <c r="N221"/>
  <c r="L221"/>
  <c r="Q225"/>
  <c r="O225"/>
  <c r="P225"/>
  <c r="K225"/>
  <c r="M225"/>
  <c r="N225"/>
  <c r="L225"/>
  <c r="M229"/>
  <c r="K229"/>
  <c r="Q229"/>
  <c r="P229"/>
  <c r="O229"/>
  <c r="N229"/>
  <c r="L229"/>
  <c r="K233"/>
  <c r="O233"/>
  <c r="P233"/>
  <c r="M233"/>
  <c r="Q233"/>
  <c r="N233"/>
  <c r="L233"/>
  <c r="Q237"/>
  <c r="O237"/>
  <c r="P237"/>
  <c r="K237"/>
  <c r="M237"/>
  <c r="N237"/>
  <c r="L237"/>
  <c r="K241"/>
  <c r="P241"/>
  <c r="M241"/>
  <c r="O241"/>
  <c r="Q241"/>
  <c r="N241"/>
  <c r="L241"/>
  <c r="M245"/>
  <c r="P245"/>
  <c r="O245"/>
  <c r="Q245"/>
  <c r="K245"/>
  <c r="N245"/>
  <c r="L245"/>
  <c r="O249"/>
  <c r="K249"/>
  <c r="Q249"/>
  <c r="P249"/>
  <c r="M249"/>
  <c r="N249"/>
  <c r="L249"/>
  <c r="Q253"/>
  <c r="P253"/>
  <c r="O253"/>
  <c r="K253"/>
  <c r="M253"/>
  <c r="N253"/>
  <c r="L253"/>
  <c r="P257"/>
  <c r="M257"/>
  <c r="O257"/>
  <c r="K257"/>
  <c r="Q257"/>
  <c r="N257"/>
  <c r="L257"/>
  <c r="Q261"/>
  <c r="O261"/>
  <c r="P261"/>
  <c r="K261"/>
  <c r="M261"/>
  <c r="N261"/>
  <c r="L261"/>
  <c r="Q265"/>
  <c r="O265"/>
  <c r="M265"/>
  <c r="P265"/>
  <c r="K265"/>
  <c r="N265"/>
  <c r="L265"/>
  <c r="T92"/>
  <c r="D172" i="25"/>
  <c r="D211"/>
  <c r="D47"/>
  <c r="D219"/>
  <c r="D108"/>
  <c r="AN7" i="26"/>
  <c r="AN9"/>
  <c r="D96" i="25"/>
  <c r="AH17" i="26"/>
  <c r="AH29"/>
  <c r="D119" i="25"/>
  <c r="AH25" i="26"/>
  <c r="AI41"/>
  <c r="AH12" s="1"/>
  <c r="AB7"/>
  <c r="AD7"/>
  <c r="AE7" s="1"/>
  <c r="Z7"/>
  <c r="AG20"/>
  <c r="AG10"/>
  <c r="AJ10" s="1"/>
  <c r="AL10" s="1"/>
  <c r="AG11"/>
  <c r="AF15"/>
  <c r="AG15"/>
  <c r="AF21"/>
  <c r="AB9"/>
  <c r="AD9"/>
  <c r="AE9" s="1"/>
  <c r="Z9"/>
  <c r="AG13"/>
  <c r="AF19"/>
  <c r="AF29"/>
  <c r="AO41"/>
  <c r="AN10"/>
  <c r="AN8"/>
  <c r="AN6"/>
  <c r="AN18"/>
  <c r="AN20"/>
  <c r="AG14"/>
  <c r="AG24"/>
  <c r="AH23"/>
  <c r="AH14"/>
  <c r="AH19"/>
  <c r="AH16"/>
  <c r="AG26"/>
  <c r="AG8"/>
  <c r="AJ8" s="1"/>
  <c r="AG12"/>
  <c r="AF12"/>
  <c r="AG18"/>
  <c r="AG22"/>
  <c r="AG28"/>
  <c r="AO43"/>
  <c r="AN28" s="1"/>
  <c r="AO45"/>
  <c r="AN29"/>
  <c r="AN27"/>
  <c r="AN25"/>
  <c r="AN22"/>
  <c r="AO47"/>
  <c r="Z16"/>
  <c r="AD16"/>
  <c r="AE16" s="1"/>
  <c r="Z6"/>
  <c r="AF6" s="1"/>
  <c r="AI6" s="1"/>
  <c r="AL6" s="1"/>
  <c r="AO7"/>
  <c r="AO18"/>
  <c r="Z19"/>
  <c r="AD23"/>
  <c r="AE23" s="1"/>
  <c r="AD25"/>
  <c r="AE25" s="1"/>
  <c r="Z27"/>
  <c r="AF27" s="1"/>
  <c r="AI27" s="1"/>
  <c r="AL27" s="1"/>
  <c r="AO28"/>
  <c r="Z29"/>
  <c r="AB6"/>
  <c r="AG6" s="1"/>
  <c r="AJ6" s="1"/>
  <c r="AH7"/>
  <c r="AM7"/>
  <c r="AB8"/>
  <c r="AH9"/>
  <c r="AM9"/>
  <c r="AB10"/>
  <c r="Z11"/>
  <c r="AF11" s="1"/>
  <c r="AH11"/>
  <c r="AM11"/>
  <c r="AB12"/>
  <c r="Z13"/>
  <c r="AF13" s="1"/>
  <c r="AH13"/>
  <c r="AM13"/>
  <c r="AB14"/>
  <c r="Z15"/>
  <c r="AH15"/>
  <c r="AM15"/>
  <c r="J16"/>
  <c r="J17" s="1"/>
  <c r="AN16"/>
  <c r="AB17"/>
  <c r="AG17" s="1"/>
  <c r="Z18"/>
  <c r="AF18" s="1"/>
  <c r="AH18"/>
  <c r="AM18"/>
  <c r="AB19"/>
  <c r="AG19" s="1"/>
  <c r="Z20"/>
  <c r="AF20" s="1"/>
  <c r="AH20"/>
  <c r="AM20"/>
  <c r="AB21"/>
  <c r="AG21" s="1"/>
  <c r="Z22"/>
  <c r="AF22" s="1"/>
  <c r="AH22"/>
  <c r="AM22"/>
  <c r="AB23"/>
  <c r="Z24"/>
  <c r="AF24" s="1"/>
  <c r="AH24"/>
  <c r="AM24"/>
  <c r="AB25"/>
  <c r="Z26"/>
  <c r="AF26" s="1"/>
  <c r="AH26"/>
  <c r="AM26"/>
  <c r="AB27"/>
  <c r="AG27" s="1"/>
  <c r="AJ27" s="1"/>
  <c r="Z28"/>
  <c r="AF28" s="1"/>
  <c r="AH28"/>
  <c r="AM28"/>
  <c r="AB29"/>
  <c r="AG29" s="1"/>
  <c r="Z8"/>
  <c r="AF8" s="1"/>
  <c r="AI8" s="1"/>
  <c r="AL8" s="1"/>
  <c r="AO9"/>
  <c r="Z10"/>
  <c r="AF10" s="1"/>
  <c r="AI10" s="1"/>
  <c r="AO11"/>
  <c r="Z12"/>
  <c r="AO13"/>
  <c r="Z14"/>
  <c r="AF14" s="1"/>
  <c r="AO15"/>
  <c r="Z17"/>
  <c r="AF17" s="1"/>
  <c r="AI17" s="1"/>
  <c r="AO20"/>
  <c r="Z21"/>
  <c r="AO22"/>
  <c r="AO24"/>
  <c r="AO26"/>
  <c r="D180" i="25"/>
  <c r="D27"/>
  <c r="D164"/>
  <c r="D59"/>
  <c r="D7"/>
  <c r="D203"/>
  <c r="D176"/>
  <c r="D168"/>
  <c r="D151"/>
  <c r="D19"/>
  <c r="D188"/>
  <c r="D147"/>
  <c r="D204"/>
  <c r="D195"/>
  <c r="D187"/>
  <c r="D179"/>
  <c r="D171"/>
  <c r="D155"/>
  <c r="D44"/>
  <c r="D23"/>
  <c r="D11"/>
  <c r="D157"/>
  <c r="D21"/>
  <c r="D25"/>
  <c r="D46"/>
  <c r="D198"/>
  <c r="D9"/>
  <c r="D13"/>
  <c r="D53"/>
  <c r="D64"/>
  <c r="D68"/>
  <c r="D88"/>
  <c r="D92"/>
  <c r="D110"/>
  <c r="D133"/>
  <c r="D166"/>
  <c r="D77"/>
  <c r="D80"/>
  <c r="D102"/>
  <c r="D139"/>
  <c r="D98"/>
  <c r="D104"/>
  <c r="D218"/>
  <c r="D17"/>
  <c r="D28"/>
  <c r="D61"/>
  <c r="D65"/>
  <c r="D174"/>
  <c r="D182"/>
  <c r="D16"/>
  <c r="D38"/>
  <c r="D49"/>
  <c r="D60"/>
  <c r="D81"/>
  <c r="D177"/>
  <c r="D185"/>
  <c r="D197"/>
  <c r="D115"/>
  <c r="D95"/>
  <c r="D35"/>
  <c r="D222"/>
  <c r="D90"/>
  <c r="D86"/>
  <c r="D70"/>
  <c r="D62"/>
  <c r="D58"/>
  <c r="D26"/>
  <c r="D209"/>
  <c r="D205"/>
  <c r="D169"/>
  <c r="D161"/>
  <c r="D117"/>
  <c r="D105"/>
  <c r="D73"/>
  <c r="D33"/>
  <c r="F118"/>
  <c r="F114"/>
  <c r="F127"/>
  <c r="F60"/>
  <c r="F148"/>
  <c r="F36"/>
  <c r="F50"/>
  <c r="F53"/>
  <c r="F125"/>
  <c r="Q102"/>
  <c r="F8"/>
  <c r="F14"/>
  <c r="F39"/>
  <c r="F44"/>
  <c r="F58"/>
  <c r="F62"/>
  <c r="F72"/>
  <c r="F88"/>
  <c r="Q88"/>
  <c r="F97"/>
  <c r="F106"/>
  <c r="F119"/>
  <c r="F122"/>
  <c r="Q140"/>
  <c r="F140"/>
  <c r="F143"/>
  <c r="Q89"/>
  <c r="F51"/>
  <c r="F66"/>
  <c r="F71"/>
  <c r="F75"/>
  <c r="F15"/>
  <c r="F20"/>
  <c r="F28"/>
  <c r="F34"/>
  <c r="F43"/>
  <c r="F55"/>
  <c r="F120"/>
  <c r="F16"/>
  <c r="F18"/>
  <c r="F22"/>
  <c r="F48"/>
  <c r="F54"/>
  <c r="F56"/>
  <c r="F63"/>
  <c r="F78"/>
  <c r="F99"/>
  <c r="F139"/>
  <c r="F147"/>
  <c r="F142"/>
  <c r="Q142"/>
  <c r="F98"/>
  <c r="F91"/>
  <c r="F108"/>
  <c r="Q144"/>
  <c r="F144"/>
  <c r="F129"/>
  <c r="Q110"/>
  <c r="F59"/>
  <c r="F11"/>
  <c r="F12"/>
  <c r="F40"/>
  <c r="F47"/>
  <c r="F83"/>
  <c r="F84"/>
  <c r="F136"/>
  <c r="F138"/>
  <c r="F126"/>
  <c r="F74"/>
  <c r="F13"/>
  <c r="Q104"/>
  <c r="F104"/>
  <c r="F137"/>
  <c r="F90"/>
  <c r="F96"/>
  <c r="F107"/>
  <c r="F124"/>
  <c r="Q109"/>
  <c r="F109"/>
  <c r="F101"/>
  <c r="F31"/>
  <c r="F154"/>
  <c r="F156"/>
  <c r="Q162"/>
  <c r="F162"/>
  <c r="Q167"/>
  <c r="F167"/>
  <c r="Q178"/>
  <c r="F178"/>
  <c r="F183"/>
  <c r="Q183"/>
  <c r="F187"/>
  <c r="F193"/>
  <c r="Q196"/>
  <c r="F196"/>
  <c r="F199"/>
  <c r="Q205"/>
  <c r="F205"/>
  <c r="F214"/>
  <c r="F216"/>
  <c r="F218"/>
  <c r="Q153"/>
  <c r="F153"/>
  <c r="F158"/>
  <c r="Q160"/>
  <c r="F160"/>
  <c r="F172"/>
  <c r="F176"/>
  <c r="Q181"/>
  <c r="F181"/>
  <c r="F188"/>
  <c r="F190"/>
  <c r="F192"/>
  <c r="F195"/>
  <c r="F201"/>
  <c r="F210"/>
  <c r="Q212"/>
  <c r="F212"/>
  <c r="Q221"/>
  <c r="F221"/>
  <c r="F152"/>
  <c r="F159"/>
  <c r="Q159"/>
  <c r="F163"/>
  <c r="F170"/>
  <c r="F175"/>
  <c r="F186"/>
  <c r="F191"/>
  <c r="Q191"/>
  <c r="F202"/>
  <c r="F207"/>
  <c r="Q207"/>
  <c r="F209"/>
  <c r="F217"/>
  <c r="Q161"/>
  <c r="F161"/>
  <c r="F206"/>
  <c r="F219"/>
  <c r="F157"/>
  <c r="F222"/>
  <c r="F166"/>
  <c r="F204"/>
  <c r="F184"/>
  <c r="F180"/>
  <c r="F168"/>
  <c r="Q155"/>
  <c r="F213"/>
  <c r="F177"/>
  <c r="F169"/>
  <c r="F215"/>
  <c r="F151"/>
  <c r="F128"/>
  <c r="F52"/>
  <c r="F46"/>
  <c r="Q193"/>
  <c r="Q177"/>
  <c r="F121"/>
  <c r="Q137"/>
  <c r="F145"/>
  <c r="F141"/>
  <c r="F133"/>
  <c r="F113"/>
  <c r="F105"/>
  <c r="F89"/>
  <c r="F85"/>
  <c r="F77"/>
  <c r="F69"/>
  <c r="F65"/>
  <c r="F57"/>
  <c r="F49"/>
  <c r="F45"/>
  <c r="F37"/>
  <c r="F25"/>
  <c r="F9"/>
  <c r="Q85"/>
  <c r="F110"/>
  <c r="F102"/>
  <c r="Q145"/>
  <c r="Q189"/>
  <c r="Q169"/>
  <c r="F81"/>
  <c r="Q80"/>
  <c r="Q92"/>
  <c r="Q113"/>
  <c r="Q164"/>
  <c r="Q116"/>
  <c r="Q79"/>
  <c r="I79" s="1"/>
  <c r="E5" i="19" s="1"/>
  <c r="Q118" i="25"/>
  <c r="Q158"/>
  <c r="Q152"/>
  <c r="Q117"/>
  <c r="Q165"/>
  <c r="Q108"/>
  <c r="Q101"/>
  <c r="Q133"/>
  <c r="Q201"/>
  <c r="Q213"/>
  <c r="Q100"/>
  <c r="Q84"/>
  <c r="Q204"/>
  <c r="Q199"/>
  <c r="Q96"/>
  <c r="Q97"/>
  <c r="Q129"/>
  <c r="Q188"/>
  <c r="Q197"/>
  <c r="Q132"/>
  <c r="Q125"/>
  <c r="Q134"/>
  <c r="Q149"/>
  <c r="Q217"/>
  <c r="Q172"/>
  <c r="Q148"/>
  <c r="Q136"/>
  <c r="Q93"/>
  <c r="Q105"/>
  <c r="Q126"/>
  <c r="Q150"/>
  <c r="Q173"/>
  <c r="Q209"/>
  <c r="Q94"/>
  <c r="Q175"/>
  <c r="Q120"/>
  <c r="Q112"/>
  <c r="Q128"/>
  <c r="Q141"/>
  <c r="Q168"/>
  <c r="Q82"/>
  <c r="Q174"/>
  <c r="I174" s="1"/>
  <c r="E100" i="19" s="1"/>
  <c r="Q90" i="25"/>
  <c r="Q98"/>
  <c r="Q106"/>
  <c r="Q114"/>
  <c r="Q122"/>
  <c r="Q130"/>
  <c r="Q138"/>
  <c r="Q146"/>
  <c r="Q170"/>
  <c r="Q166"/>
  <c r="Q163"/>
  <c r="Q179"/>
  <c r="Q187"/>
  <c r="Q83"/>
  <c r="Q87"/>
  <c r="Q91"/>
  <c r="Q95"/>
  <c r="I95" s="1"/>
  <c r="E21" i="19" s="1"/>
  <c r="Q99" i="25"/>
  <c r="Q103"/>
  <c r="Q107"/>
  <c r="Q111"/>
  <c r="Q115"/>
  <c r="Q119"/>
  <c r="Q123"/>
  <c r="Q127"/>
  <c r="Q131"/>
  <c r="Q135"/>
  <c r="Q139"/>
  <c r="Q143"/>
  <c r="Q147"/>
  <c r="Q151"/>
  <c r="Q156"/>
  <c r="Q171"/>
  <c r="Q176"/>
  <c r="Q86"/>
  <c r="Q154"/>
  <c r="Q211"/>
  <c r="Q219"/>
  <c r="Q203"/>
  <c r="Q185"/>
  <c r="Q195"/>
  <c r="Q186"/>
  <c r="Q220"/>
  <c r="Q194"/>
  <c r="Q202"/>
  <c r="Q184"/>
  <c r="Q192"/>
  <c r="Q200"/>
  <c r="Q208"/>
  <c r="Q216"/>
  <c r="Q210"/>
  <c r="Q218"/>
  <c r="Q182"/>
  <c r="Q190"/>
  <c r="Q198"/>
  <c r="Q206"/>
  <c r="Q214"/>
  <c r="Q222"/>
  <c r="R227" i="24" l="1"/>
  <c r="S227" s="1"/>
  <c r="R246"/>
  <c r="S246" s="1"/>
  <c r="V246" s="1"/>
  <c r="R46"/>
  <c r="S46" s="1"/>
  <c r="R13"/>
  <c r="AJ17" i="26"/>
  <c r="AL17" s="1"/>
  <c r="AQ17" s="1"/>
  <c r="AR17" s="1"/>
  <c r="AH21"/>
  <c r="R253" i="24"/>
  <c r="S253" s="1"/>
  <c r="R241"/>
  <c r="R237"/>
  <c r="S237" s="1"/>
  <c r="V237" s="1"/>
  <c r="R233"/>
  <c r="S233" s="1"/>
  <c r="R229"/>
  <c r="S229" s="1"/>
  <c r="R221"/>
  <c r="R217"/>
  <c r="S217" s="1"/>
  <c r="R209"/>
  <c r="S209" s="1"/>
  <c r="R189"/>
  <c r="S189" s="1"/>
  <c r="V189" s="1"/>
  <c r="R137"/>
  <c r="R129"/>
  <c r="S129" s="1"/>
  <c r="R125"/>
  <c r="S125" s="1"/>
  <c r="R113"/>
  <c r="S113" s="1"/>
  <c r="R49"/>
  <c r="R45"/>
  <c r="S45" s="1"/>
  <c r="R37"/>
  <c r="S37" s="1"/>
  <c r="R10"/>
  <c r="S10" s="1"/>
  <c r="R198"/>
  <c r="R118"/>
  <c r="S118" s="1"/>
  <c r="R114"/>
  <c r="S114" s="1"/>
  <c r="R26"/>
  <c r="S26" s="1"/>
  <c r="R247"/>
  <c r="R151"/>
  <c r="S151" s="1"/>
  <c r="V151" s="1"/>
  <c r="R83"/>
  <c r="S83" s="1"/>
  <c r="R79"/>
  <c r="S79" s="1"/>
  <c r="R67"/>
  <c r="R63"/>
  <c r="S63" s="1"/>
  <c r="R268"/>
  <c r="S268" s="1"/>
  <c r="R252"/>
  <c r="S252" s="1"/>
  <c r="V252" s="1"/>
  <c r="R248"/>
  <c r="R236"/>
  <c r="S236" s="1"/>
  <c r="R220"/>
  <c r="S220" s="1"/>
  <c r="R188"/>
  <c r="S188" s="1"/>
  <c r="V188" s="1"/>
  <c r="R172"/>
  <c r="R140"/>
  <c r="S140" s="1"/>
  <c r="R120"/>
  <c r="S120" s="1"/>
  <c r="R104"/>
  <c r="R80"/>
  <c r="R76"/>
  <c r="S76" s="1"/>
  <c r="R64"/>
  <c r="S64" s="1"/>
  <c r="U64" s="1"/>
  <c r="E66" i="25" s="1"/>
  <c r="R56" i="24"/>
  <c r="S56" s="1"/>
  <c r="R36"/>
  <c r="R32"/>
  <c r="S32" s="1"/>
  <c r="R16"/>
  <c r="S16" s="1"/>
  <c r="R194"/>
  <c r="S194" s="1"/>
  <c r="V194" s="1"/>
  <c r="R162"/>
  <c r="R146"/>
  <c r="S146" s="1"/>
  <c r="R142"/>
  <c r="S142" s="1"/>
  <c r="R134"/>
  <c r="S134" s="1"/>
  <c r="R62"/>
  <c r="R58"/>
  <c r="S58" s="1"/>
  <c r="R239"/>
  <c r="S239" s="1"/>
  <c r="R219"/>
  <c r="S219" s="1"/>
  <c r="R195"/>
  <c r="R183"/>
  <c r="S183" s="1"/>
  <c r="R163"/>
  <c r="S163" s="1"/>
  <c r="R147"/>
  <c r="S147" s="1"/>
  <c r="R135"/>
  <c r="R123"/>
  <c r="S123" s="1"/>
  <c r="R43"/>
  <c r="S43" s="1"/>
  <c r="U43" s="1"/>
  <c r="E45" i="25" s="1"/>
  <c r="R181" i="24"/>
  <c r="S181" s="1"/>
  <c r="R69"/>
  <c r="R226"/>
  <c r="S226" s="1"/>
  <c r="R174"/>
  <c r="S174" s="1"/>
  <c r="R82"/>
  <c r="S82" s="1"/>
  <c r="R259"/>
  <c r="R223"/>
  <c r="S223" s="1"/>
  <c r="R119"/>
  <c r="S119" s="1"/>
  <c r="U119" s="1"/>
  <c r="E121" i="25" s="1"/>
  <c r="R264" i="24"/>
  <c r="S264" s="1"/>
  <c r="R180"/>
  <c r="R96"/>
  <c r="S96" s="1"/>
  <c r="R84"/>
  <c r="S84" s="1"/>
  <c r="R60"/>
  <c r="S60" s="1"/>
  <c r="R5"/>
  <c r="R235"/>
  <c r="S235" s="1"/>
  <c r="V235" s="1"/>
  <c r="R155"/>
  <c r="S155" s="1"/>
  <c r="V155" s="1"/>
  <c r="R9"/>
  <c r="S9" s="1"/>
  <c r="R121"/>
  <c r="R105"/>
  <c r="S105" s="1"/>
  <c r="R178"/>
  <c r="S178" s="1"/>
  <c r="R170"/>
  <c r="S170" s="1"/>
  <c r="R35"/>
  <c r="R139"/>
  <c r="S139" s="1"/>
  <c r="R197"/>
  <c r="S197" s="1"/>
  <c r="R193"/>
  <c r="S193" s="1"/>
  <c r="V193" s="1"/>
  <c r="R185"/>
  <c r="R93"/>
  <c r="S93" s="1"/>
  <c r="U93" s="1"/>
  <c r="E95" i="25" s="1"/>
  <c r="R73" i="24"/>
  <c r="S73" s="1"/>
  <c r="R65"/>
  <c r="R57"/>
  <c r="R182"/>
  <c r="S182" s="1"/>
  <c r="V182" s="1"/>
  <c r="R154"/>
  <c r="S154" s="1"/>
  <c r="V154" s="1"/>
  <c r="R143"/>
  <c r="S143" s="1"/>
  <c r="U143" s="1"/>
  <c r="E145" i="25" s="1"/>
  <c r="R55" i="24"/>
  <c r="R232"/>
  <c r="S232" s="1"/>
  <c r="V232" s="1"/>
  <c r="R204"/>
  <c r="S204" s="1"/>
  <c r="V204" s="1"/>
  <c r="R164"/>
  <c r="S164" s="1"/>
  <c r="R160"/>
  <c r="R156"/>
  <c r="S156" s="1"/>
  <c r="R124"/>
  <c r="S124" s="1"/>
  <c r="R88"/>
  <c r="S88" s="1"/>
  <c r="R40"/>
  <c r="R28"/>
  <c r="S28" s="1"/>
  <c r="R214"/>
  <c r="S214" s="1"/>
  <c r="R126"/>
  <c r="S126" s="1"/>
  <c r="R231"/>
  <c r="R87"/>
  <c r="S87" s="1"/>
  <c r="R257"/>
  <c r="S257" s="1"/>
  <c r="V257" s="1"/>
  <c r="R249"/>
  <c r="S249" s="1"/>
  <c r="R245"/>
  <c r="R225"/>
  <c r="S225" s="1"/>
  <c r="R213"/>
  <c r="S213" s="1"/>
  <c r="V213" s="1"/>
  <c r="R205"/>
  <c r="S205" s="1"/>
  <c r="R201"/>
  <c r="R161"/>
  <c r="S161" s="1"/>
  <c r="V161" s="1"/>
  <c r="R157"/>
  <c r="S157" s="1"/>
  <c r="R141"/>
  <c r="S141" s="1"/>
  <c r="R117"/>
  <c r="R101"/>
  <c r="S101" s="1"/>
  <c r="R85"/>
  <c r="S85" s="1"/>
  <c r="R81"/>
  <c r="S81" s="1"/>
  <c r="R53"/>
  <c r="R25"/>
  <c r="S25" s="1"/>
  <c r="R21"/>
  <c r="S21" s="1"/>
  <c r="R266"/>
  <c r="S266" s="1"/>
  <c r="R262"/>
  <c r="R250"/>
  <c r="S250" s="1"/>
  <c r="R242"/>
  <c r="S242" s="1"/>
  <c r="R202"/>
  <c r="S202" s="1"/>
  <c r="V202" s="1"/>
  <c r="R190"/>
  <c r="R186"/>
  <c r="S186" s="1"/>
  <c r="R106"/>
  <c r="S106" s="1"/>
  <c r="R78"/>
  <c r="S78" s="1"/>
  <c r="R50"/>
  <c r="R42"/>
  <c r="S42" s="1"/>
  <c r="R7"/>
  <c r="S7" s="1"/>
  <c r="V7" s="1"/>
  <c r="H7" i="19" s="1"/>
  <c r="R267" i="24"/>
  <c r="S267" s="1"/>
  <c r="V267" s="1"/>
  <c r="R263"/>
  <c r="R215"/>
  <c r="S215" s="1"/>
  <c r="R171"/>
  <c r="S171" s="1"/>
  <c r="R111"/>
  <c r="S111" s="1"/>
  <c r="R103"/>
  <c r="R75"/>
  <c r="S75" s="1"/>
  <c r="R71"/>
  <c r="S71" s="1"/>
  <c r="R51"/>
  <c r="S51" s="1"/>
  <c r="R23"/>
  <c r="S23" s="1"/>
  <c r="V23" s="1"/>
  <c r="H23" i="19" s="1"/>
  <c r="R260" i="24"/>
  <c r="S260" s="1"/>
  <c r="V260" s="1"/>
  <c r="R256"/>
  <c r="S256" s="1"/>
  <c r="V256" s="1"/>
  <c r="R240"/>
  <c r="S240" s="1"/>
  <c r="V240" s="1"/>
  <c r="R228"/>
  <c r="R224"/>
  <c r="S224" s="1"/>
  <c r="R212"/>
  <c r="S212" s="1"/>
  <c r="V212" s="1"/>
  <c r="R208"/>
  <c r="S208" s="1"/>
  <c r="R196"/>
  <c r="R192"/>
  <c r="S192" s="1"/>
  <c r="R168"/>
  <c r="S168" s="1"/>
  <c r="V168" s="1"/>
  <c r="R152"/>
  <c r="S152" s="1"/>
  <c r="R128"/>
  <c r="R116"/>
  <c r="S116" s="1"/>
  <c r="R100"/>
  <c r="S100" s="1"/>
  <c r="R92"/>
  <c r="S92" s="1"/>
  <c r="R68"/>
  <c r="R48"/>
  <c r="S48" s="1"/>
  <c r="R44"/>
  <c r="S44" s="1"/>
  <c r="R24"/>
  <c r="S24" s="1"/>
  <c r="V24" s="1"/>
  <c r="H24" i="19" s="1"/>
  <c r="R20" i="24"/>
  <c r="R258"/>
  <c r="S258" s="1"/>
  <c r="R234"/>
  <c r="S234" s="1"/>
  <c r="R222"/>
  <c r="S222" s="1"/>
  <c r="R218"/>
  <c r="R166"/>
  <c r="S166" s="1"/>
  <c r="R130"/>
  <c r="S130" s="1"/>
  <c r="U130" s="1"/>
  <c r="E132" i="25" s="1"/>
  <c r="R110" i="24"/>
  <c r="S110" s="1"/>
  <c r="R70"/>
  <c r="R54"/>
  <c r="S54" s="1"/>
  <c r="R14"/>
  <c r="S14" s="1"/>
  <c r="R211"/>
  <c r="S211" s="1"/>
  <c r="R159"/>
  <c r="R115"/>
  <c r="S115" s="1"/>
  <c r="U115" s="1"/>
  <c r="E117" i="25" s="1"/>
  <c r="R95" i="24"/>
  <c r="S95" s="1"/>
  <c r="R39"/>
  <c r="S39" s="1"/>
  <c r="R27"/>
  <c r="R15"/>
  <c r="S15" s="1"/>
  <c r="R8"/>
  <c r="S8" s="1"/>
  <c r="R210"/>
  <c r="S210" s="1"/>
  <c r="V210" s="1"/>
  <c r="R177"/>
  <c r="R89"/>
  <c r="S89" s="1"/>
  <c r="R77"/>
  <c r="S77" s="1"/>
  <c r="R30"/>
  <c r="S30" s="1"/>
  <c r="R255"/>
  <c r="R207"/>
  <c r="R127"/>
  <c r="S127" s="1"/>
  <c r="R216"/>
  <c r="S216" s="1"/>
  <c r="V216" s="1"/>
  <c r="R184"/>
  <c r="R72"/>
  <c r="S72" s="1"/>
  <c r="R94"/>
  <c r="S94" s="1"/>
  <c r="R18"/>
  <c r="S18" s="1"/>
  <c r="R179"/>
  <c r="R107"/>
  <c r="S107" s="1"/>
  <c r="R99"/>
  <c r="S99" s="1"/>
  <c r="R19"/>
  <c r="S19" s="1"/>
  <c r="R265"/>
  <c r="R261"/>
  <c r="S261" s="1"/>
  <c r="V261" s="1"/>
  <c r="R173"/>
  <c r="S173" s="1"/>
  <c r="R165"/>
  <c r="S165" s="1"/>
  <c r="V165" s="1"/>
  <c r="R153"/>
  <c r="R149"/>
  <c r="S149" s="1"/>
  <c r="R145"/>
  <c r="S145" s="1"/>
  <c r="R133"/>
  <c r="R109"/>
  <c r="S109" s="1"/>
  <c r="V109" s="1"/>
  <c r="H109" i="19" s="1"/>
  <c r="R61" i="24"/>
  <c r="S61" s="1"/>
  <c r="R41"/>
  <c r="S41" s="1"/>
  <c r="R33"/>
  <c r="S33" s="1"/>
  <c r="R29"/>
  <c r="R17"/>
  <c r="S17" s="1"/>
  <c r="R230"/>
  <c r="S230" s="1"/>
  <c r="R158"/>
  <c r="S158" s="1"/>
  <c r="R150"/>
  <c r="R102"/>
  <c r="S102" s="1"/>
  <c r="R90"/>
  <c r="S90" s="1"/>
  <c r="R74"/>
  <c r="S74" s="1"/>
  <c r="R66"/>
  <c r="R38"/>
  <c r="S38" s="1"/>
  <c r="R34"/>
  <c r="S34" s="1"/>
  <c r="R203"/>
  <c r="R187"/>
  <c r="R175"/>
  <c r="S175" s="1"/>
  <c r="R131"/>
  <c r="S131" s="1"/>
  <c r="R91"/>
  <c r="S91" s="1"/>
  <c r="R59"/>
  <c r="R47"/>
  <c r="S47" s="1"/>
  <c r="R31"/>
  <c r="S31" s="1"/>
  <c r="R244"/>
  <c r="S244" s="1"/>
  <c r="R200"/>
  <c r="R176"/>
  <c r="S176" s="1"/>
  <c r="R148"/>
  <c r="S148" s="1"/>
  <c r="R144"/>
  <c r="S144" s="1"/>
  <c r="R136"/>
  <c r="R132"/>
  <c r="S132" s="1"/>
  <c r="R112"/>
  <c r="S112" s="1"/>
  <c r="R108"/>
  <c r="S108" s="1"/>
  <c r="R52"/>
  <c r="R6"/>
  <c r="S6" s="1"/>
  <c r="R254"/>
  <c r="S254" s="1"/>
  <c r="V254" s="1"/>
  <c r="R238"/>
  <c r="S238" s="1"/>
  <c r="V238" s="1"/>
  <c r="R206"/>
  <c r="R138"/>
  <c r="S138" s="1"/>
  <c r="R122"/>
  <c r="S122" s="1"/>
  <c r="R98"/>
  <c r="S98" s="1"/>
  <c r="R86"/>
  <c r="R22"/>
  <c r="S22" s="1"/>
  <c r="U22" s="1"/>
  <c r="E24" i="25" s="1"/>
  <c r="R11" i="24"/>
  <c r="S11" s="1"/>
  <c r="U11" s="1"/>
  <c r="E13" i="25" s="1"/>
  <c r="R243" i="24"/>
  <c r="R199"/>
  <c r="R191"/>
  <c r="S191" s="1"/>
  <c r="V191" s="1"/>
  <c r="R12"/>
  <c r="S12" s="1"/>
  <c r="S97"/>
  <c r="S179"/>
  <c r="V179" s="1"/>
  <c r="S207"/>
  <c r="V207" s="1"/>
  <c r="S80"/>
  <c r="S104"/>
  <c r="U104" s="1"/>
  <c r="E106" i="25" s="1"/>
  <c r="AJ29" i="26"/>
  <c r="AL29" s="1"/>
  <c r="AP29" s="1"/>
  <c r="R28" i="19" s="1"/>
  <c r="Q28" s="1"/>
  <c r="AI29" i="26"/>
  <c r="AN24"/>
  <c r="AN26"/>
  <c r="AP6"/>
  <c r="R5" i="19" s="1"/>
  <c r="Q5" s="1"/>
  <c r="AQ6" i="26"/>
  <c r="AR6" s="1"/>
  <c r="AP17"/>
  <c r="R16" i="19" s="1"/>
  <c r="Q16" s="1"/>
  <c r="AP8" i="26"/>
  <c r="R7" i="19" s="1"/>
  <c r="Q7" s="1"/>
  <c r="AQ8" i="26"/>
  <c r="AR8" s="1"/>
  <c r="AP27"/>
  <c r="R26" i="19" s="1"/>
  <c r="Q26" s="1"/>
  <c r="AQ27" i="26"/>
  <c r="AR27" s="1"/>
  <c r="AP10"/>
  <c r="R9" i="19" s="1"/>
  <c r="Q9" s="1"/>
  <c r="AQ10" i="26"/>
  <c r="AR10" s="1"/>
  <c r="AI15"/>
  <c r="AL15" s="1"/>
  <c r="AJ15"/>
  <c r="AI11"/>
  <c r="AJ11"/>
  <c r="AL11" s="1"/>
  <c r="AJ21"/>
  <c r="AI21"/>
  <c r="AL21" s="1"/>
  <c r="AJ19"/>
  <c r="AI19"/>
  <c r="AL19" s="1"/>
  <c r="AF7"/>
  <c r="AI7" s="1"/>
  <c r="AL7" s="1"/>
  <c r="AG7"/>
  <c r="AJ7" s="1"/>
  <c r="AI28"/>
  <c r="AJ28"/>
  <c r="AL28" s="1"/>
  <c r="AI26"/>
  <c r="AL26" s="1"/>
  <c r="AJ26"/>
  <c r="AI24"/>
  <c r="AL24" s="1"/>
  <c r="AJ24"/>
  <c r="AI22"/>
  <c r="AJ22"/>
  <c r="AL22" s="1"/>
  <c r="AI20"/>
  <c r="AL20" s="1"/>
  <c r="AJ20"/>
  <c r="AI18"/>
  <c r="AL18" s="1"/>
  <c r="AJ18"/>
  <c r="AF16"/>
  <c r="AG16"/>
  <c r="AJ16"/>
  <c r="AL16" s="1"/>
  <c r="AI16"/>
  <c r="AJ14"/>
  <c r="AI14"/>
  <c r="AL14" s="1"/>
  <c r="AN23"/>
  <c r="AN21"/>
  <c r="AN19"/>
  <c r="AN14"/>
  <c r="AN12"/>
  <c r="AI13"/>
  <c r="AL13" s="1"/>
  <c r="AJ13"/>
  <c r="AG25"/>
  <c r="AJ25" s="1"/>
  <c r="AF25"/>
  <c r="AI25" s="1"/>
  <c r="AL25" s="1"/>
  <c r="AF9"/>
  <c r="AI9" s="1"/>
  <c r="AL9" s="1"/>
  <c r="AG9"/>
  <c r="AJ9" s="1"/>
  <c r="AG23"/>
  <c r="AJ23" s="1"/>
  <c r="AL23" s="1"/>
  <c r="AF23"/>
  <c r="AI23" s="1"/>
  <c r="AJ12"/>
  <c r="AI12"/>
  <c r="AL12" s="1"/>
  <c r="S160" i="24"/>
  <c r="V160" s="1"/>
  <c r="I136" i="25"/>
  <c r="E62" i="19" s="1"/>
  <c r="S65" i="24"/>
  <c r="I106" i="25"/>
  <c r="E32" i="19" s="1"/>
  <c r="I110" i="25"/>
  <c r="E36" i="19" s="1"/>
  <c r="I181" i="25"/>
  <c r="E107" i="19" s="1"/>
  <c r="S35" i="24"/>
  <c r="S153"/>
  <c r="V153" s="1"/>
  <c r="S27"/>
  <c r="U27" s="1"/>
  <c r="E29" i="25" s="1"/>
  <c r="S59" i="24"/>
  <c r="I164" i="25"/>
  <c r="E90" i="19" s="1"/>
  <c r="S40" i="24"/>
  <c r="I170" i="25"/>
  <c r="E96" i="19" s="1"/>
  <c r="I215" i="25"/>
  <c r="E141" i="19" s="1"/>
  <c r="I183" i="25"/>
  <c r="E109" i="19" s="1"/>
  <c r="I178" i="25"/>
  <c r="E104" i="19" s="1"/>
  <c r="I167" i="25"/>
  <c r="E93" i="19" s="1"/>
  <c r="S231" i="24"/>
  <c r="V231" s="1"/>
  <c r="S137"/>
  <c r="S133"/>
  <c r="S57"/>
  <c r="I88" i="25"/>
  <c r="E14" i="19" s="1"/>
  <c r="I102" i="25"/>
  <c r="E28" i="19" s="1"/>
  <c r="S29" i="24"/>
  <c r="I128" i="25"/>
  <c r="E54" i="19" s="1"/>
  <c r="I157" i="25"/>
  <c r="E83" i="19" s="1"/>
  <c r="S159" i="24"/>
  <c r="V159" s="1"/>
  <c r="S70"/>
  <c r="S66"/>
  <c r="S203"/>
  <c r="S136"/>
  <c r="I97" i="25"/>
  <c r="E23" i="19" s="1"/>
  <c r="S117" i="24"/>
  <c r="I144" i="25"/>
  <c r="E70" i="19" s="1"/>
  <c r="S162" i="24"/>
  <c r="V162" s="1"/>
  <c r="S86"/>
  <c r="S185"/>
  <c r="I149" i="25"/>
  <c r="E75" i="19" s="1"/>
  <c r="S69" i="24"/>
  <c r="S218"/>
  <c r="S121"/>
  <c r="S190"/>
  <c r="V190" s="1"/>
  <c r="S128"/>
  <c r="S68"/>
  <c r="S20"/>
  <c r="I115" i="25"/>
  <c r="E41" i="19" s="1"/>
  <c r="I204" i="25"/>
  <c r="E130" i="19" s="1"/>
  <c r="I121" i="25"/>
  <c r="E47" i="19" s="1"/>
  <c r="I155" i="25"/>
  <c r="E81" i="19" s="1"/>
  <c r="S201" i="24"/>
  <c r="V201" s="1"/>
  <c r="S103"/>
  <c r="S67"/>
  <c r="I153" i="25"/>
  <c r="E79" i="19" s="1"/>
  <c r="S52" i="24"/>
  <c r="S62"/>
  <c r="S55"/>
  <c r="S169"/>
  <c r="S221"/>
  <c r="S248"/>
  <c r="V248" s="1"/>
  <c r="S172"/>
  <c r="S187"/>
  <c r="S53"/>
  <c r="S50"/>
  <c r="S36"/>
  <c r="I113" i="25"/>
  <c r="E39" i="19" s="1"/>
  <c r="I137" i="25"/>
  <c r="E63" i="19" s="1"/>
  <c r="S135" i="24"/>
  <c r="I142" i="25"/>
  <c r="E68" i="19" s="1"/>
  <c r="S49" i="24"/>
  <c r="S5"/>
  <c r="S13"/>
  <c r="S198"/>
  <c r="V198" s="1"/>
  <c r="I221" i="25"/>
  <c r="E147" i="19" s="1"/>
  <c r="I196" i="25"/>
  <c r="E122" i="19" s="1"/>
  <c r="S206" i="24"/>
  <c r="V206" s="1"/>
  <c r="S245"/>
  <c r="V245" s="1"/>
  <c r="S228"/>
  <c r="S265"/>
  <c r="V265" s="1"/>
  <c r="S241"/>
  <c r="V241" s="1"/>
  <c r="S195"/>
  <c r="V195" s="1"/>
  <c r="S255"/>
  <c r="S177"/>
  <c r="S196"/>
  <c r="I122" i="25"/>
  <c r="E48" i="19" s="1"/>
  <c r="I90" i="25"/>
  <c r="E16" i="19" s="1"/>
  <c r="I126" i="25"/>
  <c r="E52" i="19" s="1"/>
  <c r="I140" i="25"/>
  <c r="E66" i="19" s="1"/>
  <c r="I105" i="25"/>
  <c r="E31" i="19" s="1"/>
  <c r="I145" i="25"/>
  <c r="E71" i="19" s="1"/>
  <c r="S251" i="24"/>
  <c r="S200"/>
  <c r="S184"/>
  <c r="S247"/>
  <c r="I191" i="25"/>
  <c r="E117" i="19" s="1"/>
  <c r="S259" i="24"/>
  <c r="V259" s="1"/>
  <c r="S243"/>
  <c r="S167"/>
  <c r="S180"/>
  <c r="V180" s="1"/>
  <c r="S199"/>
  <c r="V199" s="1"/>
  <c r="S263"/>
  <c r="V263" s="1"/>
  <c r="S150"/>
  <c r="I139" i="25"/>
  <c r="E65" i="19" s="1"/>
  <c r="I123" i="25"/>
  <c r="E49" i="19" s="1"/>
  <c r="I91" i="25"/>
  <c r="E17" i="19" s="1"/>
  <c r="I114" i="25"/>
  <c r="E40" i="19" s="1"/>
  <c r="I108" i="25"/>
  <c r="E34" i="19" s="1"/>
  <c r="S262" i="24"/>
  <c r="V262" s="1"/>
  <c r="I159" i="25"/>
  <c r="E85" i="19" s="1"/>
  <c r="I162" i="25"/>
  <c r="E88" i="19" s="1"/>
  <c r="I188" i="25"/>
  <c r="E114" i="19" s="1"/>
  <c r="I199" i="25"/>
  <c r="E125" i="19" s="1"/>
  <c r="I187" i="25"/>
  <c r="E113" i="19" s="1"/>
  <c r="I207" i="25"/>
  <c r="E133" i="19" s="1"/>
  <c r="I205" i="25"/>
  <c r="E131" i="19" s="1"/>
  <c r="I158" i="25"/>
  <c r="E84" i="19" s="1"/>
  <c r="I152" i="25"/>
  <c r="E78" i="19" s="1"/>
  <c r="I168" i="25"/>
  <c r="E94" i="19" s="1"/>
  <c r="I213" i="25"/>
  <c r="E139" i="19" s="1"/>
  <c r="I189" i="25"/>
  <c r="E115" i="19" s="1"/>
  <c r="I156" i="25"/>
  <c r="E82" i="19" s="1"/>
  <c r="I100" i="25"/>
  <c r="E26" i="19" s="1"/>
  <c r="I138" i="25"/>
  <c r="E64" i="19" s="1"/>
  <c r="I160" i="25"/>
  <c r="E86" i="19" s="1"/>
  <c r="I151" i="25"/>
  <c r="E77" i="19" s="1"/>
  <c r="I135" i="25"/>
  <c r="E61" i="19" s="1"/>
  <c r="I119" i="25"/>
  <c r="E45" i="19" s="1"/>
  <c r="I103" i="25"/>
  <c r="E29" i="19" s="1"/>
  <c r="I163" i="25"/>
  <c r="E89" i="19" s="1"/>
  <c r="I118" i="25"/>
  <c r="E44" i="19" s="1"/>
  <c r="I148" i="25"/>
  <c r="E74" i="19" s="1"/>
  <c r="I80" i="25"/>
  <c r="E6" i="19" s="1"/>
  <c r="I150" i="25"/>
  <c r="E76" i="19" s="1"/>
  <c r="I179" i="25"/>
  <c r="E105" i="19" s="1"/>
  <c r="I117" i="25"/>
  <c r="E43" i="19" s="1"/>
  <c r="I217" i="25"/>
  <c r="E143" i="19" s="1"/>
  <c r="I125" i="25"/>
  <c r="E51" i="19" s="1"/>
  <c r="I94" i="25"/>
  <c r="E20" i="19" s="1"/>
  <c r="I109" i="25"/>
  <c r="E35" i="19" s="1"/>
  <c r="I84" i="25"/>
  <c r="E10" i="19" s="1"/>
  <c r="I98" i="25"/>
  <c r="E24" i="19" s="1"/>
  <c r="I120" i="25"/>
  <c r="E46" i="19" s="1"/>
  <c r="I129" i="25"/>
  <c r="E55" i="19" s="1"/>
  <c r="I161" i="25"/>
  <c r="E87" i="19" s="1"/>
  <c r="I127" i="25"/>
  <c r="E53" i="19" s="1"/>
  <c r="I166" i="25"/>
  <c r="E92" i="19" s="1"/>
  <c r="I154" i="25"/>
  <c r="E80" i="19" s="1"/>
  <c r="I141" i="25"/>
  <c r="E67" i="19" s="1"/>
  <c r="I134" i="25"/>
  <c r="E60" i="19" s="1"/>
  <c r="I96" i="25"/>
  <c r="E22" i="19" s="1"/>
  <c r="I147" i="25"/>
  <c r="E73" i="19" s="1"/>
  <c r="I177" i="25"/>
  <c r="E103" i="19" s="1"/>
  <c r="I197" i="25"/>
  <c r="E123" i="19" s="1"/>
  <c r="I93" i="25"/>
  <c r="E19" i="19" s="1"/>
  <c r="I146" i="25"/>
  <c r="E72" i="19" s="1"/>
  <c r="I212" i="25"/>
  <c r="E138" i="19" s="1"/>
  <c r="I173" i="25"/>
  <c r="E99" i="19" s="1"/>
  <c r="I193" i="25"/>
  <c r="E119" i="19" s="1"/>
  <c r="I133" i="25"/>
  <c r="E59" i="19" s="1"/>
  <c r="I130" i="25"/>
  <c r="E56" i="19" s="1"/>
  <c r="I172" i="25"/>
  <c r="E98" i="19" s="1"/>
  <c r="I107" i="25"/>
  <c r="E33" i="19" s="1"/>
  <c r="I175" i="25"/>
  <c r="E101" i="19" s="1"/>
  <c r="I85" i="25"/>
  <c r="E11" i="19" s="1"/>
  <c r="I86" i="25"/>
  <c r="E12" i="19" s="1"/>
  <c r="I116" i="25"/>
  <c r="E42" i="19" s="1"/>
  <c r="I169" i="25"/>
  <c r="E95" i="19" s="1"/>
  <c r="I89" i="25"/>
  <c r="E15" i="19" s="1"/>
  <c r="I112" i="25"/>
  <c r="E38" i="19" s="1"/>
  <c r="I101" i="25"/>
  <c r="E27" i="19" s="1"/>
  <c r="I82" i="25"/>
  <c r="E8" i="19" s="1"/>
  <c r="I83" i="25"/>
  <c r="E9" i="19" s="1"/>
  <c r="I143" i="25"/>
  <c r="E69" i="19" s="1"/>
  <c r="I111" i="25"/>
  <c r="E37" i="19" s="1"/>
  <c r="I131" i="25"/>
  <c r="E57" i="19" s="1"/>
  <c r="I176" i="25"/>
  <c r="E102" i="19" s="1"/>
  <c r="I171" i="25"/>
  <c r="E97" i="19" s="1"/>
  <c r="I99" i="25"/>
  <c r="E25" i="19" s="1"/>
  <c r="I132" i="25"/>
  <c r="E58" i="19" s="1"/>
  <c r="I87" i="25"/>
  <c r="E13" i="19" s="1"/>
  <c r="I180" i="25"/>
  <c r="E106" i="19" s="1"/>
  <c r="I201" i="25"/>
  <c r="E127" i="19" s="1"/>
  <c r="I104" i="25"/>
  <c r="E30" i="19" s="1"/>
  <c r="I81" i="25"/>
  <c r="E7" i="19" s="1"/>
  <c r="I182" i="25"/>
  <c r="E108" i="19" s="1"/>
  <c r="I192" i="25"/>
  <c r="E118" i="19" s="1"/>
  <c r="I206" i="25"/>
  <c r="E132" i="19" s="1"/>
  <c r="I200" i="25"/>
  <c r="E126" i="19" s="1"/>
  <c r="I184" i="25"/>
  <c r="E110" i="19" s="1"/>
  <c r="I203" i="25"/>
  <c r="E129" i="19" s="1"/>
  <c r="I211" i="25"/>
  <c r="E137" i="19" s="1"/>
  <c r="I222" i="25"/>
  <c r="E148" i="19" s="1"/>
  <c r="I190" i="25"/>
  <c r="E116" i="19" s="1"/>
  <c r="I218" i="25"/>
  <c r="E144" i="19" s="1"/>
  <c r="I216" i="25"/>
  <c r="E142" i="19" s="1"/>
  <c r="I202" i="25"/>
  <c r="E128" i="19" s="1"/>
  <c r="I220" i="25"/>
  <c r="E146" i="19" s="1"/>
  <c r="I124" i="25"/>
  <c r="E50" i="19" s="1"/>
  <c r="I92" i="25"/>
  <c r="E18" i="19" s="1"/>
  <c r="I165" i="25"/>
  <c r="E91" i="19" s="1"/>
  <c r="I214" i="25"/>
  <c r="E140" i="19" s="1"/>
  <c r="I185" i="25"/>
  <c r="E111" i="19" s="1"/>
  <c r="I219" i="25"/>
  <c r="E145" i="19" s="1"/>
  <c r="I198" i="25"/>
  <c r="E124" i="19" s="1"/>
  <c r="I210" i="25"/>
  <c r="E136" i="19" s="1"/>
  <c r="I208" i="25"/>
  <c r="E134" i="19" s="1"/>
  <c r="I194" i="25"/>
  <c r="E120" i="19" s="1"/>
  <c r="I186" i="25"/>
  <c r="E112" i="19" s="1"/>
  <c r="I195" i="25"/>
  <c r="E121" i="19" s="1"/>
  <c r="I209" i="25"/>
  <c r="E135" i="19" s="1"/>
  <c r="U23" i="24"/>
  <c r="E25" i="25" s="1"/>
  <c r="U109" i="24"/>
  <c r="U24" l="1"/>
  <c r="E26" i="25" s="1"/>
  <c r="U168" i="24"/>
  <c r="E170" i="25" s="1"/>
  <c r="V244" i="24"/>
  <c r="U244"/>
  <c r="U159"/>
  <c r="E161" i="25" s="1"/>
  <c r="U151" i="24"/>
  <c r="E153" i="25" s="1"/>
  <c r="V166" i="24"/>
  <c r="U166"/>
  <c r="E168" i="25" s="1"/>
  <c r="H168" s="1"/>
  <c r="V225" i="24"/>
  <c r="U225"/>
  <c r="V230"/>
  <c r="U230"/>
  <c r="V214"/>
  <c r="U214"/>
  <c r="E216" i="25" s="1"/>
  <c r="U207" i="24"/>
  <c r="E209" i="25" s="1"/>
  <c r="U7" i="24"/>
  <c r="U167"/>
  <c r="E169" i="25" s="1"/>
  <c r="V167" i="24"/>
  <c r="U226"/>
  <c r="V226"/>
  <c r="U255"/>
  <c r="V255"/>
  <c r="U176"/>
  <c r="E178" i="25" s="1"/>
  <c r="V176" i="24"/>
  <c r="V126"/>
  <c r="H126" i="19" s="1"/>
  <c r="V14" i="24"/>
  <c r="H14" i="19" s="1"/>
  <c r="V92" i="24"/>
  <c r="H92" i="19" s="1"/>
  <c r="U56" i="24"/>
  <c r="E58" i="25" s="1"/>
  <c r="V56" i="24"/>
  <c r="H56" i="19" s="1"/>
  <c r="U172" i="24"/>
  <c r="E174" i="25" s="1"/>
  <c r="V172" i="24"/>
  <c r="V21"/>
  <c r="H21" i="19" s="1"/>
  <c r="V55" i="24"/>
  <c r="H55" i="19" s="1"/>
  <c r="U52" i="24"/>
  <c r="E54" i="25" s="1"/>
  <c r="V52" i="24"/>
  <c r="H52" i="19" s="1"/>
  <c r="U102" i="24"/>
  <c r="E104" i="25" s="1"/>
  <c r="V102" i="24"/>
  <c r="H102" i="19" s="1"/>
  <c r="U106" i="24"/>
  <c r="E108" i="25" s="1"/>
  <c r="V106" i="24"/>
  <c r="H106" i="19" s="1"/>
  <c r="U113" i="24"/>
  <c r="E115" i="25" s="1"/>
  <c r="V113" i="24"/>
  <c r="H113" i="19" s="1"/>
  <c r="V51" i="24"/>
  <c r="H51" i="19" s="1"/>
  <c r="U118" i="24"/>
  <c r="E120" i="25" s="1"/>
  <c r="V118" i="24"/>
  <c r="H118" i="19" s="1"/>
  <c r="V84" i="24"/>
  <c r="H84" i="19" s="1"/>
  <c r="U142" i="24"/>
  <c r="E144" i="25" s="1"/>
  <c r="V142" i="24"/>
  <c r="U178"/>
  <c r="E180" i="25" s="1"/>
  <c r="V178" i="24"/>
  <c r="U10"/>
  <c r="E12" i="25" s="1"/>
  <c r="V10" i="24"/>
  <c r="H10" i="19" s="1"/>
  <c r="V140" i="24"/>
  <c r="H140" i="19" s="1"/>
  <c r="I76" i="20" s="1"/>
  <c r="U107" i="24"/>
  <c r="E109" i="25" s="1"/>
  <c r="V107" i="24"/>
  <c r="H107" i="19" s="1"/>
  <c r="V59" i="24"/>
  <c r="H59" i="19" s="1"/>
  <c r="I19" i="20" s="1"/>
  <c r="V111" i="24"/>
  <c r="H111" i="19" s="1"/>
  <c r="U227" i="24"/>
  <c r="V227"/>
  <c r="V80"/>
  <c r="U183"/>
  <c r="E185" i="25" s="1"/>
  <c r="V183" i="24"/>
  <c r="U236"/>
  <c r="V236"/>
  <c r="U268"/>
  <c r="V268"/>
  <c r="U200"/>
  <c r="E202" i="25" s="1"/>
  <c r="V200" i="24"/>
  <c r="U86"/>
  <c r="E88" i="25" s="1"/>
  <c r="V86" i="24"/>
  <c r="H86" i="19" s="1"/>
  <c r="U170" i="24"/>
  <c r="E172" i="25" s="1"/>
  <c r="V170" i="24"/>
  <c r="U18"/>
  <c r="E20" i="25" s="1"/>
  <c r="V18" i="24"/>
  <c r="H18" i="19" s="1"/>
  <c r="V138" i="24"/>
  <c r="V127"/>
  <c r="H127" i="19" s="1"/>
  <c r="U61" i="24"/>
  <c r="E63" i="25" s="1"/>
  <c r="V61" i="24"/>
  <c r="H61" i="19" s="1"/>
  <c r="I21" i="20" s="1"/>
  <c r="U125" i="24"/>
  <c r="E127" i="25" s="1"/>
  <c r="V125" i="24"/>
  <c r="H125" i="19" s="1"/>
  <c r="V6" i="24"/>
  <c r="V116"/>
  <c r="H116" i="19" s="1"/>
  <c r="V47" i="24"/>
  <c r="H47" i="19" s="1"/>
  <c r="U73" i="24"/>
  <c r="E75" i="25" s="1"/>
  <c r="V73" i="24"/>
  <c r="H73" i="19" s="1"/>
  <c r="V123" i="24"/>
  <c r="H123" i="19" s="1"/>
  <c r="U33" i="24"/>
  <c r="E35" i="25" s="1"/>
  <c r="V33" i="24"/>
  <c r="H33" i="19" s="1"/>
  <c r="V58" i="24"/>
  <c r="H58" i="19" s="1"/>
  <c r="U95" i="24"/>
  <c r="E97" i="25" s="1"/>
  <c r="H97" s="1"/>
  <c r="D23" i="19" s="1"/>
  <c r="G23" s="1"/>
  <c r="V95" i="24"/>
  <c r="H95" i="19" s="1"/>
  <c r="U100" i="24"/>
  <c r="E102" i="25" s="1"/>
  <c r="V100" i="24"/>
  <c r="H100" i="19" s="1"/>
  <c r="U42" i="24"/>
  <c r="E44" i="25" s="1"/>
  <c r="V42" i="24"/>
  <c r="H42" i="19" s="1"/>
  <c r="U150" i="24"/>
  <c r="E152" i="25" s="1"/>
  <c r="V150" i="24"/>
  <c r="U234"/>
  <c r="V234"/>
  <c r="U175"/>
  <c r="E177" i="25" s="1"/>
  <c r="V175" i="24"/>
  <c r="U205"/>
  <c r="E207" i="25" s="1"/>
  <c r="V205" i="24"/>
  <c r="U247"/>
  <c r="V247"/>
  <c r="U184"/>
  <c r="E186" i="25" s="1"/>
  <c r="V184" i="24"/>
  <c r="U177"/>
  <c r="E179" i="25" s="1"/>
  <c r="V177" i="24"/>
  <c r="U209"/>
  <c r="E211" i="25" s="1"/>
  <c r="V209" i="24"/>
  <c r="U249"/>
  <c r="V249"/>
  <c r="U228"/>
  <c r="V228"/>
  <c r="U222"/>
  <c r="V222"/>
  <c r="U242"/>
  <c r="V242"/>
  <c r="V5"/>
  <c r="H5" i="19" s="1"/>
  <c r="V143" i="24"/>
  <c r="H143" i="19" s="1"/>
  <c r="I43" i="20" s="1"/>
  <c r="U63" i="24"/>
  <c r="E65" i="25" s="1"/>
  <c r="H209" s="1"/>
  <c r="V63" i="24"/>
  <c r="U36"/>
  <c r="E38" i="25" s="1"/>
  <c r="V36" i="24"/>
  <c r="H36" i="19" s="1"/>
  <c r="U239" i="24"/>
  <c r="V239"/>
  <c r="U124"/>
  <c r="E126" i="25" s="1"/>
  <c r="V124" i="24"/>
  <c r="H124" i="19" s="1"/>
  <c r="U187" i="24"/>
  <c r="E189" i="25" s="1"/>
  <c r="H189" s="1"/>
  <c r="V187" i="24"/>
  <c r="U220"/>
  <c r="E222" i="25" s="1"/>
  <c r="V220" i="24"/>
  <c r="U253"/>
  <c r="V253"/>
  <c r="V17"/>
  <c r="H17" i="19" s="1"/>
  <c r="V62" i="24"/>
  <c r="V74"/>
  <c r="H74" i="19" s="1"/>
  <c r="I61" i="20" s="1"/>
  <c r="V89" i="24"/>
  <c r="H89" i="19" s="1"/>
  <c r="V99" i="24"/>
  <c r="H99" i="19" s="1"/>
  <c r="U103" i="24"/>
  <c r="E105" i="25" s="1"/>
  <c r="V103" i="24"/>
  <c r="H103" i="19" s="1"/>
  <c r="V141" i="24"/>
  <c r="H141" i="19" s="1"/>
  <c r="I77" i="20" s="1"/>
  <c r="U60" i="24"/>
  <c r="E62" i="25" s="1"/>
  <c r="V60" i="24"/>
  <c r="V94"/>
  <c r="H94" i="19" s="1"/>
  <c r="U148" i="24"/>
  <c r="E150" i="25" s="1"/>
  <c r="V148" i="24"/>
  <c r="H148" i="19" s="1"/>
  <c r="I81" i="20" s="1"/>
  <c r="U218" i="24"/>
  <c r="E220" i="25" s="1"/>
  <c r="V218" i="24"/>
  <c r="V69"/>
  <c r="U185"/>
  <c r="E187" i="25" s="1"/>
  <c r="V185" i="24"/>
  <c r="U132"/>
  <c r="E134" i="25" s="1"/>
  <c r="V132" i="24"/>
  <c r="H132" i="19" s="1"/>
  <c r="I38" i="20" s="1"/>
  <c r="V83" i="24"/>
  <c r="H83" i="19" s="1"/>
  <c r="U28" i="24"/>
  <c r="E30" i="25" s="1"/>
  <c r="V28" i="24"/>
  <c r="H28" i="19" s="1"/>
  <c r="V88" i="24"/>
  <c r="H88" i="19" s="1"/>
  <c r="U76" i="24"/>
  <c r="E78" i="25" s="1"/>
  <c r="V76" i="24"/>
  <c r="U174"/>
  <c r="E176" i="25" s="1"/>
  <c r="V174" i="24"/>
  <c r="V90"/>
  <c r="U152"/>
  <c r="E154" i="25" s="1"/>
  <c r="V152" i="24"/>
  <c r="V29"/>
  <c r="V57"/>
  <c r="H57" i="19" s="1"/>
  <c r="V41" i="24"/>
  <c r="H41" i="19" s="1"/>
  <c r="V101" i="24"/>
  <c r="H101" i="19" s="1"/>
  <c r="V87" i="24"/>
  <c r="H87" i="19" s="1"/>
  <c r="V40" i="24"/>
  <c r="H40" i="19" s="1"/>
  <c r="V112" i="24"/>
  <c r="U258"/>
  <c r="V258"/>
  <c r="V43"/>
  <c r="H43" i="19" s="1"/>
  <c r="U37" i="24"/>
  <c r="E39" i="25" s="1"/>
  <c r="V37" i="24"/>
  <c r="H37" i="19" s="1"/>
  <c r="U131" i="24"/>
  <c r="E133" i="25" s="1"/>
  <c r="V131" i="24"/>
  <c r="U85"/>
  <c r="E87" i="25" s="1"/>
  <c r="V85" i="24"/>
  <c r="H85" i="19" s="1"/>
  <c r="V115" i="24"/>
  <c r="H115" i="19" s="1"/>
  <c r="V104" i="24"/>
  <c r="H104" i="19" s="1"/>
  <c r="U160" i="24"/>
  <c r="E162" i="25" s="1"/>
  <c r="U204" i="24"/>
  <c r="E206" i="25" s="1"/>
  <c r="U263" i="24"/>
  <c r="U266"/>
  <c r="V266"/>
  <c r="U164"/>
  <c r="E166" i="25" s="1"/>
  <c r="V164" i="24"/>
  <c r="U264"/>
  <c r="V264"/>
  <c r="U157"/>
  <c r="E159" i="25" s="1"/>
  <c r="V157" i="24"/>
  <c r="U251"/>
  <c r="V251"/>
  <c r="U197"/>
  <c r="E199" i="25" s="1"/>
  <c r="V197" i="24"/>
  <c r="V9"/>
  <c r="H9" i="19" s="1"/>
  <c r="U49" i="24"/>
  <c r="E51" i="25" s="1"/>
  <c r="V49" i="24"/>
  <c r="H49" i="19" s="1"/>
  <c r="V135" i="24"/>
  <c r="V30"/>
  <c r="H30" i="19" s="1"/>
  <c r="U215" i="24"/>
  <c r="E217" i="25" s="1"/>
  <c r="V215" i="24"/>
  <c r="U149"/>
  <c r="E151" i="25" s="1"/>
  <c r="V149" i="24"/>
  <c r="V77"/>
  <c r="H77" i="19" s="1"/>
  <c r="V98" i="24"/>
  <c r="H98" i="19" s="1"/>
  <c r="V120" i="24"/>
  <c r="H120" i="19" s="1"/>
  <c r="U117" i="24"/>
  <c r="E119" i="25" s="1"/>
  <c r="V117" i="24"/>
  <c r="H117" i="19" s="1"/>
  <c r="U136" i="24"/>
  <c r="E138" i="25" s="1"/>
  <c r="H138" s="1"/>
  <c r="V136" i="24"/>
  <c r="H136" i="19" s="1"/>
  <c r="I75" i="20" s="1"/>
  <c r="U203" i="24"/>
  <c r="E205" i="25" s="1"/>
  <c r="V203" i="24"/>
  <c r="U158"/>
  <c r="E160" i="25" s="1"/>
  <c r="V158" i="24"/>
  <c r="V70"/>
  <c r="V45"/>
  <c r="H45" i="19" s="1"/>
  <c r="V19" i="24"/>
  <c r="H19" i="19" s="1"/>
  <c r="V133" i="24"/>
  <c r="V46"/>
  <c r="H46" i="19" s="1"/>
  <c r="V32" i="24"/>
  <c r="H32" i="19" s="1"/>
  <c r="U26" i="24"/>
  <c r="E28" i="25" s="1"/>
  <c r="V26" i="24"/>
  <c r="H26" i="19" s="1"/>
  <c r="V96" i="24"/>
  <c r="H96" i="19" s="1"/>
  <c r="V65" i="24"/>
  <c r="V146"/>
  <c r="U97"/>
  <c r="E99" i="25" s="1"/>
  <c r="V97" i="24"/>
  <c r="H97" i="19" s="1"/>
  <c r="U196" i="24"/>
  <c r="E198" i="25" s="1"/>
  <c r="V196" i="24"/>
  <c r="U173"/>
  <c r="E175" i="25" s="1"/>
  <c r="V173" i="24"/>
  <c r="V71"/>
  <c r="V93"/>
  <c r="H93" i="19" s="1"/>
  <c r="U233" i="24"/>
  <c r="V233"/>
  <c r="U50"/>
  <c r="E52" i="25" s="1"/>
  <c r="V50" i="24"/>
  <c r="H50" i="19" s="1"/>
  <c r="V54" i="24"/>
  <c r="H54" i="19" s="1"/>
  <c r="U53" i="24"/>
  <c r="E55" i="25" s="1"/>
  <c r="V53" i="24"/>
  <c r="H53" i="19" s="1"/>
  <c r="U156" i="24"/>
  <c r="E158" i="25" s="1"/>
  <c r="V156" i="24"/>
  <c r="U169"/>
  <c r="E171" i="25" s="1"/>
  <c r="V169" i="24"/>
  <c r="V147"/>
  <c r="V22"/>
  <c r="H22" i="19" s="1"/>
  <c r="V130" i="24"/>
  <c r="H130" i="19" s="1"/>
  <c r="V145" i="24"/>
  <c r="V31"/>
  <c r="H31" i="19" s="1"/>
  <c r="U48" i="24"/>
  <c r="E50" i="25" s="1"/>
  <c r="V48" i="24"/>
  <c r="H48" i="19" s="1"/>
  <c r="U20" i="24"/>
  <c r="E22" i="25" s="1"/>
  <c r="V20" i="24"/>
  <c r="H20" i="19" s="1"/>
  <c r="U72" i="24"/>
  <c r="E74" i="25" s="1"/>
  <c r="V72" i="24"/>
  <c r="H72" i="19" s="1"/>
  <c r="I26" i="20" s="1"/>
  <c r="V121" i="24"/>
  <c r="H121" i="19" s="1"/>
  <c r="U12" i="24"/>
  <c r="E14" i="25" s="1"/>
  <c r="H158" s="1"/>
  <c r="D84" i="19" s="1"/>
  <c r="G84" s="1"/>
  <c r="V12" i="24"/>
  <c r="H12" i="19" s="1"/>
  <c r="V144" i="24"/>
  <c r="U66"/>
  <c r="E68" i="25" s="1"/>
  <c r="V66" i="24"/>
  <c r="V114"/>
  <c r="H114" i="19" s="1"/>
  <c r="V137" i="24"/>
  <c r="H137" i="19" s="1"/>
  <c r="I40" i="20" s="1"/>
  <c r="U219" i="24"/>
  <c r="E221" i="25" s="1"/>
  <c r="V219" i="24"/>
  <c r="U243"/>
  <c r="V243"/>
  <c r="U192"/>
  <c r="E194" i="25" s="1"/>
  <c r="V192" i="24"/>
  <c r="U250"/>
  <c r="V250"/>
  <c r="U208"/>
  <c r="E210" i="25" s="1"/>
  <c r="H210" s="1"/>
  <c r="V208" i="24"/>
  <c r="U229"/>
  <c r="V229"/>
  <c r="U217"/>
  <c r="E219" i="25" s="1"/>
  <c r="V217" i="24"/>
  <c r="V13"/>
  <c r="H13" i="19" s="1"/>
  <c r="U139" i="24"/>
  <c r="E141" i="25" s="1"/>
  <c r="V139" i="24"/>
  <c r="U8"/>
  <c r="E10" i="25" s="1"/>
  <c r="V8" i="24"/>
  <c r="H8" i="19" s="1"/>
  <c r="U211" i="24"/>
  <c r="E213" i="25" s="1"/>
  <c r="V211" i="24"/>
  <c r="V78"/>
  <c r="H78" i="19" s="1"/>
  <c r="U171" i="24"/>
  <c r="E173" i="25" s="1"/>
  <c r="H173" s="1"/>
  <c r="D99" i="19" s="1"/>
  <c r="G99" s="1"/>
  <c r="V171" i="24"/>
  <c r="U221"/>
  <c r="V221"/>
  <c r="V81"/>
  <c r="H81" i="19" s="1"/>
  <c r="V38" i="24"/>
  <c r="H38" i="19" s="1"/>
  <c r="V82" i="24"/>
  <c r="H82" i="19" s="1"/>
  <c r="U15" i="24"/>
  <c r="E17" i="25" s="1"/>
  <c r="V15" i="24"/>
  <c r="H15" i="19" s="1"/>
  <c r="U67" i="24"/>
  <c r="E69" i="25" s="1"/>
  <c r="V67" i="24"/>
  <c r="U105"/>
  <c r="E107" i="25" s="1"/>
  <c r="V105" i="24"/>
  <c r="H105" i="19" s="1"/>
  <c r="V16" i="24"/>
  <c r="H16" i="19" s="1"/>
  <c r="U68" i="24"/>
  <c r="E70" i="25" s="1"/>
  <c r="V68" i="24"/>
  <c r="U128"/>
  <c r="E130" i="25" s="1"/>
  <c r="V128" i="24"/>
  <c r="H128" i="19" s="1"/>
  <c r="U224" i="24"/>
  <c r="V224"/>
  <c r="V39"/>
  <c r="H39" i="19" s="1"/>
  <c r="U134" i="24"/>
  <c r="E136" i="25" s="1"/>
  <c r="V134" i="24"/>
  <c r="H134" i="19" s="1"/>
  <c r="I73" i="20" s="1"/>
  <c r="U122" i="24"/>
  <c r="E124" i="25" s="1"/>
  <c r="V122" i="24"/>
  <c r="H122" i="19" s="1"/>
  <c r="V108" i="24"/>
  <c r="H108" i="19" s="1"/>
  <c r="U34" i="24"/>
  <c r="E36" i="25" s="1"/>
  <c r="V34" i="24"/>
  <c r="H34" i="19" s="1"/>
  <c r="U181" i="24"/>
  <c r="E183" i="25" s="1"/>
  <c r="V181" i="24"/>
  <c r="U223"/>
  <c r="V223"/>
  <c r="V110"/>
  <c r="H110" i="19" s="1"/>
  <c r="U186" i="24"/>
  <c r="E188" i="25" s="1"/>
  <c r="V186" i="24"/>
  <c r="V91"/>
  <c r="H91" i="19" s="1"/>
  <c r="I36" i="20" s="1"/>
  <c r="V75" i="24"/>
  <c r="U44"/>
  <c r="E46" i="25" s="1"/>
  <c r="V44" i="24"/>
  <c r="H44" i="19" s="1"/>
  <c r="U129" i="24"/>
  <c r="E131" i="25" s="1"/>
  <c r="V129" i="24"/>
  <c r="U163"/>
  <c r="E165" i="25" s="1"/>
  <c r="V163" i="24"/>
  <c r="V27"/>
  <c r="H27" i="19" s="1"/>
  <c r="U35" i="24"/>
  <c r="E37" i="25" s="1"/>
  <c r="V35" i="24"/>
  <c r="H35" i="19" s="1"/>
  <c r="U25" i="24"/>
  <c r="E27" i="25" s="1"/>
  <c r="V25" i="24"/>
  <c r="H25" i="19" s="1"/>
  <c r="V11" i="24"/>
  <c r="H11" i="19" s="1"/>
  <c r="V119" i="24"/>
  <c r="H119" i="19" s="1"/>
  <c r="U79" i="24"/>
  <c r="E81" i="25" s="1"/>
  <c r="V79" i="24"/>
  <c r="H79" i="19" s="1"/>
  <c r="V64" i="24"/>
  <c r="U31"/>
  <c r="E33" i="25" s="1"/>
  <c r="U58" i="24"/>
  <c r="E60" i="25" s="1"/>
  <c r="H132" s="1"/>
  <c r="U179" i="24"/>
  <c r="E181" i="25" s="1"/>
  <c r="E111"/>
  <c r="E9"/>
  <c r="U198" i="24"/>
  <c r="E200" i="25" s="1"/>
  <c r="U146" i="24"/>
  <c r="E148" i="25" s="1"/>
  <c r="U188" i="24"/>
  <c r="E190" i="25" s="1"/>
  <c r="U140" i="24"/>
  <c r="E142" i="25" s="1"/>
  <c r="U80" i="24"/>
  <c r="E82" i="25" s="1"/>
  <c r="U161" i="24"/>
  <c r="E163" i="25" s="1"/>
  <c r="U45" i="24"/>
  <c r="U111"/>
  <c r="E113" i="25" s="1"/>
  <c r="U127" i="24"/>
  <c r="E129" i="25" s="1"/>
  <c r="U41" i="24"/>
  <c r="U195"/>
  <c r="E197" i="25" s="1"/>
  <c r="U14" i="24"/>
  <c r="U231"/>
  <c r="U32"/>
  <c r="U5"/>
  <c r="U77"/>
  <c r="E79" i="25" s="1"/>
  <c r="U254" i="24"/>
  <c r="U210"/>
  <c r="U206"/>
  <c r="E208" i="25" s="1"/>
  <c r="U212" i="24"/>
  <c r="U116"/>
  <c r="E118" i="25" s="1"/>
  <c r="U78" i="24"/>
  <c r="E80" i="25" s="1"/>
  <c r="U165" i="24"/>
  <c r="E167" i="25" s="1"/>
  <c r="U153" i="24"/>
  <c r="E155" i="25" s="1"/>
  <c r="U267" i="24"/>
  <c r="U241"/>
  <c r="U84"/>
  <c r="U133"/>
  <c r="AQ29" i="26"/>
  <c r="AR29" s="1"/>
  <c r="J69" i="19"/>
  <c r="J141"/>
  <c r="J70"/>
  <c r="J140"/>
  <c r="J142"/>
  <c r="J68"/>
  <c r="J40"/>
  <c r="J39"/>
  <c r="J112"/>
  <c r="J38"/>
  <c r="J110"/>
  <c r="J111"/>
  <c r="J5"/>
  <c r="J78"/>
  <c r="J77"/>
  <c r="J6"/>
  <c r="J7"/>
  <c r="J79"/>
  <c r="J90"/>
  <c r="J19"/>
  <c r="J91"/>
  <c r="J18"/>
  <c r="J17"/>
  <c r="J89"/>
  <c r="J13"/>
  <c r="J85"/>
  <c r="J12"/>
  <c r="J11"/>
  <c r="J83"/>
  <c r="J84"/>
  <c r="J146"/>
  <c r="J76"/>
  <c r="J75"/>
  <c r="J147"/>
  <c r="J148"/>
  <c r="J74"/>
  <c r="U126" i="24"/>
  <c r="E128" i="25" s="1"/>
  <c r="U21" i="24"/>
  <c r="AP23" i="26"/>
  <c r="R22" i="19" s="1"/>
  <c r="Q22" s="1"/>
  <c r="AQ23" i="26"/>
  <c r="AR23" s="1"/>
  <c r="AQ7"/>
  <c r="AR7" s="1"/>
  <c r="AP7"/>
  <c r="R6" i="19" s="1"/>
  <c r="Q6" s="1"/>
  <c r="AQ9" i="26"/>
  <c r="AR9" s="1"/>
  <c r="AP9"/>
  <c r="R8" i="19" s="1"/>
  <c r="Q8" s="1"/>
  <c r="AP12" i="26"/>
  <c r="R11" i="19" s="1"/>
  <c r="Q11" s="1"/>
  <c r="AQ12" i="26"/>
  <c r="AR12" s="1"/>
  <c r="AP16"/>
  <c r="R15" i="19" s="1"/>
  <c r="Q15" s="1"/>
  <c r="AQ16" i="26"/>
  <c r="AR16" s="1"/>
  <c r="AQ18"/>
  <c r="AR18" s="1"/>
  <c r="AP18"/>
  <c r="R17" i="19" s="1"/>
  <c r="Q17" s="1"/>
  <c r="AQ26" i="26"/>
  <c r="AR26" s="1"/>
  <c r="AP26"/>
  <c r="R25" i="19" s="1"/>
  <c r="Q25" s="1"/>
  <c r="AQ15" i="26"/>
  <c r="AR15" s="1"/>
  <c r="AP15"/>
  <c r="R14" i="19" s="1"/>
  <c r="Q14" s="1"/>
  <c r="AQ13" i="26"/>
  <c r="AR13" s="1"/>
  <c r="AP13"/>
  <c r="R12" i="19" s="1"/>
  <c r="Q12" s="1"/>
  <c r="AQ22" i="26"/>
  <c r="AR22" s="1"/>
  <c r="AP22"/>
  <c r="R21" i="19" s="1"/>
  <c r="Q21" s="1"/>
  <c r="AP19" i="26"/>
  <c r="R18" i="19" s="1"/>
  <c r="Q18" s="1"/>
  <c r="AQ19" i="26"/>
  <c r="AR19" s="1"/>
  <c r="AP21"/>
  <c r="R20" i="19" s="1"/>
  <c r="Q20" s="1"/>
  <c r="AQ21" i="26"/>
  <c r="AR21" s="1"/>
  <c r="AP25"/>
  <c r="R24" i="19" s="1"/>
  <c r="Q24" s="1"/>
  <c r="AQ25" i="26"/>
  <c r="AR25" s="1"/>
  <c r="AQ20"/>
  <c r="AR20" s="1"/>
  <c r="AP20"/>
  <c r="R19" i="19" s="1"/>
  <c r="Q19" s="1"/>
  <c r="AQ24" i="26"/>
  <c r="AR24" s="1"/>
  <c r="AP24"/>
  <c r="R23" i="19" s="1"/>
  <c r="Q23" s="1"/>
  <c r="AP14" i="26"/>
  <c r="R13" i="19" s="1"/>
  <c r="Q13" s="1"/>
  <c r="AQ14" i="26"/>
  <c r="AR14" s="1"/>
  <c r="AQ28"/>
  <c r="AR28" s="1"/>
  <c r="AP28"/>
  <c r="R27" i="19" s="1"/>
  <c r="Q27" s="1"/>
  <c r="AQ11" i="26"/>
  <c r="AR11" s="1"/>
  <c r="AP11"/>
  <c r="R10" i="19" s="1"/>
  <c r="Q10" s="1"/>
  <c r="U248" i="24"/>
  <c r="U144"/>
  <c r="U135"/>
  <c r="E137" i="25" s="1"/>
  <c r="U51" i="24"/>
  <c r="U59"/>
  <c r="U147"/>
  <c r="E149" i="25" s="1"/>
  <c r="U92" i="24"/>
  <c r="U110"/>
  <c r="E112" i="25" s="1"/>
  <c r="I27" i="20"/>
  <c r="U101" i="24"/>
  <c r="E103" i="25" s="1"/>
  <c r="U55" i="24"/>
  <c r="U213"/>
  <c r="E215" i="25" s="1"/>
  <c r="U57" i="24"/>
  <c r="U180"/>
  <c r="E182" i="25" s="1"/>
  <c r="H182" s="1"/>
  <c r="D108" i="19" s="1"/>
  <c r="G108" s="1"/>
  <c r="U252" i="24"/>
  <c r="U199"/>
  <c r="E201" i="25" s="1"/>
  <c r="U123" i="24"/>
  <c r="E125" i="25" s="1"/>
  <c r="U155" i="24"/>
  <c r="U191"/>
  <c r="E193" i="25" s="1"/>
  <c r="U182" i="24"/>
  <c r="E184" i="25" s="1"/>
  <c r="U112" i="24"/>
  <c r="E114" i="25" s="1"/>
  <c r="U260" i="24"/>
  <c r="U70"/>
  <c r="U47"/>
  <c r="E49" i="25" s="1"/>
  <c r="U96" i="24"/>
  <c r="U138"/>
  <c r="U256"/>
  <c r="U201"/>
  <c r="E203" i="25" s="1"/>
  <c r="U162" i="24"/>
  <c r="U202"/>
  <c r="U189"/>
  <c r="E191" i="25" s="1"/>
  <c r="U91" i="24"/>
  <c r="E93" i="25" s="1"/>
  <c r="U16" i="24"/>
  <c r="U29"/>
  <c r="U74"/>
  <c r="U40"/>
  <c r="U87"/>
  <c r="U246"/>
  <c r="U65"/>
  <c r="E67" i="25" s="1"/>
  <c r="U75" i="24"/>
  <c r="E77" i="25" s="1"/>
  <c r="U90" i="24"/>
  <c r="U145"/>
  <c r="U71"/>
  <c r="E73" i="25" s="1"/>
  <c r="H145" s="1"/>
  <c r="U193" i="24"/>
  <c r="U190"/>
  <c r="E192" i="25" s="1"/>
  <c r="U98" i="24"/>
  <c r="U88"/>
  <c r="E90" i="25" s="1"/>
  <c r="U94" i="24"/>
  <c r="U137"/>
  <c r="E139" i="25" s="1"/>
  <c r="U6" i="24"/>
  <c r="U114"/>
  <c r="U83"/>
  <c r="U19"/>
  <c r="E21" i="25" s="1"/>
  <c r="U46" i="24"/>
  <c r="U194"/>
  <c r="U262"/>
  <c r="U9"/>
  <c r="U141"/>
  <c r="E143" i="25" s="1"/>
  <c r="U120" i="24"/>
  <c r="U257"/>
  <c r="U39"/>
  <c r="U13"/>
  <c r="U216"/>
  <c r="U232"/>
  <c r="U69"/>
  <c r="E71" i="25" s="1"/>
  <c r="U38" i="24"/>
  <c r="E40" i="25" s="1"/>
  <c r="U265" i="24"/>
  <c r="U108"/>
  <c r="U30"/>
  <c r="U54"/>
  <c r="U82"/>
  <c r="U99"/>
  <c r="U89"/>
  <c r="E91" i="25" s="1"/>
  <c r="U81" i="24"/>
  <c r="E83" i="25" s="1"/>
  <c r="U121" i="24"/>
  <c r="U62"/>
  <c r="U259"/>
  <c r="U261"/>
  <c r="U17"/>
  <c r="U235"/>
  <c r="H117" i="25"/>
  <c r="U240" i="24"/>
  <c r="U238"/>
  <c r="U154"/>
  <c r="U237"/>
  <c r="H169" i="25"/>
  <c r="U245" i="24"/>
  <c r="H177" i="25" l="1"/>
  <c r="D103" i="19" s="1"/>
  <c r="G103" s="1"/>
  <c r="H170" i="25"/>
  <c r="D96" i="19" s="1"/>
  <c r="G96" s="1"/>
  <c r="H102" i="25"/>
  <c r="H161"/>
  <c r="H179"/>
  <c r="D105" i="19" s="1"/>
  <c r="G105" s="1"/>
  <c r="H108" i="25"/>
  <c r="D34" i="19" s="1"/>
  <c r="G34" s="1"/>
  <c r="H207" i="25"/>
  <c r="M207" s="1"/>
  <c r="I29" i="20"/>
  <c r="H127" i="25"/>
  <c r="M127" s="1"/>
  <c r="H81"/>
  <c r="D7" i="19" s="1"/>
  <c r="G7" s="1"/>
  <c r="H166" i="25"/>
  <c r="D92" i="19" s="1"/>
  <c r="G92" s="1"/>
  <c r="I16" i="20"/>
  <c r="H99" i="25"/>
  <c r="D25" i="19" s="1"/>
  <c r="G25" s="1"/>
  <c r="H199" i="25"/>
  <c r="D125" i="19" s="1"/>
  <c r="G125" s="1"/>
  <c r="H206" i="25"/>
  <c r="D132" i="19" s="1"/>
  <c r="G132" s="1"/>
  <c r="H67"/>
  <c r="I24" i="20" s="1"/>
  <c r="H68" i="19"/>
  <c r="I58" i="20" s="1"/>
  <c r="H131" i="19"/>
  <c r="I37" i="20" s="1"/>
  <c r="H90" i="19"/>
  <c r="I35" i="20" s="1"/>
  <c r="H145" i="19"/>
  <c r="I45" i="20" s="1"/>
  <c r="H71" i="19"/>
  <c r="I25" i="20" s="1"/>
  <c r="H65" i="19"/>
  <c r="I22" i="20" s="1"/>
  <c r="H112" i="19"/>
  <c r="I72" i="20" s="1"/>
  <c r="H76" i="19"/>
  <c r="I63" i="20" s="1"/>
  <c r="H60" i="19"/>
  <c r="I20" i="20" s="1"/>
  <c r="H63" i="19"/>
  <c r="I56" i="20" s="1"/>
  <c r="H80" i="19"/>
  <c r="I64" i="20" s="1"/>
  <c r="H141" i="25"/>
  <c r="D67" i="19" s="1"/>
  <c r="G67" s="1"/>
  <c r="H111" i="25"/>
  <c r="M111" s="1"/>
  <c r="H219"/>
  <c r="D145" i="19" s="1"/>
  <c r="G145" s="1"/>
  <c r="H133"/>
  <c r="I39" i="20" s="1"/>
  <c r="H135" i="19"/>
  <c r="I74" i="20" s="1"/>
  <c r="H29" i="19"/>
  <c r="I13" i="20" s="1"/>
  <c r="H69" i="19"/>
  <c r="I59" i="20" s="1"/>
  <c r="H62" i="19"/>
  <c r="I55" i="20" s="1"/>
  <c r="H142" i="19"/>
  <c r="I78" i="20" s="1"/>
  <c r="H144" i="19"/>
  <c r="I44" i="20" s="1"/>
  <c r="H70" i="19"/>
  <c r="I60" i="20" s="1"/>
  <c r="H138" i="19"/>
  <c r="I41" i="20" s="1"/>
  <c r="H64" i="19"/>
  <c r="I57" i="20" s="1"/>
  <c r="H129" i="19"/>
  <c r="I71" i="20" s="1"/>
  <c r="H75" i="19"/>
  <c r="I62" i="20" s="1"/>
  <c r="H139" i="19"/>
  <c r="I42" i="20" s="1"/>
  <c r="H66" i="19"/>
  <c r="I23" i="20" s="1"/>
  <c r="H147" i="19"/>
  <c r="I80" i="20" s="1"/>
  <c r="H146" i="19"/>
  <c r="I79" i="20" s="1"/>
  <c r="H6" i="19"/>
  <c r="I11" i="20" s="1"/>
  <c r="H172" i="25"/>
  <c r="M172" s="1"/>
  <c r="H217"/>
  <c r="D143" i="19" s="1"/>
  <c r="G143" s="1"/>
  <c r="H183" i="25"/>
  <c r="D109" i="19" s="1"/>
  <c r="G109" s="1"/>
  <c r="H190" i="25"/>
  <c r="D116" i="19" s="1"/>
  <c r="G116" s="1"/>
  <c r="H181" i="25"/>
  <c r="D107" i="19" s="1"/>
  <c r="G107" s="1"/>
  <c r="H213" i="25"/>
  <c r="D139" i="19" s="1"/>
  <c r="G139" s="1"/>
  <c r="H126" i="25"/>
  <c r="D52" i="19" s="1"/>
  <c r="G52" s="1"/>
  <c r="H118" i="25"/>
  <c r="M118" s="1"/>
  <c r="H124"/>
  <c r="M124" s="1"/>
  <c r="H171"/>
  <c r="M171" s="1"/>
  <c r="H180"/>
  <c r="D106" i="19" s="1"/>
  <c r="G106" s="1"/>
  <c r="H130" i="25"/>
  <c r="D56" i="19" s="1"/>
  <c r="G56" s="1"/>
  <c r="I54" i="20"/>
  <c r="H188" i="25"/>
  <c r="D114" i="19" s="1"/>
  <c r="G114" s="1"/>
  <c r="H107" i="25"/>
  <c r="M107" s="1"/>
  <c r="H82"/>
  <c r="D8" i="19" s="1"/>
  <c r="G8" s="1"/>
  <c r="I49" i="20"/>
  <c r="H222" i="25"/>
  <c r="D148" i="19" s="1"/>
  <c r="G148" s="1"/>
  <c r="H134" i="25"/>
  <c r="D60" i="19" s="1"/>
  <c r="G60" s="1"/>
  <c r="H105" i="25"/>
  <c r="M105" s="1"/>
  <c r="H202"/>
  <c r="D128" i="19" s="1"/>
  <c r="G128" s="1"/>
  <c r="H109" i="25"/>
  <c r="D35" i="19" s="1"/>
  <c r="G35" s="1"/>
  <c r="H174" i="25"/>
  <c r="M174" s="1"/>
  <c r="I52" i="20"/>
  <c r="H198" i="25"/>
  <c r="D124" i="19" s="1"/>
  <c r="G124" s="1"/>
  <c r="I70" i="20"/>
  <c r="I12"/>
  <c r="I30"/>
  <c r="I14"/>
  <c r="I53"/>
  <c r="H194" i="25"/>
  <c r="M194" s="1"/>
  <c r="I51" i="20"/>
  <c r="I47"/>
  <c r="I32"/>
  <c r="I18"/>
  <c r="H153" i="25"/>
  <c r="D79" i="19" s="1"/>
  <c r="G79" s="1"/>
  <c r="H150" i="25"/>
  <c r="D76" i="19" s="1"/>
  <c r="G76" s="1"/>
  <c r="H142" i="25"/>
  <c r="D68" i="19" s="1"/>
  <c r="G68" s="1"/>
  <c r="I65" i="20"/>
  <c r="I10"/>
  <c r="I34"/>
  <c r="I15"/>
  <c r="I68"/>
  <c r="H154" i="25"/>
  <c r="D80" i="19" s="1"/>
  <c r="G80" s="1"/>
  <c r="I31" i="20"/>
  <c r="H137" i="25"/>
  <c r="D63" i="19" s="1"/>
  <c r="G63" s="1"/>
  <c r="I28" i="20"/>
  <c r="D44" i="19"/>
  <c r="G44" s="1"/>
  <c r="E64" i="25"/>
  <c r="H208" s="1"/>
  <c r="E56"/>
  <c r="H200" s="1"/>
  <c r="E110"/>
  <c r="H110" s="1"/>
  <c r="E42"/>
  <c r="H186" s="1"/>
  <c r="E31"/>
  <c r="H175" s="1"/>
  <c r="E59"/>
  <c r="H131" s="1"/>
  <c r="E94"/>
  <c r="H94" s="1"/>
  <c r="M94" s="1"/>
  <c r="E53"/>
  <c r="H197" s="1"/>
  <c r="E146"/>
  <c r="H146" s="1"/>
  <c r="D72" i="19" s="1"/>
  <c r="G72" s="1"/>
  <c r="E135" i="25"/>
  <c r="H135" s="1"/>
  <c r="E84"/>
  <c r="H84" s="1"/>
  <c r="E32"/>
  <c r="H176" s="1"/>
  <c r="E85"/>
  <c r="H85" s="1"/>
  <c r="E100"/>
  <c r="H100" s="1"/>
  <c r="E92"/>
  <c r="H92" s="1"/>
  <c r="D18" i="19" s="1"/>
  <c r="G18" s="1"/>
  <c r="E89" i="25"/>
  <c r="H89" s="1"/>
  <c r="E147"/>
  <c r="H147" s="1"/>
  <c r="E98"/>
  <c r="H98" s="1"/>
  <c r="E157"/>
  <c r="H157" s="1"/>
  <c r="E86"/>
  <c r="H86" s="1"/>
  <c r="E34"/>
  <c r="H106" s="1"/>
  <c r="M106" s="1"/>
  <c r="I69" i="20"/>
  <c r="I33"/>
  <c r="E48" i="25"/>
  <c r="H120" s="1"/>
  <c r="E116"/>
  <c r="H116" s="1"/>
  <c r="E195"/>
  <c r="H195" s="1"/>
  <c r="D121" i="19" s="1"/>
  <c r="G121" s="1"/>
  <c r="E156" i="25"/>
  <c r="H156" s="1"/>
  <c r="E164"/>
  <c r="H164" s="1"/>
  <c r="M164" s="1"/>
  <c r="E72"/>
  <c r="H216" s="1"/>
  <c r="D142" i="19" s="1"/>
  <c r="G142" s="1"/>
  <c r="E57" i="25"/>
  <c r="H129" s="1"/>
  <c r="E61"/>
  <c r="H205" s="1"/>
  <c r="E23"/>
  <c r="H167" s="1"/>
  <c r="D93" i="19" s="1"/>
  <c r="G93" s="1"/>
  <c r="E214" i="25"/>
  <c r="H214" s="1"/>
  <c r="E19"/>
  <c r="H163" s="1"/>
  <c r="E101"/>
  <c r="H101" s="1"/>
  <c r="E15"/>
  <c r="H159" s="1"/>
  <c r="E41"/>
  <c r="H113" s="1"/>
  <c r="E11"/>
  <c r="H155" s="1"/>
  <c r="E196"/>
  <c r="H196" s="1"/>
  <c r="E123"/>
  <c r="H123" s="1"/>
  <c r="E218"/>
  <c r="H218" s="1"/>
  <c r="E122"/>
  <c r="H122" s="1"/>
  <c r="M122" s="1"/>
  <c r="E8"/>
  <c r="H152" s="1"/>
  <c r="E96"/>
  <c r="H96" s="1"/>
  <c r="M96" s="1"/>
  <c r="E76"/>
  <c r="H220" s="1"/>
  <c r="M220" s="1"/>
  <c r="E18"/>
  <c r="H162" s="1"/>
  <c r="E204"/>
  <c r="H204" s="1"/>
  <c r="E140"/>
  <c r="H140" s="1"/>
  <c r="E212"/>
  <c r="H212" s="1"/>
  <c r="E7"/>
  <c r="H79" s="1"/>
  <c r="M79" s="1"/>
  <c r="E16"/>
  <c r="H88" s="1"/>
  <c r="E43"/>
  <c r="H187" s="1"/>
  <c r="D113" i="19" s="1"/>
  <c r="G113" s="1"/>
  <c r="E47" i="25"/>
  <c r="H191" s="1"/>
  <c r="D117" i="19" s="1"/>
  <c r="G117" s="1"/>
  <c r="I66" i="20"/>
  <c r="I17"/>
  <c r="I48"/>
  <c r="I46"/>
  <c r="I50"/>
  <c r="I67"/>
  <c r="M97" i="25"/>
  <c r="H139"/>
  <c r="M139" s="1"/>
  <c r="H193"/>
  <c r="D119" i="19" s="1"/>
  <c r="G119" s="1"/>
  <c r="J29"/>
  <c r="J101"/>
  <c r="J103"/>
  <c r="J102"/>
  <c r="J30"/>
  <c r="J31"/>
  <c r="J53"/>
  <c r="J125"/>
  <c r="J55"/>
  <c r="J54"/>
  <c r="J126"/>
  <c r="J127"/>
  <c r="J114"/>
  <c r="J43"/>
  <c r="J115"/>
  <c r="J41"/>
  <c r="J113"/>
  <c r="J42"/>
  <c r="J10"/>
  <c r="J8"/>
  <c r="J9"/>
  <c r="J81"/>
  <c r="J80"/>
  <c r="J82"/>
  <c r="J64"/>
  <c r="J135"/>
  <c r="J136"/>
  <c r="J62"/>
  <c r="J134"/>
  <c r="J63"/>
  <c r="J45"/>
  <c r="J117"/>
  <c r="J116"/>
  <c r="J44"/>
  <c r="J46"/>
  <c r="J118"/>
  <c r="J37"/>
  <c r="J109"/>
  <c r="J35"/>
  <c r="J107"/>
  <c r="J36"/>
  <c r="J108"/>
  <c r="J130"/>
  <c r="J56"/>
  <c r="J58"/>
  <c r="J128"/>
  <c r="J57"/>
  <c r="J129"/>
  <c r="H121" i="25"/>
  <c r="D47" i="19" s="1"/>
  <c r="G47" s="1"/>
  <c r="M158" i="25"/>
  <c r="J122" i="19"/>
  <c r="J124"/>
  <c r="J51"/>
  <c r="J123"/>
  <c r="J50"/>
  <c r="J52"/>
  <c r="J96"/>
  <c r="J24"/>
  <c r="J25"/>
  <c r="J97"/>
  <c r="J23"/>
  <c r="J95"/>
  <c r="J21"/>
  <c r="J93"/>
  <c r="J20"/>
  <c r="J92"/>
  <c r="J22"/>
  <c r="J94"/>
  <c r="J48"/>
  <c r="J119"/>
  <c r="J120"/>
  <c r="J49"/>
  <c r="J121"/>
  <c r="J47"/>
  <c r="J32"/>
  <c r="J106"/>
  <c r="J104"/>
  <c r="J33"/>
  <c r="J105"/>
  <c r="J34"/>
  <c r="J144"/>
  <c r="J71"/>
  <c r="J72"/>
  <c r="J73"/>
  <c r="J145"/>
  <c r="J143"/>
  <c r="J61"/>
  <c r="J133"/>
  <c r="J132"/>
  <c r="J60"/>
  <c r="J59"/>
  <c r="J131"/>
  <c r="J28"/>
  <c r="J26"/>
  <c r="J27"/>
  <c r="J99"/>
  <c r="J100"/>
  <c r="J98"/>
  <c r="J67"/>
  <c r="J139"/>
  <c r="J66"/>
  <c r="J65"/>
  <c r="J137"/>
  <c r="J138"/>
  <c r="J16"/>
  <c r="J88"/>
  <c r="J86"/>
  <c r="J14"/>
  <c r="J15"/>
  <c r="J87"/>
  <c r="M173" i="25"/>
  <c r="M150"/>
  <c r="H149"/>
  <c r="M149" s="1"/>
  <c r="M179"/>
  <c r="M117"/>
  <c r="D43" i="19"/>
  <c r="G43" s="1"/>
  <c r="M189" i="25"/>
  <c r="D115" i="19"/>
  <c r="G115" s="1"/>
  <c r="M168" i="25"/>
  <c r="D94" i="19"/>
  <c r="G94" s="1"/>
  <c r="M132" i="25"/>
  <c r="D58" i="19"/>
  <c r="G58" s="1"/>
  <c r="M169" i="25"/>
  <c r="D95" i="19"/>
  <c r="G95" s="1"/>
  <c r="M161" i="25"/>
  <c r="D87" i="19"/>
  <c r="G87" s="1"/>
  <c r="M145" i="25"/>
  <c r="D71" i="19"/>
  <c r="G71" s="1"/>
  <c r="M138" i="25"/>
  <c r="D64" i="19"/>
  <c r="G64" s="1"/>
  <c r="M210" i="25"/>
  <c r="D136" i="19"/>
  <c r="G136" s="1"/>
  <c r="M209" i="25"/>
  <c r="D135" i="19"/>
  <c r="G135" s="1"/>
  <c r="M102" i="25"/>
  <c r="D28" i="19"/>
  <c r="G28" s="1"/>
  <c r="H211" i="25"/>
  <c r="H143"/>
  <c r="H221"/>
  <c r="M182"/>
  <c r="H93"/>
  <c r="H185"/>
  <c r="H165"/>
  <c r="H112"/>
  <c r="H184"/>
  <c r="H215"/>
  <c r="M99" l="1"/>
  <c r="M170"/>
  <c r="D53" i="19"/>
  <c r="G53" s="1"/>
  <c r="M177" i="25"/>
  <c r="D133" i="19"/>
  <c r="G133" s="1"/>
  <c r="M134" i="25"/>
  <c r="M108"/>
  <c r="M199"/>
  <c r="M190"/>
  <c r="M206"/>
  <c r="M141"/>
  <c r="M130"/>
  <c r="H87"/>
  <c r="D13" i="19" s="1"/>
  <c r="G13" s="1"/>
  <c r="D120"/>
  <c r="G120" s="1"/>
  <c r="M153" i="25"/>
  <c r="D33" i="19"/>
  <c r="G33" s="1"/>
  <c r="M109" i="25"/>
  <c r="M81"/>
  <c r="M187"/>
  <c r="D100" i="19"/>
  <c r="G100" s="1"/>
  <c r="M166" i="25"/>
  <c r="M181"/>
  <c r="D50" i="19"/>
  <c r="G50" s="1"/>
  <c r="H114" i="25"/>
  <c r="D40" i="19" s="1"/>
  <c r="G40" s="1"/>
  <c r="H192" i="25"/>
  <c r="D118" i="19" s="1"/>
  <c r="G118" s="1"/>
  <c r="M188" i="25"/>
  <c r="M222"/>
  <c r="M126"/>
  <c r="M183"/>
  <c r="D97" i="19"/>
  <c r="G97" s="1"/>
  <c r="M180" i="25"/>
  <c r="D98" i="19"/>
  <c r="G98" s="1"/>
  <c r="D37"/>
  <c r="G37" s="1"/>
  <c r="D31"/>
  <c r="G31" s="1"/>
  <c r="M219" i="25"/>
  <c r="M154"/>
  <c r="M82"/>
  <c r="H103"/>
  <c r="D29" i="19" s="1"/>
  <c r="G29" s="1"/>
  <c r="M195" i="25"/>
  <c r="D5" i="19"/>
  <c r="G5" s="1"/>
  <c r="M213" i="25"/>
  <c r="M217"/>
  <c r="H115"/>
  <c r="D41" i="19" s="1"/>
  <c r="G41" s="1"/>
  <c r="M147" i="25"/>
  <c r="D73" i="19"/>
  <c r="G73" s="1"/>
  <c r="M163" i="25"/>
  <c r="D89" i="19"/>
  <c r="G89" s="1"/>
  <c r="H91" i="25"/>
  <c r="M91" s="1"/>
  <c r="D48" i="19"/>
  <c r="G48" s="1"/>
  <c r="D32"/>
  <c r="G32" s="1"/>
  <c r="M167" i="25"/>
  <c r="M198"/>
  <c r="D90" i="19"/>
  <c r="G90" s="1"/>
  <c r="M202" i="25"/>
  <c r="H151"/>
  <c r="D77" i="19" s="1"/>
  <c r="G77" s="1"/>
  <c r="H136" i="25"/>
  <c r="M92"/>
  <c r="D88" i="19"/>
  <c r="G88" s="1"/>
  <c r="M162" i="25"/>
  <c r="D55" i="19"/>
  <c r="G55" s="1"/>
  <c r="M129" i="25"/>
  <c r="D66" i="19"/>
  <c r="G66" s="1"/>
  <c r="M140" i="25"/>
  <c r="D81" i="19"/>
  <c r="G81" s="1"/>
  <c r="M155" i="25"/>
  <c r="D49" i="19"/>
  <c r="G49" s="1"/>
  <c r="M123" i="25"/>
  <c r="D46" i="19"/>
  <c r="G46" s="1"/>
  <c r="M120" i="25"/>
  <c r="D10" i="19"/>
  <c r="G10" s="1"/>
  <c r="M84" i="25"/>
  <c r="D101" i="19"/>
  <c r="G101" s="1"/>
  <c r="M175" i="25"/>
  <c r="D83" i="19"/>
  <c r="G83" s="1"/>
  <c r="M157" i="25"/>
  <c r="D11" i="19"/>
  <c r="G11" s="1"/>
  <c r="M85" i="25"/>
  <c r="M110"/>
  <c r="D36" i="19"/>
  <c r="G36" s="1"/>
  <c r="M146" i="25"/>
  <c r="M137"/>
  <c r="H203"/>
  <c r="M203" s="1"/>
  <c r="M142"/>
  <c r="D22" i="19"/>
  <c r="G22" s="1"/>
  <c r="H201" i="25"/>
  <c r="M201" s="1"/>
  <c r="H83"/>
  <c r="H125"/>
  <c r="D51" i="19" s="1"/>
  <c r="G51" s="1"/>
  <c r="H95" i="25"/>
  <c r="D21" i="19" s="1"/>
  <c r="G21" s="1"/>
  <c r="H178" i="25"/>
  <c r="D20" i="19"/>
  <c r="G20" s="1"/>
  <c r="H90" i="25"/>
  <c r="M90" s="1"/>
  <c r="D61" i="19"/>
  <c r="G61" s="1"/>
  <c r="M135" i="25"/>
  <c r="D27" i="19"/>
  <c r="G27" s="1"/>
  <c r="M101" i="25"/>
  <c r="M89"/>
  <c r="D15" i="19"/>
  <c r="G15" s="1"/>
  <c r="D138"/>
  <c r="G138" s="1"/>
  <c r="M212" i="25"/>
  <c r="D144" i="19"/>
  <c r="G144" s="1"/>
  <c r="M218" i="25"/>
  <c r="D140" i="19"/>
  <c r="G140" s="1"/>
  <c r="M214" i="25"/>
  <c r="D42" i="19"/>
  <c r="G42" s="1"/>
  <c r="M116" i="25"/>
  <c r="D26" i="19"/>
  <c r="G26" s="1"/>
  <c r="M100" i="25"/>
  <c r="M131"/>
  <c r="D57" i="19"/>
  <c r="G57" s="1"/>
  <c r="D39"/>
  <c r="G39" s="1"/>
  <c r="M113" i="25"/>
  <c r="D24" i="19"/>
  <c r="G24" s="1"/>
  <c r="M98" i="25"/>
  <c r="D14" i="19"/>
  <c r="G14" s="1"/>
  <c r="M88" i="25"/>
  <c r="D78" i="19"/>
  <c r="G78" s="1"/>
  <c r="M152" i="25"/>
  <c r="D82" i="19"/>
  <c r="G82" s="1"/>
  <c r="M156" i="25"/>
  <c r="D123" i="19"/>
  <c r="G123" s="1"/>
  <c r="M197" i="25"/>
  <c r="D130" i="19"/>
  <c r="G130" s="1"/>
  <c r="M204" i="25"/>
  <c r="D122" i="19"/>
  <c r="G122" s="1"/>
  <c r="M196" i="25"/>
  <c r="M205"/>
  <c r="D131" i="19"/>
  <c r="G131" s="1"/>
  <c r="M86" i="25"/>
  <c r="D12" i="19"/>
  <c r="G12" s="1"/>
  <c r="M186" i="25"/>
  <c r="D112" i="19"/>
  <c r="G112" s="1"/>
  <c r="H160" i="25"/>
  <c r="H119"/>
  <c r="H148"/>
  <c r="H80"/>
  <c r="H133"/>
  <c r="H144"/>
  <c r="H104"/>
  <c r="H128"/>
  <c r="D65" i="19"/>
  <c r="G65" s="1"/>
  <c r="M193" i="25"/>
  <c r="M191"/>
  <c r="D146" i="19"/>
  <c r="G146" s="1"/>
  <c r="M121" i="25"/>
  <c r="D75" i="19"/>
  <c r="G75" s="1"/>
  <c r="M216" i="25"/>
  <c r="M165"/>
  <c r="D91" i="19"/>
  <c r="G91" s="1"/>
  <c r="M200" i="25"/>
  <c r="D126" i="19"/>
  <c r="G126" s="1"/>
  <c r="M215" i="25"/>
  <c r="D141" i="19"/>
  <c r="G141" s="1"/>
  <c r="M114" i="25"/>
  <c r="M208"/>
  <c r="D134" i="19"/>
  <c r="G134" s="1"/>
  <c r="M159" i="25"/>
  <c r="D85" i="19"/>
  <c r="G85" s="1"/>
  <c r="D147"/>
  <c r="G147" s="1"/>
  <c r="M221" i="25"/>
  <c r="M184"/>
  <c r="D110" i="19"/>
  <c r="G110" s="1"/>
  <c r="M93" i="25"/>
  <c r="D19" i="19"/>
  <c r="G19" s="1"/>
  <c r="M211" i="25"/>
  <c r="D137" i="19"/>
  <c r="G137" s="1"/>
  <c r="M176" i="25"/>
  <c r="D102" i="19"/>
  <c r="G102" s="1"/>
  <c r="M112" i="25"/>
  <c r="D38" i="19"/>
  <c r="G38" s="1"/>
  <c r="M185" i="25"/>
  <c r="D111" i="19"/>
  <c r="G111" s="1"/>
  <c r="M143" i="25"/>
  <c r="D69" i="19"/>
  <c r="G69" s="1"/>
  <c r="M151" i="25" l="1"/>
  <c r="M192"/>
  <c r="M87"/>
  <c r="D17" i="19"/>
  <c r="G17" s="1"/>
  <c r="D127"/>
  <c r="G127" s="1"/>
  <c r="M115" i="25"/>
  <c r="M103"/>
  <c r="D129" i="19"/>
  <c r="G129" s="1"/>
  <c r="M136" i="25"/>
  <c r="D62" i="19"/>
  <c r="G62" s="1"/>
  <c r="D16"/>
  <c r="G16" s="1"/>
  <c r="M125" i="25"/>
  <c r="M178"/>
  <c r="D104" i="19"/>
  <c r="G104" s="1"/>
  <c r="M83" i="25"/>
  <c r="D9" i="19"/>
  <c r="G9" s="1"/>
  <c r="M95" i="25"/>
  <c r="M133"/>
  <c r="D59" i="19"/>
  <c r="G59" s="1"/>
  <c r="D70"/>
  <c r="G70" s="1"/>
  <c r="M144" i="25"/>
  <c r="D74" i="19"/>
  <c r="G74" s="1"/>
  <c r="M148" i="25"/>
  <c r="D86" i="19"/>
  <c r="G86" s="1"/>
  <c r="M160" i="25"/>
  <c r="D45" i="19"/>
  <c r="G45" s="1"/>
  <c r="M119" i="25"/>
  <c r="D30" i="19"/>
  <c r="G30" s="1"/>
  <c r="M104" i="25"/>
  <c r="M128"/>
  <c r="D54" i="19"/>
  <c r="G54" s="1"/>
  <c r="D6"/>
  <c r="G6" s="1"/>
  <c r="M80" i="25"/>
  <c r="D8" i="3"/>
  <c r="F8"/>
  <c r="D9"/>
  <c r="F9"/>
  <c r="D10"/>
  <c r="F10"/>
  <c r="D11"/>
  <c r="F11"/>
  <c r="D12"/>
  <c r="F12"/>
  <c r="D13"/>
  <c r="F13"/>
  <c r="D14"/>
  <c r="F14"/>
  <c r="D15"/>
  <c r="F15"/>
  <c r="D16"/>
  <c r="F16"/>
  <c r="D17"/>
  <c r="F17"/>
  <c r="D18"/>
  <c r="F18"/>
  <c r="D19"/>
  <c r="F19"/>
  <c r="A19"/>
  <c r="A18"/>
  <c r="A17"/>
  <c r="A16"/>
  <c r="A15"/>
  <c r="A14"/>
  <c r="A13"/>
  <c r="A12"/>
  <c r="A11"/>
  <c r="A10"/>
  <c r="A9"/>
  <c r="A8"/>
  <c r="B129" i="23"/>
  <c r="B128"/>
  <c r="B126"/>
  <c r="B125"/>
  <c r="B123"/>
  <c r="B122"/>
  <c r="B120"/>
  <c r="B119"/>
  <c r="B51" i="8" l="1"/>
  <c r="B23" i="9"/>
  <c r="C6" i="22"/>
  <c r="B6"/>
  <c r="C5"/>
  <c r="B5"/>
  <c r="C4"/>
  <c r="B4"/>
  <c r="C3"/>
  <c r="B3"/>
  <c r="B7" s="1"/>
  <c r="X160" i="8"/>
  <c r="W160"/>
  <c r="V160"/>
  <c r="U160"/>
  <c r="T160"/>
  <c r="S160"/>
  <c r="R160"/>
  <c r="Q160"/>
  <c r="P160"/>
  <c r="O160"/>
  <c r="N160"/>
  <c r="M160"/>
  <c r="L160"/>
  <c r="K160"/>
  <c r="J160"/>
  <c r="I160"/>
  <c r="H160"/>
  <c r="G160"/>
  <c r="F160"/>
  <c r="E160"/>
  <c r="D160"/>
  <c r="A159" s="1"/>
  <c r="X121"/>
  <c r="W121"/>
  <c r="V121"/>
  <c r="U121"/>
  <c r="T121"/>
  <c r="S121"/>
  <c r="R121"/>
  <c r="Q121"/>
  <c r="P121"/>
  <c r="O121"/>
  <c r="N121"/>
  <c r="M121"/>
  <c r="L121"/>
  <c r="K121"/>
  <c r="J121"/>
  <c r="I121"/>
  <c r="H121"/>
  <c r="G121"/>
  <c r="F121"/>
  <c r="E121"/>
  <c r="D121"/>
  <c r="X120"/>
  <c r="W120"/>
  <c r="V120"/>
  <c r="U120"/>
  <c r="T120"/>
  <c r="S120"/>
  <c r="R120"/>
  <c r="Q120"/>
  <c r="P120"/>
  <c r="O120"/>
  <c r="N120"/>
  <c r="M120"/>
  <c r="L120"/>
  <c r="K120"/>
  <c r="J120"/>
  <c r="I120"/>
  <c r="H120"/>
  <c r="G120"/>
  <c r="F120"/>
  <c r="E120"/>
  <c r="D120"/>
  <c r="X84"/>
  <c r="W84"/>
  <c r="V84"/>
  <c r="U84"/>
  <c r="T84"/>
  <c r="S84"/>
  <c r="R84"/>
  <c r="Q84"/>
  <c r="P84"/>
  <c r="O84"/>
  <c r="N84"/>
  <c r="M84"/>
  <c r="L84"/>
  <c r="K84"/>
  <c r="J84"/>
  <c r="I84"/>
  <c r="H84"/>
  <c r="G84"/>
  <c r="F84"/>
  <c r="E84"/>
  <c r="X83"/>
  <c r="W83"/>
  <c r="V83"/>
  <c r="U83"/>
  <c r="T83"/>
  <c r="S83"/>
  <c r="R83"/>
  <c r="Q83"/>
  <c r="P83"/>
  <c r="O83"/>
  <c r="N83"/>
  <c r="M83"/>
  <c r="L83"/>
  <c r="K83"/>
  <c r="J83"/>
  <c r="I83"/>
  <c r="H83"/>
  <c r="G83"/>
  <c r="F83"/>
  <c r="E83"/>
  <c r="X73"/>
  <c r="W73"/>
  <c r="V73"/>
  <c r="U73"/>
  <c r="T73"/>
  <c r="S73"/>
  <c r="R73"/>
  <c r="Q73"/>
  <c r="P73"/>
  <c r="O73"/>
  <c r="N73"/>
  <c r="M73"/>
  <c r="L73"/>
  <c r="K73"/>
  <c r="J73"/>
  <c r="I73"/>
  <c r="H73"/>
  <c r="G73"/>
  <c r="F73"/>
  <c r="E73"/>
  <c r="X72"/>
  <c r="W72"/>
  <c r="V72"/>
  <c r="U72"/>
  <c r="T72"/>
  <c r="S72"/>
  <c r="R72"/>
  <c r="Q72"/>
  <c r="P72"/>
  <c r="O72"/>
  <c r="N72"/>
  <c r="M72"/>
  <c r="L72"/>
  <c r="K72"/>
  <c r="J72"/>
  <c r="I72"/>
  <c r="H72"/>
  <c r="G72"/>
  <c r="F72"/>
  <c r="E72"/>
  <c r="D63"/>
  <c r="D50"/>
  <c r="D43"/>
  <c r="D42"/>
  <c r="D36"/>
  <c r="D35"/>
  <c r="D34"/>
  <c r="D33"/>
  <c r="D26"/>
  <c r="D25"/>
  <c r="D62" s="1"/>
  <c r="D24"/>
  <c r="D61" s="1"/>
  <c r="D23"/>
  <c r="D60" s="1"/>
  <c r="X12"/>
  <c r="W12"/>
  <c r="V12"/>
  <c r="U12"/>
  <c r="T12"/>
  <c r="S12"/>
  <c r="R12"/>
  <c r="Q12"/>
  <c r="P12"/>
  <c r="O12"/>
  <c r="N12"/>
  <c r="M12"/>
  <c r="L12"/>
  <c r="K12"/>
  <c r="J12"/>
  <c r="I12"/>
  <c r="H12"/>
  <c r="G12"/>
  <c r="F12"/>
  <c r="E12"/>
  <c r="C9"/>
  <c r="A9"/>
  <c r="C7" i="22" l="1"/>
  <c r="C9" s="1"/>
  <c r="U59" i="8"/>
  <c r="C44"/>
  <c r="C46"/>
  <c r="C45"/>
  <c r="D59"/>
  <c r="T59"/>
  <c r="L59"/>
  <c r="D51"/>
  <c r="E59"/>
  <c r="M59"/>
  <c r="W59"/>
  <c r="S59"/>
  <c r="O59"/>
  <c r="K59"/>
  <c r="G59"/>
  <c r="V59"/>
  <c r="R59"/>
  <c r="N59"/>
  <c r="J59"/>
  <c r="F59"/>
  <c r="I59"/>
  <c r="Q59"/>
  <c r="H59"/>
  <c r="P59"/>
  <c r="X59"/>
  <c r="B9" i="22" l="1"/>
  <c r="C43" i="8" l="1"/>
  <c r="S26" l="1"/>
  <c r="S54" s="1"/>
  <c r="O26"/>
  <c r="O54" s="1"/>
  <c r="K26"/>
  <c r="K54" s="1"/>
  <c r="G26"/>
  <c r="G54" s="1"/>
  <c r="S25"/>
  <c r="S53" s="1"/>
  <c r="O25"/>
  <c r="O53" s="1"/>
  <c r="K25"/>
  <c r="K53" s="1"/>
  <c r="G25"/>
  <c r="G53" s="1"/>
  <c r="S24"/>
  <c r="S52" s="1"/>
  <c r="O24"/>
  <c r="O52" s="1"/>
  <c r="K24"/>
  <c r="K52" s="1"/>
  <c r="G24"/>
  <c r="G52" s="1"/>
  <c r="S23"/>
  <c r="O23"/>
  <c r="K23"/>
  <c r="G23"/>
  <c r="P26"/>
  <c r="P54" s="1"/>
  <c r="L26"/>
  <c r="L54" s="1"/>
  <c r="H26"/>
  <c r="H54" s="1"/>
  <c r="P25"/>
  <c r="P53" s="1"/>
  <c r="L25"/>
  <c r="L53" s="1"/>
  <c r="H25"/>
  <c r="H53" s="1"/>
  <c r="P24"/>
  <c r="P52" s="1"/>
  <c r="L24"/>
  <c r="L52" s="1"/>
  <c r="H24"/>
  <c r="H52" s="1"/>
  <c r="P23"/>
  <c r="L23"/>
  <c r="H23"/>
  <c r="Q26"/>
  <c r="Q54" s="1"/>
  <c r="M26"/>
  <c r="M54" s="1"/>
  <c r="I26"/>
  <c r="I54" s="1"/>
  <c r="E26"/>
  <c r="Q25"/>
  <c r="Q53" s="1"/>
  <c r="M25"/>
  <c r="M53" s="1"/>
  <c r="I25"/>
  <c r="I53" s="1"/>
  <c r="E25"/>
  <c r="Q24"/>
  <c r="Q52" s="1"/>
  <c r="M24"/>
  <c r="M52" s="1"/>
  <c r="I24"/>
  <c r="I52" s="1"/>
  <c r="E24"/>
  <c r="Q23"/>
  <c r="M23"/>
  <c r="I23"/>
  <c r="I28" s="1"/>
  <c r="E23"/>
  <c r="R26"/>
  <c r="R54" s="1"/>
  <c r="N26"/>
  <c r="N54" s="1"/>
  <c r="J26"/>
  <c r="J54" s="1"/>
  <c r="F26"/>
  <c r="F54" s="1"/>
  <c r="R25"/>
  <c r="R53" s="1"/>
  <c r="N25"/>
  <c r="N53" s="1"/>
  <c r="J25"/>
  <c r="J53" s="1"/>
  <c r="F25"/>
  <c r="F53" s="1"/>
  <c r="R24"/>
  <c r="R52" s="1"/>
  <c r="N24"/>
  <c r="N52" s="1"/>
  <c r="J24"/>
  <c r="J52" s="1"/>
  <c r="F24"/>
  <c r="F52" s="1"/>
  <c r="R23"/>
  <c r="N23"/>
  <c r="J23"/>
  <c r="J28" s="1"/>
  <c r="F23"/>
  <c r="F28" s="1"/>
  <c r="N28" l="1"/>
  <c r="M28"/>
  <c r="O28"/>
  <c r="K28"/>
  <c r="L28"/>
  <c r="E54"/>
  <c r="S28"/>
  <c r="Q28"/>
  <c r="G28"/>
  <c r="H28"/>
  <c r="P28"/>
  <c r="E53"/>
  <c r="E52"/>
  <c r="E28"/>
  <c r="R28"/>
  <c r="G112" i="21" l="1"/>
  <c r="G112" i="23" s="1"/>
  <c r="E112" i="21"/>
  <c r="E112" i="23" s="1"/>
  <c r="G111" i="21"/>
  <c r="G111" i="23" s="1"/>
  <c r="E111" i="21"/>
  <c r="E111" i="23" s="1"/>
  <c r="G110" i="21"/>
  <c r="G110" i="23" s="1"/>
  <c r="E110" i="21"/>
  <c r="E110" i="23" s="1"/>
  <c r="G109" i="21"/>
  <c r="G109" i="23" s="1"/>
  <c r="E109" i="21"/>
  <c r="E109" i="23" s="1"/>
  <c r="G108" i="21"/>
  <c r="G108" i="23" s="1"/>
  <c r="E108" i="21"/>
  <c r="E108" i="23" s="1"/>
  <c r="G107" i="21"/>
  <c r="G107" i="23" s="1"/>
  <c r="E107" i="21"/>
  <c r="E107" i="23" s="1"/>
  <c r="G106" i="21"/>
  <c r="G106" i="23" s="1"/>
  <c r="E106" i="21"/>
  <c r="E106" i="23" s="1"/>
  <c r="G105" i="21"/>
  <c r="G105" i="23" s="1"/>
  <c r="E105" i="21"/>
  <c r="E105" i="23" s="1"/>
  <c r="G104" i="21"/>
  <c r="G104" i="23" s="1"/>
  <c r="E104" i="21"/>
  <c r="E104" i="23" s="1"/>
  <c r="G103" i="21"/>
  <c r="G103" i="23" s="1"/>
  <c r="E103" i="21"/>
  <c r="E103" i="23" s="1"/>
  <c r="G102" i="21"/>
  <c r="G102" i="23" s="1"/>
  <c r="E102" i="21"/>
  <c r="E102" i="23" s="1"/>
  <c r="G101" i="21"/>
  <c r="G101" i="23" s="1"/>
  <c r="E101" i="21"/>
  <c r="E101" i="23" s="1"/>
  <c r="G100" i="21"/>
  <c r="G100" i="23" s="1"/>
  <c r="E100" i="21"/>
  <c r="E100" i="23" s="1"/>
  <c r="G99" i="21"/>
  <c r="G99" i="23" s="1"/>
  <c r="E99" i="21"/>
  <c r="E99" i="23" s="1"/>
  <c r="G98" i="21"/>
  <c r="G98" i="23" s="1"/>
  <c r="E98" i="21"/>
  <c r="E98" i="23" s="1"/>
  <c r="G97" i="21"/>
  <c r="G97" i="23" s="1"/>
  <c r="E97" i="21"/>
  <c r="E97" i="23" s="1"/>
  <c r="G96" i="21"/>
  <c r="G96" i="23" s="1"/>
  <c r="E96" i="21"/>
  <c r="E96" i="23" s="1"/>
  <c r="G95" i="21"/>
  <c r="G95" i="23" s="1"/>
  <c r="E95" i="21"/>
  <c r="E95" i="23" s="1"/>
  <c r="G94" i="21"/>
  <c r="G94" i="23" s="1"/>
  <c r="E94" i="21"/>
  <c r="E94" i="23" s="1"/>
  <c r="G93" i="21"/>
  <c r="G93" i="23" s="1"/>
  <c r="E93" i="21"/>
  <c r="E93" i="23" s="1"/>
  <c r="G92" i="21"/>
  <c r="G92" i="23" s="1"/>
  <c r="E92" i="21"/>
  <c r="E92" i="23" s="1"/>
  <c r="G91" i="21"/>
  <c r="G91" i="23" s="1"/>
  <c r="E91" i="21"/>
  <c r="E91" i="23" s="1"/>
  <c r="G90" i="21"/>
  <c r="G90" i="23" s="1"/>
  <c r="E90" i="21"/>
  <c r="E90" i="23" s="1"/>
  <c r="G89" i="21"/>
  <c r="G89" i="23" s="1"/>
  <c r="E89" i="21"/>
  <c r="E89" i="23" s="1"/>
  <c r="G88" i="21"/>
  <c r="G88" i="23" s="1"/>
  <c r="E88" i="21"/>
  <c r="E88" i="23" s="1"/>
  <c r="G87" i="21"/>
  <c r="G87" i="23" s="1"/>
  <c r="E87" i="21"/>
  <c r="E87" i="23" s="1"/>
  <c r="G86" i="21"/>
  <c r="G86" i="23" s="1"/>
  <c r="E86" i="21"/>
  <c r="E86" i="23" s="1"/>
  <c r="G85" i="21"/>
  <c r="G85" i="23" s="1"/>
  <c r="E85" i="21"/>
  <c r="E85" i="23" s="1"/>
  <c r="G84" i="21"/>
  <c r="G84" i="23" s="1"/>
  <c r="E84" i="21"/>
  <c r="E84" i="23" s="1"/>
  <c r="G83" i="21"/>
  <c r="G83" i="23" s="1"/>
  <c r="E83" i="21"/>
  <c r="E83" i="23" s="1"/>
  <c r="G82" i="21"/>
  <c r="G82" i="23" s="1"/>
  <c r="E82" i="21"/>
  <c r="E82" i="23" s="1"/>
  <c r="G81" i="21"/>
  <c r="G81" i="23" s="1"/>
  <c r="E81" i="21"/>
  <c r="E81" i="23" s="1"/>
  <c r="G80" i="21"/>
  <c r="G80" i="23" s="1"/>
  <c r="E80" i="21"/>
  <c r="E80" i="23" s="1"/>
  <c r="G79" i="21"/>
  <c r="G79" i="23" s="1"/>
  <c r="E79" i="21"/>
  <c r="E79" i="23" s="1"/>
  <c r="G78" i="21"/>
  <c r="G78" i="23" s="1"/>
  <c r="E78" i="21"/>
  <c r="E78" i="23" s="1"/>
  <c r="G77" i="21"/>
  <c r="G77" i="23" s="1"/>
  <c r="E77" i="21"/>
  <c r="E77" i="23" s="1"/>
  <c r="G76" i="21"/>
  <c r="G76" i="23" s="1"/>
  <c r="E76" i="21"/>
  <c r="E76" i="23" s="1"/>
  <c r="G75" i="21"/>
  <c r="G75" i="23" s="1"/>
  <c r="E75" i="21"/>
  <c r="E75" i="23" s="1"/>
  <c r="G74" i="21"/>
  <c r="G74" i="23" s="1"/>
  <c r="E74" i="21"/>
  <c r="E74" i="23" s="1"/>
  <c r="G73" i="21"/>
  <c r="G73" i="23" s="1"/>
  <c r="E73" i="21"/>
  <c r="E73" i="23" s="1"/>
  <c r="G72" i="21"/>
  <c r="G72" i="23" s="1"/>
  <c r="E72" i="21"/>
  <c r="E72" i="23" s="1"/>
  <c r="G71" i="21"/>
  <c r="G71" i="23" s="1"/>
  <c r="E71" i="21"/>
  <c r="E71" i="23" s="1"/>
  <c r="G70" i="21"/>
  <c r="G70" i="23" s="1"/>
  <c r="E70" i="21"/>
  <c r="E70" i="23" s="1"/>
  <c r="G69" i="21"/>
  <c r="G69" i="23" s="1"/>
  <c r="E69" i="21"/>
  <c r="E69" i="23" s="1"/>
  <c r="G68" i="21"/>
  <c r="G68" i="23" s="1"/>
  <c r="E68" i="21"/>
  <c r="E68" i="23" s="1"/>
  <c r="G67" i="21"/>
  <c r="G67" i="23" s="1"/>
  <c r="E67" i="21"/>
  <c r="E67" i="23" s="1"/>
  <c r="G66" i="21"/>
  <c r="G66" i="23" s="1"/>
  <c r="E66" i="21"/>
  <c r="E66" i="23" s="1"/>
  <c r="G65" i="21"/>
  <c r="G65" i="23" s="1"/>
  <c r="E65" i="21"/>
  <c r="E65" i="23" s="1"/>
  <c r="G64" i="21"/>
  <c r="G64" i="23" s="1"/>
  <c r="E64" i="21"/>
  <c r="E64" i="23" s="1"/>
  <c r="G63" i="21"/>
  <c r="G63" i="23" s="1"/>
  <c r="E63" i="21"/>
  <c r="E63" i="23" s="1"/>
  <c r="G62" i="21"/>
  <c r="G62" i="23" s="1"/>
  <c r="E62" i="21"/>
  <c r="E62" i="23" s="1"/>
  <c r="G61" i="21"/>
  <c r="G61" i="23" s="1"/>
  <c r="E61" i="21"/>
  <c r="E61" i="23" s="1"/>
  <c r="G60" i="21"/>
  <c r="G60" i="23" s="1"/>
  <c r="E60" i="21"/>
  <c r="E60" i="23" s="1"/>
  <c r="G59" i="21"/>
  <c r="G59" i="23" s="1"/>
  <c r="E59" i="21"/>
  <c r="E59" i="23" s="1"/>
  <c r="G58" i="21"/>
  <c r="G58" i="23" s="1"/>
  <c r="E58" i="21"/>
  <c r="E58" i="23" s="1"/>
  <c r="G57" i="21"/>
  <c r="G57" i="23" s="1"/>
  <c r="E57" i="21"/>
  <c r="E57" i="23" s="1"/>
  <c r="G56" i="21"/>
  <c r="G56" i="23" s="1"/>
  <c r="E56" i="21"/>
  <c r="E56" i="23" s="1"/>
  <c r="G55" i="21"/>
  <c r="G55" i="23" s="1"/>
  <c r="E55" i="21"/>
  <c r="E55" i="23" s="1"/>
  <c r="G54" i="21"/>
  <c r="G54" i="23" s="1"/>
  <c r="E54" i="21"/>
  <c r="E54" i="23" s="1"/>
  <c r="G53" i="21"/>
  <c r="G53" i="23" s="1"/>
  <c r="E53" i="21"/>
  <c r="E53" i="23" s="1"/>
  <c r="G52" i="21"/>
  <c r="G52" i="23" s="1"/>
  <c r="E52" i="21"/>
  <c r="E52" i="23" s="1"/>
  <c r="G51" i="21"/>
  <c r="G51" i="23" s="1"/>
  <c r="E51" i="21"/>
  <c r="E51" i="23" s="1"/>
  <c r="G50" i="21"/>
  <c r="G50" i="23" s="1"/>
  <c r="E50" i="21"/>
  <c r="E50" i="23" s="1"/>
  <c r="G49" i="21"/>
  <c r="G49" i="23" s="1"/>
  <c r="E49" i="21"/>
  <c r="E49" i="23" s="1"/>
  <c r="G48" i="21"/>
  <c r="G48" i="23" s="1"/>
  <c r="E48" i="21"/>
  <c r="E48" i="23" s="1"/>
  <c r="G47" i="21"/>
  <c r="G47" i="23" s="1"/>
  <c r="E47" i="21"/>
  <c r="E47" i="23" s="1"/>
  <c r="G46" i="21"/>
  <c r="G46" i="23" s="1"/>
  <c r="E46" i="21"/>
  <c r="E46" i="23" s="1"/>
  <c r="G45" i="21"/>
  <c r="G45" i="23" s="1"/>
  <c r="E45" i="21"/>
  <c r="E45" i="23" s="1"/>
  <c r="G44" i="21"/>
  <c r="G44" i="23" s="1"/>
  <c r="E44" i="21"/>
  <c r="E44" i="23" s="1"/>
  <c r="G43" i="21"/>
  <c r="G43" i="23" s="1"/>
  <c r="E43" i="21"/>
  <c r="E43" i="23" s="1"/>
  <c r="G42" i="21"/>
  <c r="G42" i="23" s="1"/>
  <c r="E42" i="21"/>
  <c r="E42" i="23" s="1"/>
  <c r="G41" i="21"/>
  <c r="G41" i="23" s="1"/>
  <c r="E41" i="21"/>
  <c r="E41" i="23" s="1"/>
  <c r="G40" i="21"/>
  <c r="G40" i="23" s="1"/>
  <c r="E40" i="21"/>
  <c r="E40" i="23" s="1"/>
  <c r="G39" i="21"/>
  <c r="G39" i="23" s="1"/>
  <c r="E39" i="21"/>
  <c r="E39" i="23" s="1"/>
  <c r="G38" i="21"/>
  <c r="G38" i="23" s="1"/>
  <c r="E38" i="21"/>
  <c r="E38" i="23" s="1"/>
  <c r="G37" i="21"/>
  <c r="G37" i="23" s="1"/>
  <c r="E37" i="21"/>
  <c r="E37" i="23" s="1"/>
  <c r="G36" i="21"/>
  <c r="G36" i="23" s="1"/>
  <c r="E36" i="21"/>
  <c r="E36" i="23" s="1"/>
  <c r="G35" i="21"/>
  <c r="G35" i="23" s="1"/>
  <c r="E35" i="21"/>
  <c r="E35" i="23" s="1"/>
  <c r="G34" i="21"/>
  <c r="G34" i="23" s="1"/>
  <c r="E34" i="21"/>
  <c r="E34" i="23" s="1"/>
  <c r="G33" i="21"/>
  <c r="G33" i="23" s="1"/>
  <c r="E33" i="21"/>
  <c r="E33" i="23" s="1"/>
  <c r="G32" i="21"/>
  <c r="G32" i="23" s="1"/>
  <c r="E32" i="21"/>
  <c r="E32" i="23" s="1"/>
  <c r="G31" i="21"/>
  <c r="G31" i="23" s="1"/>
  <c r="E31" i="21"/>
  <c r="E31" i="23" s="1"/>
  <c r="G30" i="21"/>
  <c r="G30" i="23" s="1"/>
  <c r="E30" i="21"/>
  <c r="E30" i="23" s="1"/>
  <c r="G29" i="21"/>
  <c r="G29" i="23" s="1"/>
  <c r="E29" i="21"/>
  <c r="E29" i="23" s="1"/>
  <c r="G28" i="21"/>
  <c r="G28" i="23" s="1"/>
  <c r="E28" i="21"/>
  <c r="E28" i="23" s="1"/>
  <c r="G27" i="21"/>
  <c r="G27" i="23" s="1"/>
  <c r="E27" i="21"/>
  <c r="E27" i="23" s="1"/>
  <c r="G26" i="21"/>
  <c r="G26" i="23" s="1"/>
  <c r="E26" i="21"/>
  <c r="E26" i="23" s="1"/>
  <c r="G25" i="21"/>
  <c r="G25" i="23" s="1"/>
  <c r="E25" i="21"/>
  <c r="E25" i="23" s="1"/>
  <c r="G24" i="21"/>
  <c r="G24" i="23" s="1"/>
  <c r="E24" i="21"/>
  <c r="E24" i="23" s="1"/>
  <c r="G23" i="21"/>
  <c r="G23" i="23" s="1"/>
  <c r="E23" i="21"/>
  <c r="E23" i="23" s="1"/>
  <c r="G22" i="21"/>
  <c r="G22" i="23" s="1"/>
  <c r="E22" i="21"/>
  <c r="E22" i="23" s="1"/>
  <c r="G21" i="21"/>
  <c r="G21" i="23" s="1"/>
  <c r="E21" i="21"/>
  <c r="E21" i="23" s="1"/>
  <c r="G20" i="21"/>
  <c r="G20" i="23" s="1"/>
  <c r="E20" i="21"/>
  <c r="E20" i="23" s="1"/>
  <c r="G19" i="21"/>
  <c r="G19" i="23" s="1"/>
  <c r="E19" i="21"/>
  <c r="E19" i="23" s="1"/>
  <c r="G18" i="21"/>
  <c r="G18" i="23" s="1"/>
  <c r="E18" i="21"/>
  <c r="E18" i="23" s="1"/>
  <c r="G17" i="21"/>
  <c r="G17" i="23" s="1"/>
  <c r="E17" i="21"/>
  <c r="E17" i="23" s="1"/>
  <c r="G16" i="21"/>
  <c r="G16" i="23" s="1"/>
  <c r="E16" i="21"/>
  <c r="E16" i="23" s="1"/>
  <c r="G15" i="21"/>
  <c r="G15" i="23" s="1"/>
  <c r="E15" i="21"/>
  <c r="E15" i="23" s="1"/>
  <c r="G14" i="21"/>
  <c r="G14" i="23" s="1"/>
  <c r="E14" i="21"/>
  <c r="E14" i="23" s="1"/>
  <c r="G13" i="21"/>
  <c r="G13" i="23" s="1"/>
  <c r="E13" i="21"/>
  <c r="E13" i="23" s="1"/>
  <c r="G12" i="21"/>
  <c r="G12" i="23" s="1"/>
  <c r="E12" i="21"/>
  <c r="E12" i="23" s="1"/>
  <c r="G11" i="21"/>
  <c r="G11" i="23" s="1"/>
  <c r="E11" i="21"/>
  <c r="E11" i="23" s="1"/>
  <c r="G10" i="21"/>
  <c r="G10" i="23" s="1"/>
  <c r="E10" i="21"/>
  <c r="E10" i="23" s="1"/>
  <c r="G9" i="21"/>
  <c r="G9" i="23" s="1"/>
  <c r="E9" i="21"/>
  <c r="E9" i="23" s="1"/>
  <c r="G8" i="21"/>
  <c r="G8" i="23" s="1"/>
  <c r="E8" i="21"/>
  <c r="E8" i="23" s="1"/>
  <c r="G7" i="21"/>
  <c r="G7" i="23" s="1"/>
  <c r="E7" i="21"/>
  <c r="E7" i="23" s="1"/>
  <c r="G6" i="21"/>
  <c r="G6" i="23" s="1"/>
  <c r="E6" i="21"/>
  <c r="E6" i="23" s="1"/>
  <c r="G5" i="21"/>
  <c r="G5" i="23" s="1"/>
  <c r="E5" i="21"/>
  <c r="E5" i="23" s="1"/>
  <c r="A8" i="1"/>
  <c r="A9"/>
  <c r="E9"/>
  <c r="G9"/>
  <c r="A10"/>
  <c r="G10"/>
  <c r="A11"/>
  <c r="B11"/>
  <c r="D11"/>
  <c r="A12"/>
  <c r="B12"/>
  <c r="D12"/>
  <c r="D15" s="1"/>
  <c r="D24" s="1"/>
  <c r="D33" s="1"/>
  <c r="D42" s="1"/>
  <c r="D51" s="1"/>
  <c r="D60" s="1"/>
  <c r="E12"/>
  <c r="G12"/>
  <c r="A13"/>
  <c r="B13"/>
  <c r="B16" s="1"/>
  <c r="D13"/>
  <c r="G13"/>
  <c r="A14"/>
  <c r="D14"/>
  <c r="D23" s="1"/>
  <c r="D32" s="1"/>
  <c r="D41" s="1"/>
  <c r="D50" s="1"/>
  <c r="D59" s="1"/>
  <c r="D68" s="1"/>
  <c r="D77" s="1"/>
  <c r="D86" s="1"/>
  <c r="D95" s="1"/>
  <c r="D104" s="1"/>
  <c r="D113" s="1"/>
  <c r="D122" s="1"/>
  <c r="D131" s="1"/>
  <c r="D140" s="1"/>
  <c r="D149" s="1"/>
  <c r="D158" s="1"/>
  <c r="D167" s="1"/>
  <c r="D176" s="1"/>
  <c r="D185" s="1"/>
  <c r="D194" s="1"/>
  <c r="D203" s="1"/>
  <c r="D212" s="1"/>
  <c r="D221" s="1"/>
  <c r="A15"/>
  <c r="B15"/>
  <c r="B18" s="1"/>
  <c r="G15"/>
  <c r="A16"/>
  <c r="D16"/>
  <c r="D25" s="1"/>
  <c r="D34" s="1"/>
  <c r="D43" s="1"/>
  <c r="D52" s="1"/>
  <c r="D61" s="1"/>
  <c r="D70" s="1"/>
  <c r="D79" s="1"/>
  <c r="D88" s="1"/>
  <c r="D97" s="1"/>
  <c r="D106" s="1"/>
  <c r="D115" s="1"/>
  <c r="D124" s="1"/>
  <c r="D133" s="1"/>
  <c r="D142" s="1"/>
  <c r="D151" s="1"/>
  <c r="D160" s="1"/>
  <c r="D169" s="1"/>
  <c r="D178" s="1"/>
  <c r="D187" s="1"/>
  <c r="D196" s="1"/>
  <c r="D205" s="1"/>
  <c r="D214" s="1"/>
  <c r="D223" s="1"/>
  <c r="A17"/>
  <c r="D17"/>
  <c r="A18"/>
  <c r="D18"/>
  <c r="D27" s="1"/>
  <c r="D36" s="1"/>
  <c r="D45" s="1"/>
  <c r="D54" s="1"/>
  <c r="D63" s="1"/>
  <c r="D72" s="1"/>
  <c r="D81" s="1"/>
  <c r="D90" s="1"/>
  <c r="D99" s="1"/>
  <c r="D108" s="1"/>
  <c r="D117" s="1"/>
  <c r="D126" s="1"/>
  <c r="D135" s="1"/>
  <c r="D144" s="1"/>
  <c r="D153" s="1"/>
  <c r="D162" s="1"/>
  <c r="D171" s="1"/>
  <c r="D180" s="1"/>
  <c r="D189" s="1"/>
  <c r="D198" s="1"/>
  <c r="D207" s="1"/>
  <c r="D216" s="1"/>
  <c r="A19"/>
  <c r="D19"/>
  <c r="A20"/>
  <c r="D20"/>
  <c r="D29" s="1"/>
  <c r="D38" s="1"/>
  <c r="D47" s="1"/>
  <c r="D56" s="1"/>
  <c r="D65" s="1"/>
  <c r="D74" s="1"/>
  <c r="D83" s="1"/>
  <c r="D92" s="1"/>
  <c r="D101" s="1"/>
  <c r="D110" s="1"/>
  <c r="D119" s="1"/>
  <c r="D128" s="1"/>
  <c r="D137" s="1"/>
  <c r="D146" s="1"/>
  <c r="D155" s="1"/>
  <c r="D164" s="1"/>
  <c r="D173" s="1"/>
  <c r="D182" s="1"/>
  <c r="D191" s="1"/>
  <c r="D200" s="1"/>
  <c r="D209" s="1"/>
  <c r="D218" s="1"/>
  <c r="A21"/>
  <c r="A22"/>
  <c r="D22"/>
  <c r="D31" s="1"/>
  <c r="D40" s="1"/>
  <c r="D49" s="1"/>
  <c r="D58" s="1"/>
  <c r="D67" s="1"/>
  <c r="D76" s="1"/>
  <c r="D85" s="1"/>
  <c r="D94" s="1"/>
  <c r="D103" s="1"/>
  <c r="D112" s="1"/>
  <c r="D121" s="1"/>
  <c r="D130" s="1"/>
  <c r="D139" s="1"/>
  <c r="D148" s="1"/>
  <c r="D157" s="1"/>
  <c r="D166" s="1"/>
  <c r="D175" s="1"/>
  <c r="D184" s="1"/>
  <c r="D193" s="1"/>
  <c r="D202" s="1"/>
  <c r="D211" s="1"/>
  <c r="D220" s="1"/>
  <c r="A23"/>
  <c r="A24"/>
  <c r="A25"/>
  <c r="A26"/>
  <c r="D26"/>
  <c r="D35" s="1"/>
  <c r="D44" s="1"/>
  <c r="D53" s="1"/>
  <c r="D62" s="1"/>
  <c r="D71" s="1"/>
  <c r="D80" s="1"/>
  <c r="D89" s="1"/>
  <c r="D98" s="1"/>
  <c r="D107" s="1"/>
  <c r="D116" s="1"/>
  <c r="D125" s="1"/>
  <c r="D134" s="1"/>
  <c r="D143" s="1"/>
  <c r="D152" s="1"/>
  <c r="D161" s="1"/>
  <c r="D170" s="1"/>
  <c r="D179" s="1"/>
  <c r="D188" s="1"/>
  <c r="D197" s="1"/>
  <c r="D206" s="1"/>
  <c r="D215" s="1"/>
  <c r="A27"/>
  <c r="A28"/>
  <c r="D28"/>
  <c r="D37" s="1"/>
  <c r="D46" s="1"/>
  <c r="D55" s="1"/>
  <c r="D64" s="1"/>
  <c r="D73" s="1"/>
  <c r="D82" s="1"/>
  <c r="D91" s="1"/>
  <c r="D100" s="1"/>
  <c r="D109" s="1"/>
  <c r="D118" s="1"/>
  <c r="D127" s="1"/>
  <c r="D136" s="1"/>
  <c r="D145" s="1"/>
  <c r="D154" s="1"/>
  <c r="D163" s="1"/>
  <c r="D172" s="1"/>
  <c r="D181" s="1"/>
  <c r="D190" s="1"/>
  <c r="D199" s="1"/>
  <c r="D208" s="1"/>
  <c r="D217" s="1"/>
  <c r="A29"/>
  <c r="A30"/>
  <c r="A31"/>
  <c r="A32"/>
  <c r="A33"/>
  <c r="A34"/>
  <c r="A35"/>
  <c r="A36"/>
  <c r="A37"/>
  <c r="A38"/>
  <c r="A39"/>
  <c r="A40"/>
  <c r="A41"/>
  <c r="A42"/>
  <c r="A43"/>
  <c r="A44"/>
  <c r="A45"/>
  <c r="A46"/>
  <c r="A47"/>
  <c r="A48"/>
  <c r="A49"/>
  <c r="A50"/>
  <c r="A51"/>
  <c r="A52"/>
  <c r="A53"/>
  <c r="A54"/>
  <c r="A55"/>
  <c r="A56"/>
  <c r="A57"/>
  <c r="A58"/>
  <c r="A59"/>
  <c r="A60"/>
  <c r="A61"/>
  <c r="A223"/>
  <c r="B112" i="21" s="1"/>
  <c r="A222" i="1"/>
  <c r="B111" i="21" s="1"/>
  <c r="A221" i="1"/>
  <c r="B110" i="21" s="1"/>
  <c r="A220" i="1"/>
  <c r="B109" i="21" s="1"/>
  <c r="A219" i="1"/>
  <c r="B108" i="21" s="1"/>
  <c r="A218" i="1"/>
  <c r="B107" i="21" s="1"/>
  <c r="A217" i="1"/>
  <c r="B106" i="21" s="1"/>
  <c r="A216" i="1"/>
  <c r="B105" i="21" s="1"/>
  <c r="A215" i="1"/>
  <c r="B104" i="21" s="1"/>
  <c r="A214" i="1"/>
  <c r="B103" i="21" s="1"/>
  <c r="A213" i="1"/>
  <c r="B102" i="21" s="1"/>
  <c r="A212" i="1"/>
  <c r="B101" i="21" s="1"/>
  <c r="A211" i="1"/>
  <c r="B100" i="21" s="1"/>
  <c r="A210" i="1"/>
  <c r="B99" i="21" s="1"/>
  <c r="A209" i="1"/>
  <c r="B98" i="21" s="1"/>
  <c r="A208" i="1"/>
  <c r="B97" i="21" s="1"/>
  <c r="A207" i="1"/>
  <c r="B96" i="21" s="1"/>
  <c r="A206" i="1"/>
  <c r="B95" i="21" s="1"/>
  <c r="A205" i="1"/>
  <c r="B94" i="21" s="1"/>
  <c r="A204" i="1"/>
  <c r="B93" i="21" s="1"/>
  <c r="A203" i="1"/>
  <c r="B92" i="21" s="1"/>
  <c r="A202" i="1"/>
  <c r="B91" i="21" s="1"/>
  <c r="A201" i="1"/>
  <c r="B90" i="21" s="1"/>
  <c r="A200" i="1"/>
  <c r="B89" i="21" s="1"/>
  <c r="A199" i="1"/>
  <c r="B88" i="21" s="1"/>
  <c r="A198" i="1"/>
  <c r="B87" i="21" s="1"/>
  <c r="A197" i="1"/>
  <c r="B86" i="21" s="1"/>
  <c r="A196" i="1"/>
  <c r="B85" i="21" s="1"/>
  <c r="A195" i="1"/>
  <c r="B84" i="21" s="1"/>
  <c r="A194" i="1"/>
  <c r="B83" i="21" s="1"/>
  <c r="A193" i="1"/>
  <c r="B82" i="21" s="1"/>
  <c r="A192" i="1"/>
  <c r="B81" i="21" s="1"/>
  <c r="A191" i="1"/>
  <c r="B80" i="21" s="1"/>
  <c r="A190" i="1"/>
  <c r="B79" i="21" s="1"/>
  <c r="A189" i="1"/>
  <c r="B78" i="21" s="1"/>
  <c r="A188" i="1"/>
  <c r="B77" i="21" s="1"/>
  <c r="A187" i="1"/>
  <c r="B76" i="21" s="1"/>
  <c r="A186" i="1"/>
  <c r="B75" i="21" s="1"/>
  <c r="A185" i="1"/>
  <c r="B74" i="21" s="1"/>
  <c r="A184" i="1"/>
  <c r="B73" i="21" s="1"/>
  <c r="A183" i="1"/>
  <c r="B72" i="21" s="1"/>
  <c r="A182" i="1"/>
  <c r="B71" i="21" s="1"/>
  <c r="A181" i="1"/>
  <c r="B70" i="21" s="1"/>
  <c r="A180" i="1"/>
  <c r="B69" i="21" s="1"/>
  <c r="A179" i="1"/>
  <c r="B68" i="21" s="1"/>
  <c r="A178" i="1"/>
  <c r="B67" i="21" s="1"/>
  <c r="A177" i="1"/>
  <c r="B66" i="21" s="1"/>
  <c r="A176" i="1"/>
  <c r="B65" i="21" s="1"/>
  <c r="A175" i="1"/>
  <c r="B64" i="21" s="1"/>
  <c r="A174" i="1"/>
  <c r="B63" i="21" s="1"/>
  <c r="A173" i="1"/>
  <c r="B62" i="21" s="1"/>
  <c r="A172" i="1"/>
  <c r="B61" i="21" s="1"/>
  <c r="A171" i="1"/>
  <c r="B60" i="21" s="1"/>
  <c r="A170" i="1"/>
  <c r="B59" i="21" s="1"/>
  <c r="A169" i="1"/>
  <c r="A168"/>
  <c r="A167"/>
  <c r="A166"/>
  <c r="A165"/>
  <c r="A164"/>
  <c r="A163"/>
  <c r="A162"/>
  <c r="A161"/>
  <c r="A160"/>
  <c r="A159"/>
  <c r="A158"/>
  <c r="A157"/>
  <c r="A156"/>
  <c r="A155"/>
  <c r="A154"/>
  <c r="A153"/>
  <c r="A152"/>
  <c r="A151"/>
  <c r="A150"/>
  <c r="A149"/>
  <c r="A148"/>
  <c r="A147"/>
  <c r="A146"/>
  <c r="A145"/>
  <c r="A144"/>
  <c r="A143"/>
  <c r="A142"/>
  <c r="A141"/>
  <c r="A140"/>
  <c r="A139"/>
  <c r="A138"/>
  <c r="A137"/>
  <c r="A136"/>
  <c r="A135"/>
  <c r="A134"/>
  <c r="A133"/>
  <c r="A132"/>
  <c r="A131"/>
  <c r="A130"/>
  <c r="A129"/>
  <c r="A128"/>
  <c r="A127"/>
  <c r="A126"/>
  <c r="A125"/>
  <c r="A124"/>
  <c r="A123"/>
  <c r="A122"/>
  <c r="A121"/>
  <c r="A120"/>
  <c r="A119"/>
  <c r="A118"/>
  <c r="A117"/>
  <c r="A116"/>
  <c r="A115"/>
  <c r="B58" i="21" s="1"/>
  <c r="A114" i="1"/>
  <c r="B57" i="21" s="1"/>
  <c r="A113" i="1"/>
  <c r="B56" i="21" s="1"/>
  <c r="A112" i="1"/>
  <c r="B55" i="21" s="1"/>
  <c r="A111" i="1"/>
  <c r="B54" i="21" s="1"/>
  <c r="A110" i="1"/>
  <c r="B53" i="21" s="1"/>
  <c r="A109" i="1"/>
  <c r="B52" i="21" s="1"/>
  <c r="A108" i="1"/>
  <c r="B51" i="21" s="1"/>
  <c r="A107" i="1"/>
  <c r="B50" i="21" s="1"/>
  <c r="A106" i="1"/>
  <c r="B49" i="21" s="1"/>
  <c r="A105" i="1"/>
  <c r="B48" i="21" s="1"/>
  <c r="A104" i="1"/>
  <c r="B47" i="21" s="1"/>
  <c r="A103" i="1"/>
  <c r="B46" i="21" s="1"/>
  <c r="A102" i="1"/>
  <c r="B45" i="21" s="1"/>
  <c r="A101" i="1"/>
  <c r="B44" i="21" s="1"/>
  <c r="A100" i="1"/>
  <c r="B43" i="21" s="1"/>
  <c r="A99" i="1"/>
  <c r="B42" i="21" s="1"/>
  <c r="A98" i="1"/>
  <c r="B41" i="21" s="1"/>
  <c r="A97" i="1"/>
  <c r="B40" i="21" s="1"/>
  <c r="A96" i="1"/>
  <c r="B39" i="21" s="1"/>
  <c r="A95" i="1"/>
  <c r="B38" i="21" s="1"/>
  <c r="A94" i="1"/>
  <c r="B37" i="21" s="1"/>
  <c r="A93" i="1"/>
  <c r="B36" i="21" s="1"/>
  <c r="A92" i="1"/>
  <c r="B35" i="21" s="1"/>
  <c r="A91" i="1"/>
  <c r="B34" i="21" s="1"/>
  <c r="A90" i="1"/>
  <c r="B33" i="21" s="1"/>
  <c r="A89" i="1"/>
  <c r="B32" i="21" s="1"/>
  <c r="A88" i="1"/>
  <c r="B31" i="21" s="1"/>
  <c r="A87" i="1"/>
  <c r="B30" i="21" s="1"/>
  <c r="A86" i="1"/>
  <c r="B29" i="21" s="1"/>
  <c r="A85" i="1"/>
  <c r="B28" i="21" s="1"/>
  <c r="A84" i="1"/>
  <c r="B27" i="21" s="1"/>
  <c r="A83" i="1"/>
  <c r="B26" i="21" s="1"/>
  <c r="A82" i="1"/>
  <c r="B25" i="21" s="1"/>
  <c r="A81" i="1"/>
  <c r="B24" i="21" s="1"/>
  <c r="A80" i="1"/>
  <c r="B23" i="21" s="1"/>
  <c r="A79" i="1"/>
  <c r="B22" i="21" s="1"/>
  <c r="A78" i="1"/>
  <c r="B21" i="21" s="1"/>
  <c r="A77" i="1"/>
  <c r="B20" i="21" s="1"/>
  <c r="A76" i="1"/>
  <c r="B19" i="21" s="1"/>
  <c r="A75" i="1"/>
  <c r="B18" i="21" s="1"/>
  <c r="A74" i="1"/>
  <c r="B17" i="21" s="1"/>
  <c r="A73" i="1"/>
  <c r="B16" i="21" s="1"/>
  <c r="A72" i="1"/>
  <c r="B15" i="21" s="1"/>
  <c r="A71" i="1"/>
  <c r="B14" i="21" s="1"/>
  <c r="A70" i="1"/>
  <c r="B13" i="21" s="1"/>
  <c r="A69" i="1"/>
  <c r="B12" i="21" s="1"/>
  <c r="A68" i="1"/>
  <c r="B11" i="21" s="1"/>
  <c r="A67" i="1"/>
  <c r="B10" i="21" s="1"/>
  <c r="A66" i="1"/>
  <c r="B9" i="21" s="1"/>
  <c r="A65" i="1"/>
  <c r="B8" i="21" s="1"/>
  <c r="A64" i="1"/>
  <c r="B7" i="21" s="1"/>
  <c r="A63" i="1"/>
  <c r="B6" i="21" s="1"/>
  <c r="A62" i="1"/>
  <c r="B5" i="21" s="1"/>
  <c r="M81" i="20"/>
  <c r="K81"/>
  <c r="J81"/>
  <c r="H81"/>
  <c r="G81"/>
  <c r="F81"/>
  <c r="M80"/>
  <c r="K80"/>
  <c r="J80"/>
  <c r="H80"/>
  <c r="G80"/>
  <c r="F80"/>
  <c r="M79"/>
  <c r="K79"/>
  <c r="J79"/>
  <c r="H79"/>
  <c r="G79"/>
  <c r="F79"/>
  <c r="M78"/>
  <c r="K78"/>
  <c r="J78"/>
  <c r="H78"/>
  <c r="G78"/>
  <c r="F78"/>
  <c r="M77"/>
  <c r="K77"/>
  <c r="J77"/>
  <c r="H77"/>
  <c r="G77"/>
  <c r="F77"/>
  <c r="M76"/>
  <c r="K76"/>
  <c r="J76"/>
  <c r="H76"/>
  <c r="G76"/>
  <c r="F76"/>
  <c r="M75"/>
  <c r="K75"/>
  <c r="J75"/>
  <c r="H75"/>
  <c r="G75"/>
  <c r="F75"/>
  <c r="M74"/>
  <c r="K74"/>
  <c r="J74"/>
  <c r="H74"/>
  <c r="G74"/>
  <c r="F74"/>
  <c r="M73"/>
  <c r="K73"/>
  <c r="J73"/>
  <c r="H73"/>
  <c r="G73"/>
  <c r="F73"/>
  <c r="M72"/>
  <c r="K72"/>
  <c r="J72"/>
  <c r="H72"/>
  <c r="G72"/>
  <c r="F72"/>
  <c r="M71"/>
  <c r="K71"/>
  <c r="J71"/>
  <c r="H71"/>
  <c r="G71"/>
  <c r="F71"/>
  <c r="M70"/>
  <c r="K70"/>
  <c r="J70"/>
  <c r="H70"/>
  <c r="G70"/>
  <c r="F70"/>
  <c r="M69"/>
  <c r="K69"/>
  <c r="J69"/>
  <c r="H69"/>
  <c r="G69"/>
  <c r="F69"/>
  <c r="M68"/>
  <c r="K68"/>
  <c r="J68"/>
  <c r="H68"/>
  <c r="G68"/>
  <c r="F68"/>
  <c r="M67"/>
  <c r="K67"/>
  <c r="J67"/>
  <c r="H67"/>
  <c r="G67"/>
  <c r="F67"/>
  <c r="M66"/>
  <c r="K66"/>
  <c r="J66"/>
  <c r="H66"/>
  <c r="G66"/>
  <c r="F66"/>
  <c r="M65"/>
  <c r="K65"/>
  <c r="J65"/>
  <c r="H65"/>
  <c r="G65"/>
  <c r="F65"/>
  <c r="M64"/>
  <c r="K64"/>
  <c r="J64"/>
  <c r="H64"/>
  <c r="G64"/>
  <c r="F64"/>
  <c r="M63"/>
  <c r="K63"/>
  <c r="J63"/>
  <c r="H63"/>
  <c r="G63"/>
  <c r="F63"/>
  <c r="M62"/>
  <c r="K62"/>
  <c r="J62"/>
  <c r="H62"/>
  <c r="G62"/>
  <c r="F62"/>
  <c r="M61"/>
  <c r="K61"/>
  <c r="J61"/>
  <c r="H61"/>
  <c r="G61"/>
  <c r="F61"/>
  <c r="M60"/>
  <c r="K60"/>
  <c r="J60"/>
  <c r="H60"/>
  <c r="G60"/>
  <c r="F60"/>
  <c r="M59"/>
  <c r="K59"/>
  <c r="J59"/>
  <c r="H59"/>
  <c r="G59"/>
  <c r="F59"/>
  <c r="M58"/>
  <c r="K58"/>
  <c r="J58"/>
  <c r="H58"/>
  <c r="G58"/>
  <c r="F58"/>
  <c r="M57"/>
  <c r="K57"/>
  <c r="J57"/>
  <c r="H57"/>
  <c r="G57"/>
  <c r="F57"/>
  <c r="M56"/>
  <c r="K56"/>
  <c r="J56"/>
  <c r="H56"/>
  <c r="G56"/>
  <c r="F56"/>
  <c r="M55"/>
  <c r="K55"/>
  <c r="J55"/>
  <c r="H55"/>
  <c r="G55"/>
  <c r="F55"/>
  <c r="M54"/>
  <c r="K54"/>
  <c r="J54"/>
  <c r="H54"/>
  <c r="G54"/>
  <c r="F54"/>
  <c r="M53"/>
  <c r="K53"/>
  <c r="J53"/>
  <c r="H53"/>
  <c r="G53"/>
  <c r="F53"/>
  <c r="M52"/>
  <c r="K52"/>
  <c r="J52"/>
  <c r="H52"/>
  <c r="G52"/>
  <c r="F52"/>
  <c r="M51"/>
  <c r="K51"/>
  <c r="J51"/>
  <c r="H51"/>
  <c r="G51"/>
  <c r="F51"/>
  <c r="M50"/>
  <c r="K50"/>
  <c r="J50"/>
  <c r="H50"/>
  <c r="G50"/>
  <c r="F50"/>
  <c r="M49"/>
  <c r="K49"/>
  <c r="J49"/>
  <c r="H49"/>
  <c r="G49"/>
  <c r="F49"/>
  <c r="M48"/>
  <c r="K48"/>
  <c r="J48"/>
  <c r="H48"/>
  <c r="G48"/>
  <c r="F48"/>
  <c r="M47"/>
  <c r="K47"/>
  <c r="J47"/>
  <c r="H47"/>
  <c r="G47"/>
  <c r="F47"/>
  <c r="M46"/>
  <c r="K46"/>
  <c r="J46"/>
  <c r="H46"/>
  <c r="G46"/>
  <c r="F46"/>
  <c r="M45"/>
  <c r="K45"/>
  <c r="J45"/>
  <c r="H45"/>
  <c r="G45"/>
  <c r="F45"/>
  <c r="M44"/>
  <c r="K44"/>
  <c r="J44"/>
  <c r="H44"/>
  <c r="G44"/>
  <c r="F44"/>
  <c r="M43"/>
  <c r="K43"/>
  <c r="J43"/>
  <c r="H43"/>
  <c r="G43"/>
  <c r="F43"/>
  <c r="M42"/>
  <c r="K42"/>
  <c r="J42"/>
  <c r="H42"/>
  <c r="G42"/>
  <c r="F42"/>
  <c r="M41"/>
  <c r="K41"/>
  <c r="J41"/>
  <c r="H41"/>
  <c r="G41"/>
  <c r="F41"/>
  <c r="M40"/>
  <c r="K40"/>
  <c r="J40"/>
  <c r="H40"/>
  <c r="G40"/>
  <c r="F40"/>
  <c r="M39"/>
  <c r="K39"/>
  <c r="J39"/>
  <c r="H39"/>
  <c r="G39"/>
  <c r="F39"/>
  <c r="M38"/>
  <c r="K38"/>
  <c r="J38"/>
  <c r="H38"/>
  <c r="G38"/>
  <c r="F38"/>
  <c r="M37"/>
  <c r="K37"/>
  <c r="J37"/>
  <c r="H37"/>
  <c r="G37"/>
  <c r="F37"/>
  <c r="M36"/>
  <c r="K36"/>
  <c r="J36"/>
  <c r="H36"/>
  <c r="G36"/>
  <c r="F36"/>
  <c r="M35"/>
  <c r="K35"/>
  <c r="J35"/>
  <c r="H35"/>
  <c r="G35"/>
  <c r="F35"/>
  <c r="M34"/>
  <c r="K34"/>
  <c r="J34"/>
  <c r="H34"/>
  <c r="G34"/>
  <c r="F34"/>
  <c r="M33"/>
  <c r="K33"/>
  <c r="J33"/>
  <c r="H33"/>
  <c r="G33"/>
  <c r="F33"/>
  <c r="M32"/>
  <c r="K32"/>
  <c r="J32"/>
  <c r="H32"/>
  <c r="G32"/>
  <c r="F32"/>
  <c r="M31"/>
  <c r="K31"/>
  <c r="J31"/>
  <c r="H31"/>
  <c r="G31"/>
  <c r="F31"/>
  <c r="M30"/>
  <c r="K30"/>
  <c r="J30"/>
  <c r="H30"/>
  <c r="G30"/>
  <c r="F30"/>
  <c r="M29"/>
  <c r="K29"/>
  <c r="J29"/>
  <c r="H29"/>
  <c r="G29"/>
  <c r="F29"/>
  <c r="M28"/>
  <c r="K28"/>
  <c r="J28"/>
  <c r="H28"/>
  <c r="G28"/>
  <c r="F28"/>
  <c r="M27"/>
  <c r="K27"/>
  <c r="J27"/>
  <c r="H27"/>
  <c r="G27"/>
  <c r="F27"/>
  <c r="M26"/>
  <c r="K26"/>
  <c r="J26"/>
  <c r="H26"/>
  <c r="G26"/>
  <c r="F26"/>
  <c r="M25"/>
  <c r="K25"/>
  <c r="J25"/>
  <c r="H25"/>
  <c r="G25"/>
  <c r="F25"/>
  <c r="M24"/>
  <c r="K24"/>
  <c r="J24"/>
  <c r="H24"/>
  <c r="G24"/>
  <c r="F24"/>
  <c r="M23"/>
  <c r="K23"/>
  <c r="J23"/>
  <c r="H23"/>
  <c r="G23"/>
  <c r="F23"/>
  <c r="M22"/>
  <c r="K22"/>
  <c r="J22"/>
  <c r="H22"/>
  <c r="G22"/>
  <c r="F22"/>
  <c r="M21"/>
  <c r="K21"/>
  <c r="J21"/>
  <c r="H21"/>
  <c r="G21"/>
  <c r="F21"/>
  <c r="M20"/>
  <c r="K20"/>
  <c r="J20"/>
  <c r="H20"/>
  <c r="G20"/>
  <c r="F20"/>
  <c r="M19"/>
  <c r="K19"/>
  <c r="J19"/>
  <c r="H19"/>
  <c r="G19"/>
  <c r="F19"/>
  <c r="M18"/>
  <c r="K18"/>
  <c r="J18"/>
  <c r="H18"/>
  <c r="G18"/>
  <c r="F18"/>
  <c r="M17"/>
  <c r="K17"/>
  <c r="J17"/>
  <c r="H17"/>
  <c r="G17"/>
  <c r="F17"/>
  <c r="M16"/>
  <c r="K16"/>
  <c r="J16"/>
  <c r="H16"/>
  <c r="G16"/>
  <c r="F16"/>
  <c r="M15"/>
  <c r="K15"/>
  <c r="J15"/>
  <c r="H15"/>
  <c r="G15"/>
  <c r="F15"/>
  <c r="M14"/>
  <c r="K14"/>
  <c r="J14"/>
  <c r="H14"/>
  <c r="G14"/>
  <c r="F14"/>
  <c r="M13"/>
  <c r="K13"/>
  <c r="J13"/>
  <c r="H13"/>
  <c r="G13"/>
  <c r="F13"/>
  <c r="M12"/>
  <c r="K12"/>
  <c r="J12"/>
  <c r="H12"/>
  <c r="G12"/>
  <c r="F12"/>
  <c r="M11"/>
  <c r="K11"/>
  <c r="J11"/>
  <c r="H11"/>
  <c r="G11"/>
  <c r="F11"/>
  <c r="M10"/>
  <c r="K10"/>
  <c r="J10"/>
  <c r="E8" i="1" s="1"/>
  <c r="H10" i="20"/>
  <c r="C10" i="1" s="1"/>
  <c r="G10" i="20"/>
  <c r="C9" i="1" s="1"/>
  <c r="F10" i="20"/>
  <c r="C8" i="1" s="1"/>
  <c r="N81" i="20"/>
  <c r="E81"/>
  <c r="N80"/>
  <c r="E80"/>
  <c r="N79"/>
  <c r="E79"/>
  <c r="N78"/>
  <c r="E78"/>
  <c r="N77"/>
  <c r="E77"/>
  <c r="N76"/>
  <c r="E76"/>
  <c r="N75"/>
  <c r="E75"/>
  <c r="N74"/>
  <c r="E74"/>
  <c r="N73"/>
  <c r="E73"/>
  <c r="N72"/>
  <c r="E72"/>
  <c r="N71"/>
  <c r="E71"/>
  <c r="N70"/>
  <c r="E70"/>
  <c r="N69"/>
  <c r="E69"/>
  <c r="N68"/>
  <c r="E68"/>
  <c r="N67"/>
  <c r="E67"/>
  <c r="N66"/>
  <c r="E66"/>
  <c r="N65"/>
  <c r="E65"/>
  <c r="N64"/>
  <c r="E64"/>
  <c r="N63"/>
  <c r="E63"/>
  <c r="N62"/>
  <c r="E62"/>
  <c r="N61"/>
  <c r="E61"/>
  <c r="N60"/>
  <c r="E60"/>
  <c r="N59"/>
  <c r="E59"/>
  <c r="N58"/>
  <c r="E58"/>
  <c r="N57"/>
  <c r="E57"/>
  <c r="N56"/>
  <c r="E56"/>
  <c r="N55"/>
  <c r="E55"/>
  <c r="N54"/>
  <c r="E54"/>
  <c r="N53"/>
  <c r="E53"/>
  <c r="N52"/>
  <c r="E52"/>
  <c r="N51"/>
  <c r="E51"/>
  <c r="N50"/>
  <c r="E50"/>
  <c r="N49"/>
  <c r="E49"/>
  <c r="N48"/>
  <c r="E48"/>
  <c r="N47"/>
  <c r="E47"/>
  <c r="N46"/>
  <c r="E46"/>
  <c r="N45"/>
  <c r="E45"/>
  <c r="N44"/>
  <c r="E44"/>
  <c r="N43"/>
  <c r="E43"/>
  <c r="N42"/>
  <c r="E42"/>
  <c r="N41"/>
  <c r="E41"/>
  <c r="N40"/>
  <c r="E40"/>
  <c r="N39"/>
  <c r="E39"/>
  <c r="N38"/>
  <c r="E38"/>
  <c r="N37"/>
  <c r="E37"/>
  <c r="N36"/>
  <c r="E36"/>
  <c r="N35"/>
  <c r="E35"/>
  <c r="N34"/>
  <c r="E34"/>
  <c r="N33"/>
  <c r="E33"/>
  <c r="N32"/>
  <c r="E32"/>
  <c r="N31"/>
  <c r="E31"/>
  <c r="N30"/>
  <c r="E30"/>
  <c r="N29"/>
  <c r="E29"/>
  <c r="N28"/>
  <c r="E28"/>
  <c r="N27"/>
  <c r="E27"/>
  <c r="N26"/>
  <c r="E26"/>
  <c r="N25"/>
  <c r="E25"/>
  <c r="N24"/>
  <c r="E24"/>
  <c r="N23"/>
  <c r="E23"/>
  <c r="N22"/>
  <c r="E22"/>
  <c r="N21"/>
  <c r="E21"/>
  <c r="N20"/>
  <c r="E20"/>
  <c r="N19"/>
  <c r="E19"/>
  <c r="N18"/>
  <c r="E18"/>
  <c r="N17"/>
  <c r="E17"/>
  <c r="N16"/>
  <c r="E16"/>
  <c r="N15"/>
  <c r="E15"/>
  <c r="N14"/>
  <c r="E14"/>
  <c r="N13"/>
  <c r="E13"/>
  <c r="N12"/>
  <c r="E12"/>
  <c r="N11"/>
  <c r="E11"/>
  <c r="N10"/>
  <c r="E10"/>
  <c r="E10" i="14"/>
  <c r="E9"/>
  <c r="E8"/>
  <c r="E7"/>
  <c r="E6"/>
  <c r="G8" i="1" l="1"/>
  <c r="H8"/>
  <c r="B14"/>
  <c r="H14" s="1"/>
  <c r="H14" i="3" s="1"/>
  <c r="H11" i="1"/>
  <c r="E10"/>
  <c r="G11"/>
  <c r="A16" i="21"/>
  <c r="A16" i="23" s="1"/>
  <c r="B16"/>
  <c r="A24" i="21"/>
  <c r="A24" i="23" s="1"/>
  <c r="B24"/>
  <c r="A40" i="21"/>
  <c r="A40" i="23" s="1"/>
  <c r="B40"/>
  <c r="B56"/>
  <c r="A56" i="21"/>
  <c r="A56" i="23" s="1"/>
  <c r="A62" i="21"/>
  <c r="A62" i="23" s="1"/>
  <c r="B62"/>
  <c r="A70" i="21"/>
  <c r="A70" i="23" s="1"/>
  <c r="B70"/>
  <c r="B82"/>
  <c r="A82" i="21"/>
  <c r="A82" i="23" s="1"/>
  <c r="A94" i="21"/>
  <c r="A94" i="23" s="1"/>
  <c r="B94"/>
  <c r="B106"/>
  <c r="A106" i="21"/>
  <c r="A106" i="23" s="1"/>
  <c r="B7"/>
  <c r="A7" i="21"/>
  <c r="A7" i="23" s="1"/>
  <c r="B11"/>
  <c r="A11" i="21"/>
  <c r="A11" i="23" s="1"/>
  <c r="B15"/>
  <c r="A15" i="21"/>
  <c r="A15" i="23" s="1"/>
  <c r="B19"/>
  <c r="A19" i="21"/>
  <c r="A19" i="23" s="1"/>
  <c r="B23"/>
  <c r="A23" i="21"/>
  <c r="A23" i="23" s="1"/>
  <c r="B27"/>
  <c r="A27" i="21"/>
  <c r="A27" i="23" s="1"/>
  <c r="B31"/>
  <c r="A31" i="21"/>
  <c r="A31" i="23" s="1"/>
  <c r="B35"/>
  <c r="A35" i="21"/>
  <c r="A35" i="23" s="1"/>
  <c r="B39"/>
  <c r="A39" i="21"/>
  <c r="A39" i="23" s="1"/>
  <c r="B43"/>
  <c r="A43" i="21"/>
  <c r="A43" i="23" s="1"/>
  <c r="B47"/>
  <c r="A47" i="21"/>
  <c r="A47" i="23" s="1"/>
  <c r="B51"/>
  <c r="A51" i="21"/>
  <c r="A51" i="23" s="1"/>
  <c r="B55"/>
  <c r="A55" i="21"/>
  <c r="A55" i="23" s="1"/>
  <c r="A61" i="21"/>
  <c r="A61" i="23" s="1"/>
  <c r="B61"/>
  <c r="A65" i="21"/>
  <c r="A65" i="23" s="1"/>
  <c r="B65"/>
  <c r="A69" i="21"/>
  <c r="A69" i="23" s="1"/>
  <c r="B69"/>
  <c r="A73" i="21"/>
  <c r="A73" i="23" s="1"/>
  <c r="B73"/>
  <c r="A77" i="21"/>
  <c r="A77" i="23" s="1"/>
  <c r="B77"/>
  <c r="A81" i="21"/>
  <c r="A81" i="23" s="1"/>
  <c r="B81"/>
  <c r="A85" i="21"/>
  <c r="A85" i="23" s="1"/>
  <c r="B85"/>
  <c r="A89" i="21"/>
  <c r="A89" i="23" s="1"/>
  <c r="B89"/>
  <c r="A93" i="21"/>
  <c r="A93" i="23" s="1"/>
  <c r="B93"/>
  <c r="A97" i="21"/>
  <c r="A97" i="23" s="1"/>
  <c r="B97"/>
  <c r="A101" i="21"/>
  <c r="A101" i="23" s="1"/>
  <c r="B101"/>
  <c r="A105" i="21"/>
  <c r="A105" i="23" s="1"/>
  <c r="B105"/>
  <c r="A109" i="21"/>
  <c r="A109" i="23" s="1"/>
  <c r="B109"/>
  <c r="A8" i="21"/>
  <c r="A8" i="23" s="1"/>
  <c r="B8"/>
  <c r="B28"/>
  <c r="A28" i="21"/>
  <c r="A28" i="23" s="1"/>
  <c r="B36"/>
  <c r="A36" i="21"/>
  <c r="A36" i="23" s="1"/>
  <c r="B48"/>
  <c r="A48" i="21"/>
  <c r="A48" i="23" s="1"/>
  <c r="B66"/>
  <c r="A66" i="21"/>
  <c r="A66" i="23" s="1"/>
  <c r="A78" i="21"/>
  <c r="A78" i="23" s="1"/>
  <c r="B78"/>
  <c r="B90"/>
  <c r="A90" i="21"/>
  <c r="A90" i="23" s="1"/>
  <c r="A102" i="21"/>
  <c r="A102" i="23" s="1"/>
  <c r="B102"/>
  <c r="A6" i="21"/>
  <c r="A6" i="23" s="1"/>
  <c r="B6"/>
  <c r="B10"/>
  <c r="A10" i="21"/>
  <c r="A10" i="23" s="1"/>
  <c r="A14" i="21"/>
  <c r="A14" i="23" s="1"/>
  <c r="B14"/>
  <c r="B18"/>
  <c r="A18" i="21"/>
  <c r="A18" i="23" s="1"/>
  <c r="A22" i="21"/>
  <c r="A22" i="23" s="1"/>
  <c r="B22"/>
  <c r="B26"/>
  <c r="A26" i="21"/>
  <c r="A26" i="23" s="1"/>
  <c r="A30" i="21"/>
  <c r="A30" i="23" s="1"/>
  <c r="B30"/>
  <c r="B34"/>
  <c r="A34" i="21"/>
  <c r="A34" i="23" s="1"/>
  <c r="A38" i="21"/>
  <c r="A38" i="23" s="1"/>
  <c r="B38"/>
  <c r="B42"/>
  <c r="A42" i="21"/>
  <c r="A42" i="23" s="1"/>
  <c r="A46" i="21"/>
  <c r="A46" i="23" s="1"/>
  <c r="B46"/>
  <c r="B50"/>
  <c r="A50" i="21"/>
  <c r="A50" i="23" s="1"/>
  <c r="A54" i="21"/>
  <c r="A54" i="23" s="1"/>
  <c r="B54"/>
  <c r="B58"/>
  <c r="A58" i="21"/>
  <c r="A58" i="23" s="1"/>
  <c r="A60" i="21"/>
  <c r="A60" i="23" s="1"/>
  <c r="B60"/>
  <c r="B64"/>
  <c r="A64" i="21"/>
  <c r="A64" i="23" s="1"/>
  <c r="A68" i="21"/>
  <c r="A68" i="23" s="1"/>
  <c r="B68"/>
  <c r="B72"/>
  <c r="A72" i="21"/>
  <c r="A72" i="23" s="1"/>
  <c r="A76" i="21"/>
  <c r="A76" i="23" s="1"/>
  <c r="B76"/>
  <c r="B80"/>
  <c r="A80" i="21"/>
  <c r="A80" i="23" s="1"/>
  <c r="A84" i="21"/>
  <c r="A84" i="23" s="1"/>
  <c r="B84"/>
  <c r="B88"/>
  <c r="A88" i="21"/>
  <c r="A88" i="23" s="1"/>
  <c r="A92" i="21"/>
  <c r="A92" i="23" s="1"/>
  <c r="B92"/>
  <c r="B96"/>
  <c r="A96" i="21"/>
  <c r="A96" i="23" s="1"/>
  <c r="A100" i="21"/>
  <c r="A100" i="23" s="1"/>
  <c r="B100"/>
  <c r="B104"/>
  <c r="A104" i="21"/>
  <c r="A104" i="23" s="1"/>
  <c r="A108" i="21"/>
  <c r="A108" i="23" s="1"/>
  <c r="B108"/>
  <c r="B112"/>
  <c r="A112" i="21"/>
  <c r="A112" i="23" s="1"/>
  <c r="B12"/>
  <c r="A12" i="21"/>
  <c r="A12" i="23" s="1"/>
  <c r="B20"/>
  <c r="A20" i="21"/>
  <c r="A20" i="23" s="1"/>
  <c r="A32" i="21"/>
  <c r="A32" i="23" s="1"/>
  <c r="B32"/>
  <c r="B44"/>
  <c r="A44" i="21"/>
  <c r="A44" i="23" s="1"/>
  <c r="A52" i="21"/>
  <c r="A52" i="23" s="1"/>
  <c r="B52"/>
  <c r="B74"/>
  <c r="A74" i="21"/>
  <c r="A74" i="23" s="1"/>
  <c r="A86" i="21"/>
  <c r="A86" i="23" s="1"/>
  <c r="B86"/>
  <c r="B98"/>
  <c r="A98" i="21"/>
  <c r="A98" i="23" s="1"/>
  <c r="A110" i="21"/>
  <c r="A110" i="23" s="1"/>
  <c r="B110"/>
  <c r="A5" i="21"/>
  <c r="A5" i="23" s="1"/>
  <c r="B5"/>
  <c r="A9" i="21"/>
  <c r="A9" i="23" s="1"/>
  <c r="B9"/>
  <c r="A13" i="21"/>
  <c r="A13" i="23" s="1"/>
  <c r="B13"/>
  <c r="A17" i="21"/>
  <c r="A17" i="23" s="1"/>
  <c r="B17"/>
  <c r="A21" i="21"/>
  <c r="A21" i="23" s="1"/>
  <c r="B21"/>
  <c r="A25" i="21"/>
  <c r="A25" i="23" s="1"/>
  <c r="B25"/>
  <c r="A29" i="21"/>
  <c r="A29" i="23" s="1"/>
  <c r="B29"/>
  <c r="A33" i="21"/>
  <c r="A33" i="23" s="1"/>
  <c r="B33"/>
  <c r="A37" i="21"/>
  <c r="A37" i="23" s="1"/>
  <c r="B37"/>
  <c r="A41" i="21"/>
  <c r="A41" i="23" s="1"/>
  <c r="B41"/>
  <c r="A45" i="21"/>
  <c r="A45" i="23" s="1"/>
  <c r="B45"/>
  <c r="A49" i="21"/>
  <c r="A49" i="23" s="1"/>
  <c r="B49"/>
  <c r="A53" i="21"/>
  <c r="A53" i="23" s="1"/>
  <c r="B53"/>
  <c r="A57" i="21"/>
  <c r="A57" i="23" s="1"/>
  <c r="B57"/>
  <c r="B59"/>
  <c r="A59" i="21"/>
  <c r="A59" i="23" s="1"/>
  <c r="B63"/>
  <c r="A63" i="21"/>
  <c r="A63" i="23" s="1"/>
  <c r="B67"/>
  <c r="A67" i="21"/>
  <c r="A67" i="23" s="1"/>
  <c r="B71"/>
  <c r="A71" i="21"/>
  <c r="A71" i="23" s="1"/>
  <c r="B75"/>
  <c r="A75" i="21"/>
  <c r="A75" i="23" s="1"/>
  <c r="B79"/>
  <c r="A79" i="21"/>
  <c r="A79" i="23" s="1"/>
  <c r="B83"/>
  <c r="A83" i="21"/>
  <c r="A83" i="23" s="1"/>
  <c r="B87"/>
  <c r="A87" i="21"/>
  <c r="A87" i="23" s="1"/>
  <c r="B91"/>
  <c r="A91" i="21"/>
  <c r="A91" i="23" s="1"/>
  <c r="B95"/>
  <c r="A95" i="21"/>
  <c r="A95" i="23" s="1"/>
  <c r="B99"/>
  <c r="A99" i="21"/>
  <c r="A99" i="23" s="1"/>
  <c r="B103"/>
  <c r="A103" i="21"/>
  <c r="A103" i="23" s="1"/>
  <c r="B107"/>
  <c r="A107" i="21"/>
  <c r="A107" i="23" s="1"/>
  <c r="B111"/>
  <c r="A111" i="21"/>
  <c r="A111" i="23" s="1"/>
  <c r="C12" i="1"/>
  <c r="G18"/>
  <c r="C18"/>
  <c r="E18"/>
  <c r="B21"/>
  <c r="G14"/>
  <c r="C14"/>
  <c r="E14"/>
  <c r="B17"/>
  <c r="H17" s="1"/>
  <c r="H17" i="3" s="1"/>
  <c r="G16" i="1"/>
  <c r="E16"/>
  <c r="C16"/>
  <c r="B19"/>
  <c r="C15"/>
  <c r="E15"/>
  <c r="E13"/>
  <c r="E11"/>
  <c r="C13"/>
  <c r="C11"/>
  <c r="D21"/>
  <c r="D30" s="1"/>
  <c r="D39" s="1"/>
  <c r="D48" s="1"/>
  <c r="D57" s="1"/>
  <c r="D66"/>
  <c r="D75" s="1"/>
  <c r="D84" s="1"/>
  <c r="D93" s="1"/>
  <c r="D102" s="1"/>
  <c r="D111" s="1"/>
  <c r="D120" s="1"/>
  <c r="D129" s="1"/>
  <c r="D138" s="1"/>
  <c r="D147" s="1"/>
  <c r="D156" s="1"/>
  <c r="D165" s="1"/>
  <c r="D174" s="1"/>
  <c r="D183" s="1"/>
  <c r="D192" s="1"/>
  <c r="D201" s="1"/>
  <c r="D210" s="1"/>
  <c r="D219" s="1"/>
  <c r="D69"/>
  <c r="D78" s="1"/>
  <c r="D87" s="1"/>
  <c r="D96" s="1"/>
  <c r="D105" s="1"/>
  <c r="D114" s="1"/>
  <c r="D123" s="1"/>
  <c r="D132" s="1"/>
  <c r="D141" s="1"/>
  <c r="D150" s="1"/>
  <c r="D159" s="1"/>
  <c r="D168" s="1"/>
  <c r="D177" s="1"/>
  <c r="D186" s="1"/>
  <c r="D195" s="1"/>
  <c r="D204" s="1"/>
  <c r="D213" s="1"/>
  <c r="D222" s="1"/>
  <c r="B22" l="1"/>
  <c r="E19"/>
  <c r="C19"/>
  <c r="G19"/>
  <c r="B20"/>
  <c r="H20" s="1"/>
  <c r="C17"/>
  <c r="E17"/>
  <c r="G17"/>
  <c r="B24"/>
  <c r="C21"/>
  <c r="E21"/>
  <c r="G21"/>
  <c r="G24" l="1"/>
  <c r="E24"/>
  <c r="C24"/>
  <c r="B27"/>
  <c r="G20"/>
  <c r="E20"/>
  <c r="C20"/>
  <c r="B23"/>
  <c r="H23" s="1"/>
  <c r="G22"/>
  <c r="C22"/>
  <c r="E22"/>
  <c r="B25"/>
  <c r="B28" l="1"/>
  <c r="C25"/>
  <c r="E25"/>
  <c r="G25"/>
  <c r="B26"/>
  <c r="H26" s="1"/>
  <c r="C23"/>
  <c r="E23"/>
  <c r="G23"/>
  <c r="B30"/>
  <c r="E27"/>
  <c r="C27"/>
  <c r="G27"/>
  <c r="G30" l="1"/>
  <c r="E30"/>
  <c r="C30"/>
  <c r="B33"/>
  <c r="G26"/>
  <c r="C26"/>
  <c r="E26"/>
  <c r="B29"/>
  <c r="H29" s="1"/>
  <c r="G28"/>
  <c r="C28"/>
  <c r="E28"/>
  <c r="B31"/>
  <c r="B34" l="1"/>
  <c r="C31"/>
  <c r="E31"/>
  <c r="G31"/>
  <c r="B32"/>
  <c r="H32" s="1"/>
  <c r="E29"/>
  <c r="C29"/>
  <c r="G29"/>
  <c r="B36"/>
  <c r="E33"/>
  <c r="C33"/>
  <c r="G33"/>
  <c r="G36" l="1"/>
  <c r="E36"/>
  <c r="C36"/>
  <c r="B39"/>
  <c r="G32"/>
  <c r="C32"/>
  <c r="E32"/>
  <c r="B35"/>
  <c r="H35" s="1"/>
  <c r="G34"/>
  <c r="E34"/>
  <c r="C34"/>
  <c r="B37"/>
  <c r="B40" l="1"/>
  <c r="C37"/>
  <c r="E37"/>
  <c r="G37"/>
  <c r="B38"/>
  <c r="H38" s="1"/>
  <c r="C35"/>
  <c r="E35"/>
  <c r="G35"/>
  <c r="B42"/>
  <c r="E39"/>
  <c r="C39"/>
  <c r="G39"/>
  <c r="G42" l="1"/>
  <c r="C42"/>
  <c r="E42"/>
  <c r="B45"/>
  <c r="G38"/>
  <c r="C38"/>
  <c r="E38"/>
  <c r="B41"/>
  <c r="H41" s="1"/>
  <c r="G40"/>
  <c r="E40"/>
  <c r="C40"/>
  <c r="B43"/>
  <c r="B46" l="1"/>
  <c r="E43"/>
  <c r="C43"/>
  <c r="G43"/>
  <c r="B44"/>
  <c r="H44" s="1"/>
  <c r="C41"/>
  <c r="E41"/>
  <c r="G41"/>
  <c r="B48"/>
  <c r="C45"/>
  <c r="E45"/>
  <c r="G45"/>
  <c r="G46" l="1"/>
  <c r="C46"/>
  <c r="E46"/>
  <c r="B49"/>
  <c r="G48"/>
  <c r="E48"/>
  <c r="C48"/>
  <c r="B51"/>
  <c r="G44"/>
  <c r="E44"/>
  <c r="C44"/>
  <c r="B47"/>
  <c r="H47" s="1"/>
  <c r="B50" l="1"/>
  <c r="H50" s="1"/>
  <c r="E47"/>
  <c r="C47"/>
  <c r="G47"/>
  <c r="B54"/>
  <c r="E51"/>
  <c r="C51"/>
  <c r="G51"/>
  <c r="B52"/>
  <c r="C49"/>
  <c r="E49"/>
  <c r="G49"/>
  <c r="G52" l="1"/>
  <c r="E52"/>
  <c r="C52"/>
  <c r="B55"/>
  <c r="G54"/>
  <c r="C54"/>
  <c r="E54"/>
  <c r="B57"/>
  <c r="G50"/>
  <c r="C50"/>
  <c r="E50"/>
  <c r="B53"/>
  <c r="H53" s="1"/>
  <c r="B56" l="1"/>
  <c r="H56" s="1"/>
  <c r="C53"/>
  <c r="E53"/>
  <c r="G53"/>
  <c r="B60"/>
  <c r="E57"/>
  <c r="C57"/>
  <c r="G57"/>
  <c r="B58"/>
  <c r="E55"/>
  <c r="C55"/>
  <c r="G55"/>
  <c r="G58" l="1"/>
  <c r="E58"/>
  <c r="C58"/>
  <c r="B61"/>
  <c r="G60"/>
  <c r="E60"/>
  <c r="C60"/>
  <c r="G56"/>
  <c r="C56"/>
  <c r="E56"/>
  <c r="B59"/>
  <c r="H59" s="1"/>
  <c r="C59" l="1"/>
  <c r="E59"/>
  <c r="G59"/>
  <c r="C61"/>
  <c r="E61"/>
  <c r="G61"/>
  <c r="B63"/>
  <c r="C6" i="21" l="1"/>
  <c r="C6" i="23" s="1"/>
  <c r="C119" s="1"/>
  <c r="B9" i="3" s="1"/>
  <c r="H63" i="1"/>
  <c r="I6" i="21" s="1"/>
  <c r="I6" i="23" s="1"/>
  <c r="E63" i="1"/>
  <c r="F6" i="21" s="1"/>
  <c r="F6" i="23" s="1"/>
  <c r="C63" i="1"/>
  <c r="D6" i="21" s="1"/>
  <c r="D6" i="23" s="1"/>
  <c r="B62" i="1"/>
  <c r="G63"/>
  <c r="H6" i="21" s="1"/>
  <c r="H6" i="23" s="1"/>
  <c r="B66" i="1"/>
  <c r="B64"/>
  <c r="C7" i="21" l="1"/>
  <c r="C7" i="23" s="1"/>
  <c r="C120" s="1"/>
  <c r="B10" i="3" s="1"/>
  <c r="H64" i="1"/>
  <c r="I7" i="21" s="1"/>
  <c r="I7" i="23" s="1"/>
  <c r="C5" i="21"/>
  <c r="C5" i="23" s="1"/>
  <c r="C118" s="1"/>
  <c r="B8" i="3" s="1"/>
  <c r="H62" i="1"/>
  <c r="I5" i="21" s="1"/>
  <c r="I5" i="23" s="1"/>
  <c r="C9" i="21"/>
  <c r="C9" i="23" s="1"/>
  <c r="H66" i="1"/>
  <c r="I9" i="21" s="1"/>
  <c r="I9" i="23" s="1"/>
  <c r="C66" i="1"/>
  <c r="D9" i="21" s="1"/>
  <c r="D9" i="23" s="1"/>
  <c r="E66" i="1"/>
  <c r="F9" i="21" s="1"/>
  <c r="F9" i="23" s="1"/>
  <c r="C64" i="1"/>
  <c r="D7" i="21" s="1"/>
  <c r="D7" i="23" s="1"/>
  <c r="E64" i="1"/>
  <c r="F7" i="21" s="1"/>
  <c r="F7" i="23" s="1"/>
  <c r="C62" i="1"/>
  <c r="D5" i="21" s="1"/>
  <c r="D5" i="23" s="1"/>
  <c r="E62" i="1"/>
  <c r="F5" i="21" s="1"/>
  <c r="F5" i="23" s="1"/>
  <c r="B69" i="1"/>
  <c r="G66"/>
  <c r="H9" i="21" s="1"/>
  <c r="H9" i="23" s="1"/>
  <c r="B67" i="1"/>
  <c r="G64"/>
  <c r="H7" i="21" s="1"/>
  <c r="H7" i="23" s="1"/>
  <c r="B65" i="1"/>
  <c r="G62"/>
  <c r="H5" i="21" s="1"/>
  <c r="H5" i="23" s="1"/>
  <c r="C10" i="21" l="1"/>
  <c r="C10" i="23" s="1"/>
  <c r="H67" i="1"/>
  <c r="I10" i="21" s="1"/>
  <c r="I10" i="23" s="1"/>
  <c r="C8" i="21"/>
  <c r="C8" i="23" s="1"/>
  <c r="H65" i="1"/>
  <c r="I8" i="21" s="1"/>
  <c r="I8" i="23" s="1"/>
  <c r="C12" i="21"/>
  <c r="C12" i="23" s="1"/>
  <c r="H69" i="1"/>
  <c r="I12" i="21" s="1"/>
  <c r="I12" i="23" s="1"/>
  <c r="C67" i="1"/>
  <c r="D10" i="21" s="1"/>
  <c r="D10" i="23" s="1"/>
  <c r="E67" i="1"/>
  <c r="F10" i="21" s="1"/>
  <c r="F10" i="23" s="1"/>
  <c r="C65" i="1"/>
  <c r="D8" i="21" s="1"/>
  <c r="D8" i="23" s="1"/>
  <c r="E65" i="1"/>
  <c r="F8" i="21" s="1"/>
  <c r="F8" i="23" s="1"/>
  <c r="C69" i="1"/>
  <c r="D12" i="21" s="1"/>
  <c r="D12" i="23" s="1"/>
  <c r="E69" i="1"/>
  <c r="F12" i="21" s="1"/>
  <c r="F12" i="23" s="1"/>
  <c r="G67" i="1"/>
  <c r="H10" i="21" s="1"/>
  <c r="H10" i="23" s="1"/>
  <c r="B70" i="1"/>
  <c r="G65"/>
  <c r="H8" i="21" s="1"/>
  <c r="H8" i="23" s="1"/>
  <c r="B68" i="1"/>
  <c r="G69"/>
  <c r="H12" i="21" s="1"/>
  <c r="H12" i="23" s="1"/>
  <c r="B72" i="1"/>
  <c r="C11" i="21" l="1"/>
  <c r="C11" i="23" s="1"/>
  <c r="H68" i="1"/>
  <c r="I11" i="21" s="1"/>
  <c r="I11" i="23" s="1"/>
  <c r="C15" i="21"/>
  <c r="C15" i="23" s="1"/>
  <c r="H72" i="1"/>
  <c r="I15" i="21" s="1"/>
  <c r="I15" i="23" s="1"/>
  <c r="C13" i="21"/>
  <c r="C13" i="23" s="1"/>
  <c r="H70" i="1"/>
  <c r="I13" i="21" s="1"/>
  <c r="I13" i="23" s="1"/>
  <c r="C68" i="1"/>
  <c r="D11" i="21" s="1"/>
  <c r="D11" i="23" s="1"/>
  <c r="E68" i="1"/>
  <c r="F11" i="21" s="1"/>
  <c r="F11" i="23" s="1"/>
  <c r="C72" i="1"/>
  <c r="D15" i="21" s="1"/>
  <c r="D15" i="23" s="1"/>
  <c r="E72" i="1"/>
  <c r="F15" i="21" s="1"/>
  <c r="F15" i="23" s="1"/>
  <c r="C70" i="1"/>
  <c r="D13" i="21" s="1"/>
  <c r="D13" i="23" s="1"/>
  <c r="E70" i="1"/>
  <c r="F13" i="21" s="1"/>
  <c r="F13" i="23" s="1"/>
  <c r="B75" i="1"/>
  <c r="G72"/>
  <c r="H15" i="21" s="1"/>
  <c r="H15" i="23" s="1"/>
  <c r="B71" i="1"/>
  <c r="G68"/>
  <c r="H11" i="21" s="1"/>
  <c r="H11" i="23" s="1"/>
  <c r="B73" i="1"/>
  <c r="G70"/>
  <c r="H13" i="21" s="1"/>
  <c r="H13" i="23" s="1"/>
  <c r="C18" i="21" l="1"/>
  <c r="C18" i="23" s="1"/>
  <c r="H75" i="1"/>
  <c r="I18" i="21" s="1"/>
  <c r="I18" i="23" s="1"/>
  <c r="C14" i="21"/>
  <c r="C14" i="23" s="1"/>
  <c r="H71" i="1"/>
  <c r="I14" i="21" s="1"/>
  <c r="I14" i="23" s="1"/>
  <c r="C16" i="21"/>
  <c r="C16" i="23" s="1"/>
  <c r="H73" i="1"/>
  <c r="I16" i="21" s="1"/>
  <c r="I16" i="23" s="1"/>
  <c r="E71" i="1"/>
  <c r="F14" i="21" s="1"/>
  <c r="F14" i="23" s="1"/>
  <c r="C71" i="1"/>
  <c r="D14" i="21" s="1"/>
  <c r="D14" i="23" s="1"/>
  <c r="C73" i="1"/>
  <c r="D16" i="21" s="1"/>
  <c r="D16" i="23" s="1"/>
  <c r="E73" i="1"/>
  <c r="F16" i="21" s="1"/>
  <c r="F16" i="23" s="1"/>
  <c r="C75" i="1"/>
  <c r="D18" i="21" s="1"/>
  <c r="D18" i="23" s="1"/>
  <c r="E75" i="1"/>
  <c r="F18" i="21" s="1"/>
  <c r="F18" i="23" s="1"/>
  <c r="G73" i="1"/>
  <c r="H16" i="21" s="1"/>
  <c r="H16" i="23" s="1"/>
  <c r="B76" i="1"/>
  <c r="G71"/>
  <c r="H14" i="21" s="1"/>
  <c r="H14" i="23" s="1"/>
  <c r="B74" i="1"/>
  <c r="G75"/>
  <c r="H18" i="21" s="1"/>
  <c r="H18" i="23" s="1"/>
  <c r="B78" i="1"/>
  <c r="C17" i="21" l="1"/>
  <c r="C17" i="23" s="1"/>
  <c r="H74" i="1"/>
  <c r="I17" i="21" s="1"/>
  <c r="I17" i="23" s="1"/>
  <c r="C21" i="21"/>
  <c r="C21" i="23" s="1"/>
  <c r="H78" i="1"/>
  <c r="I21" i="21" s="1"/>
  <c r="I21" i="23" s="1"/>
  <c r="C19" i="21"/>
  <c r="C19" i="23" s="1"/>
  <c r="H76" i="1"/>
  <c r="I19" i="21" s="1"/>
  <c r="I19" i="23" s="1"/>
  <c r="C74" i="1"/>
  <c r="D17" i="21" s="1"/>
  <c r="D17" i="23" s="1"/>
  <c r="E74" i="1"/>
  <c r="F17" i="21" s="1"/>
  <c r="F17" i="23" s="1"/>
  <c r="C78" i="1"/>
  <c r="D21" i="21" s="1"/>
  <c r="D21" i="23" s="1"/>
  <c r="E78" i="1"/>
  <c r="F21" i="21" s="1"/>
  <c r="F21" i="23" s="1"/>
  <c r="C76" i="1"/>
  <c r="D19" i="21" s="1"/>
  <c r="D19" i="23" s="1"/>
  <c r="E76" i="1"/>
  <c r="F19" i="21" s="1"/>
  <c r="F19" i="23" s="1"/>
  <c r="B77" i="1"/>
  <c r="G74"/>
  <c r="H17" i="21" s="1"/>
  <c r="H17" i="23" s="1"/>
  <c r="B79" i="1"/>
  <c r="G76"/>
  <c r="H19" i="21" s="1"/>
  <c r="H19" i="23" s="1"/>
  <c r="B81" i="1"/>
  <c r="G78"/>
  <c r="H21" i="21" s="1"/>
  <c r="H21" i="23" s="1"/>
  <c r="C22" i="21" l="1"/>
  <c r="C22" i="23" s="1"/>
  <c r="H79" i="1"/>
  <c r="I22" i="21" s="1"/>
  <c r="I22" i="23" s="1"/>
  <c r="C24" i="21"/>
  <c r="C24" i="23" s="1"/>
  <c r="H81" i="1"/>
  <c r="I24" i="21" s="1"/>
  <c r="I24" i="23" s="1"/>
  <c r="C20" i="21"/>
  <c r="C20" i="23" s="1"/>
  <c r="H77" i="1"/>
  <c r="I20" i="21" s="1"/>
  <c r="I20" i="23" s="1"/>
  <c r="E79" i="1"/>
  <c r="F22" i="21" s="1"/>
  <c r="F22" i="23" s="1"/>
  <c r="C79" i="1"/>
  <c r="D22" i="21" s="1"/>
  <c r="D22" i="23" s="1"/>
  <c r="C81" i="1"/>
  <c r="D24" i="21" s="1"/>
  <c r="D24" i="23" s="1"/>
  <c r="E81" i="1"/>
  <c r="F24" i="21" s="1"/>
  <c r="F24" i="23" s="1"/>
  <c r="C77" i="1"/>
  <c r="D20" i="21" s="1"/>
  <c r="D20" i="23" s="1"/>
  <c r="E77" i="1"/>
  <c r="F20" i="21" s="1"/>
  <c r="F20" i="23" s="1"/>
  <c r="G81" i="1"/>
  <c r="H24" i="21" s="1"/>
  <c r="H24" i="23" s="1"/>
  <c r="B84" i="1"/>
  <c r="G79"/>
  <c r="H22" i="21" s="1"/>
  <c r="H22" i="23" s="1"/>
  <c r="B82" i="1"/>
  <c r="G77"/>
  <c r="H20" i="21" s="1"/>
  <c r="H20" i="23" s="1"/>
  <c r="B80" i="1"/>
  <c r="C25" i="21" l="1"/>
  <c r="C25" i="23" s="1"/>
  <c r="H82" i="1"/>
  <c r="I25" i="21" s="1"/>
  <c r="I25" i="23" s="1"/>
  <c r="C23" i="21"/>
  <c r="C23" i="23" s="1"/>
  <c r="H80" i="1"/>
  <c r="I23" i="21" s="1"/>
  <c r="I23" i="23" s="1"/>
  <c r="C27" i="21"/>
  <c r="C27" i="23" s="1"/>
  <c r="H84" i="1"/>
  <c r="I27" i="21" s="1"/>
  <c r="I27" i="23" s="1"/>
  <c r="C82" i="1"/>
  <c r="D25" i="21" s="1"/>
  <c r="D25" i="23" s="1"/>
  <c r="E82" i="1"/>
  <c r="F25" i="21" s="1"/>
  <c r="F25" i="23" s="1"/>
  <c r="C80" i="1"/>
  <c r="D23" i="21" s="1"/>
  <c r="D23" i="23" s="1"/>
  <c r="E80" i="1"/>
  <c r="F23" i="21" s="1"/>
  <c r="F23" i="23" s="1"/>
  <c r="C84" i="1"/>
  <c r="D27" i="21" s="1"/>
  <c r="D27" i="23" s="1"/>
  <c r="E84" i="1"/>
  <c r="F27" i="21" s="1"/>
  <c r="F27" i="23" s="1"/>
  <c r="B87" i="1"/>
  <c r="G84"/>
  <c r="H27" i="21" s="1"/>
  <c r="H27" i="23" s="1"/>
  <c r="B85" i="1"/>
  <c r="G82"/>
  <c r="H25" i="21" s="1"/>
  <c r="H25" i="23" s="1"/>
  <c r="B83" i="1"/>
  <c r="G80"/>
  <c r="H23" i="21" s="1"/>
  <c r="H23" i="23" s="1"/>
  <c r="C28" i="21" l="1"/>
  <c r="C28" i="23" s="1"/>
  <c r="H85" i="1"/>
  <c r="I28" i="21" s="1"/>
  <c r="I28" i="23" s="1"/>
  <c r="C26" i="21"/>
  <c r="C26" i="23" s="1"/>
  <c r="H83" i="1"/>
  <c r="I26" i="21" s="1"/>
  <c r="I26" i="23" s="1"/>
  <c r="C30" i="21"/>
  <c r="C30" i="23" s="1"/>
  <c r="H87" i="1"/>
  <c r="I30" i="21" s="1"/>
  <c r="I30" i="23" s="1"/>
  <c r="C85" i="1"/>
  <c r="D28" i="21" s="1"/>
  <c r="D28" i="23" s="1"/>
  <c r="E85" i="1"/>
  <c r="F28" i="21" s="1"/>
  <c r="F28" i="23" s="1"/>
  <c r="C83" i="1"/>
  <c r="D26" i="21" s="1"/>
  <c r="D26" i="23" s="1"/>
  <c r="E83" i="1"/>
  <c r="F26" i="21" s="1"/>
  <c r="F26" i="23" s="1"/>
  <c r="C87" i="1"/>
  <c r="D30" i="21" s="1"/>
  <c r="D30" i="23" s="1"/>
  <c r="E87" i="1"/>
  <c r="F30" i="21" s="1"/>
  <c r="F30" i="23" s="1"/>
  <c r="G83" i="1"/>
  <c r="H26" i="21" s="1"/>
  <c r="H26" i="23" s="1"/>
  <c r="B86" i="1"/>
  <c r="G85"/>
  <c r="H28" i="21" s="1"/>
  <c r="H28" i="23" s="1"/>
  <c r="B88" i="1"/>
  <c r="G87"/>
  <c r="H30" i="21" s="1"/>
  <c r="H30" i="23" s="1"/>
  <c r="B90" i="1"/>
  <c r="C31" i="21" l="1"/>
  <c r="C31" i="23" s="1"/>
  <c r="H88" i="1"/>
  <c r="I31" i="21" s="1"/>
  <c r="I31" i="23" s="1"/>
  <c r="C33" i="21"/>
  <c r="C33" i="23" s="1"/>
  <c r="C122" s="1"/>
  <c r="B12" i="3" s="1"/>
  <c r="H90" i="1"/>
  <c r="I33" i="21" s="1"/>
  <c r="I33" i="23" s="1"/>
  <c r="C29" i="21"/>
  <c r="C29" i="23" s="1"/>
  <c r="H86" i="1"/>
  <c r="I29" i="21" s="1"/>
  <c r="I29" i="23" s="1"/>
  <c r="C88" i="1"/>
  <c r="D31" i="21" s="1"/>
  <c r="D31" i="23" s="1"/>
  <c r="E88" i="1"/>
  <c r="F31" i="21" s="1"/>
  <c r="F31" i="23" s="1"/>
  <c r="C90" i="1"/>
  <c r="D33" i="21" s="1"/>
  <c r="D33" i="23" s="1"/>
  <c r="E90" i="1"/>
  <c r="F33" i="21" s="1"/>
  <c r="F33" i="23" s="1"/>
  <c r="C86" i="1"/>
  <c r="D29" i="21" s="1"/>
  <c r="D29" i="23" s="1"/>
  <c r="E86" i="1"/>
  <c r="F29" i="21" s="1"/>
  <c r="F29" i="23" s="1"/>
  <c r="B91" i="1"/>
  <c r="G88"/>
  <c r="H31" i="21" s="1"/>
  <c r="H31" i="23" s="1"/>
  <c r="B93" i="1"/>
  <c r="G90"/>
  <c r="H33" i="21" s="1"/>
  <c r="H33" i="23" s="1"/>
  <c r="B89" i="1"/>
  <c r="G86"/>
  <c r="H29" i="21" s="1"/>
  <c r="H29" i="23" s="1"/>
  <c r="C32" i="21" l="1"/>
  <c r="C32" i="23" s="1"/>
  <c r="C121" s="1"/>
  <c r="B11" i="3" s="1"/>
  <c r="H89" i="1"/>
  <c r="I32" i="21" s="1"/>
  <c r="I32" i="23" s="1"/>
  <c r="C34" i="21"/>
  <c r="C34" i="23" s="1"/>
  <c r="C123" s="1"/>
  <c r="B13" i="3" s="1"/>
  <c r="H91" i="1"/>
  <c r="I34" i="21" s="1"/>
  <c r="I34" i="23" s="1"/>
  <c r="C36" i="21"/>
  <c r="C36" i="23" s="1"/>
  <c r="C125" s="1"/>
  <c r="B15" i="3" s="1"/>
  <c r="H93" i="1"/>
  <c r="I36" i="21" s="1"/>
  <c r="I36" i="23" s="1"/>
  <c r="C89" i="1"/>
  <c r="D32" i="21" s="1"/>
  <c r="D32" i="23" s="1"/>
  <c r="E89" i="1"/>
  <c r="F32" i="21" s="1"/>
  <c r="F32" i="23" s="1"/>
  <c r="E91" i="1"/>
  <c r="F34" i="21" s="1"/>
  <c r="F34" i="23" s="1"/>
  <c r="C91" i="1"/>
  <c r="D34" i="21" s="1"/>
  <c r="D34" i="23" s="1"/>
  <c r="C93" i="1"/>
  <c r="D36" i="21" s="1"/>
  <c r="D36" i="23" s="1"/>
  <c r="E93" i="1"/>
  <c r="F36" i="21" s="1"/>
  <c r="F36" i="23" s="1"/>
  <c r="G89" i="1"/>
  <c r="H32" i="21" s="1"/>
  <c r="H32" i="23" s="1"/>
  <c r="B92" i="1"/>
  <c r="G91"/>
  <c r="H34" i="21" s="1"/>
  <c r="H34" i="23" s="1"/>
  <c r="B94" i="1"/>
  <c r="G93"/>
  <c r="H36" i="21" s="1"/>
  <c r="H36" i="23" s="1"/>
  <c r="B96" i="1"/>
  <c r="C39" i="21" l="1"/>
  <c r="C39" i="23" s="1"/>
  <c r="C128" s="1"/>
  <c r="B18" i="3" s="1"/>
  <c r="H96" i="1"/>
  <c r="I39" i="21" s="1"/>
  <c r="I39" i="23" s="1"/>
  <c r="C35" i="21"/>
  <c r="C35" i="23" s="1"/>
  <c r="C124" s="1"/>
  <c r="B14" i="3" s="1"/>
  <c r="H92" i="1"/>
  <c r="I35" i="21" s="1"/>
  <c r="I35" i="23" s="1"/>
  <c r="C37" i="21"/>
  <c r="C37" i="23" s="1"/>
  <c r="C126" s="1"/>
  <c r="B16" i="3" s="1"/>
  <c r="H94" i="1"/>
  <c r="I37" i="21" s="1"/>
  <c r="I37" i="23" s="1"/>
  <c r="C94" i="1"/>
  <c r="D37" i="21" s="1"/>
  <c r="D37" i="23" s="1"/>
  <c r="E94" i="1"/>
  <c r="F37" i="21" s="1"/>
  <c r="F37" i="23" s="1"/>
  <c r="C96" i="1"/>
  <c r="D39" i="21" s="1"/>
  <c r="D39" i="23" s="1"/>
  <c r="E96" i="1"/>
  <c r="F39" i="21" s="1"/>
  <c r="F39" i="23" s="1"/>
  <c r="C92" i="1"/>
  <c r="D35" i="21" s="1"/>
  <c r="D35" i="23" s="1"/>
  <c r="E92" i="1"/>
  <c r="F35" i="21" s="1"/>
  <c r="F35" i="23" s="1"/>
  <c r="B99" i="1"/>
  <c r="G96"/>
  <c r="H39" i="21" s="1"/>
  <c r="H39" i="23" s="1"/>
  <c r="B95" i="1"/>
  <c r="G92"/>
  <c r="H35" i="21" s="1"/>
  <c r="H35" i="23" s="1"/>
  <c r="B97" i="1"/>
  <c r="G94"/>
  <c r="H37" i="21" s="1"/>
  <c r="H37" i="23" s="1"/>
  <c r="C38" i="21" l="1"/>
  <c r="C38" i="23" s="1"/>
  <c r="C127" s="1"/>
  <c r="B17" i="3" s="1"/>
  <c r="H95" i="1"/>
  <c r="I38" i="21" s="1"/>
  <c r="I38" i="23" s="1"/>
  <c r="C40" i="21"/>
  <c r="C40" i="23" s="1"/>
  <c r="C129" s="1"/>
  <c r="B19" i="3" s="1"/>
  <c r="H97" i="1"/>
  <c r="I40" i="21" s="1"/>
  <c r="I40" i="23" s="1"/>
  <c r="C42" i="21"/>
  <c r="C42" i="23" s="1"/>
  <c r="H99" i="1"/>
  <c r="I42" i="21" s="1"/>
  <c r="I42" i="23" s="1"/>
  <c r="C97" i="1"/>
  <c r="D40" i="21" s="1"/>
  <c r="D40" i="23" s="1"/>
  <c r="E97" i="1"/>
  <c r="F40" i="21" s="1"/>
  <c r="F40" i="23" s="1"/>
  <c r="E99" i="1"/>
  <c r="F42" i="21" s="1"/>
  <c r="F42" i="23" s="1"/>
  <c r="C99" i="1"/>
  <c r="D42" i="21" s="1"/>
  <c r="D42" i="23" s="1"/>
  <c r="C95" i="1"/>
  <c r="D38" i="21" s="1"/>
  <c r="D38" i="23" s="1"/>
  <c r="E95" i="1"/>
  <c r="F38" i="21" s="1"/>
  <c r="F38" i="23" s="1"/>
  <c r="G97" i="1"/>
  <c r="H40" i="21" s="1"/>
  <c r="H40" i="23" s="1"/>
  <c r="B100" i="1"/>
  <c r="G95"/>
  <c r="H38" i="21" s="1"/>
  <c r="H38" i="23" s="1"/>
  <c r="B98" i="1"/>
  <c r="G99"/>
  <c r="H42" i="21" s="1"/>
  <c r="H42" i="23" s="1"/>
  <c r="B102" i="1"/>
  <c r="C45" i="21" l="1"/>
  <c r="C45" i="23" s="1"/>
  <c r="H102" i="1"/>
  <c r="I45" i="21" s="1"/>
  <c r="I45" i="23" s="1"/>
  <c r="C43" i="21"/>
  <c r="C43" i="23" s="1"/>
  <c r="H100" i="1"/>
  <c r="I43" i="21" s="1"/>
  <c r="I43" i="23" s="1"/>
  <c r="C41" i="21"/>
  <c r="C41" i="23" s="1"/>
  <c r="H98" i="1"/>
  <c r="I41" i="21" s="1"/>
  <c r="I41" i="23" s="1"/>
  <c r="C98" i="1"/>
  <c r="D41" i="21" s="1"/>
  <c r="D41" i="23" s="1"/>
  <c r="E98" i="1"/>
  <c r="F41" i="21" s="1"/>
  <c r="F41" i="23" s="1"/>
  <c r="C102" i="1"/>
  <c r="D45" i="21" s="1"/>
  <c r="D45" i="23" s="1"/>
  <c r="E102" i="1"/>
  <c r="F45" i="21" s="1"/>
  <c r="F45" i="23" s="1"/>
  <c r="C100" i="1"/>
  <c r="D43" i="21" s="1"/>
  <c r="D43" i="23" s="1"/>
  <c r="E100" i="1"/>
  <c r="F43" i="21" s="1"/>
  <c r="F43" i="23" s="1"/>
  <c r="B101" i="1"/>
  <c r="G98"/>
  <c r="H41" i="21" s="1"/>
  <c r="H41" i="23" s="1"/>
  <c r="B103" i="1"/>
  <c r="G100"/>
  <c r="H43" i="21" s="1"/>
  <c r="H43" i="23" s="1"/>
  <c r="B105" i="1"/>
  <c r="G102"/>
  <c r="H45" i="21" s="1"/>
  <c r="H45" i="23" s="1"/>
  <c r="C46" i="21" l="1"/>
  <c r="C46" i="23" s="1"/>
  <c r="H103" i="1"/>
  <c r="I46" i="21" s="1"/>
  <c r="I46" i="23" s="1"/>
  <c r="C48" i="21"/>
  <c r="C48" i="23" s="1"/>
  <c r="H105" i="1"/>
  <c r="I48" i="21" s="1"/>
  <c r="I48" i="23" s="1"/>
  <c r="C44" i="21"/>
  <c r="C44" i="23" s="1"/>
  <c r="H101" i="1"/>
  <c r="I44" i="21" s="1"/>
  <c r="I44" i="23" s="1"/>
  <c r="C105" i="1"/>
  <c r="D48" i="21" s="1"/>
  <c r="D48" i="23" s="1"/>
  <c r="E105" i="1"/>
  <c r="F48" i="21" s="1"/>
  <c r="F48" i="23" s="1"/>
  <c r="C101" i="1"/>
  <c r="D44" i="21" s="1"/>
  <c r="D44" i="23" s="1"/>
  <c r="E101" i="1"/>
  <c r="F44" i="21" s="1"/>
  <c r="F44" i="23" s="1"/>
  <c r="C103" i="1"/>
  <c r="D46" i="21" s="1"/>
  <c r="D46" i="23" s="1"/>
  <c r="E103" i="1"/>
  <c r="F46" i="21" s="1"/>
  <c r="F46" i="23" s="1"/>
  <c r="G105" i="1"/>
  <c r="H48" i="21" s="1"/>
  <c r="H48" i="23" s="1"/>
  <c r="B108" i="1"/>
  <c r="G103"/>
  <c r="H46" i="21" s="1"/>
  <c r="H46" i="23" s="1"/>
  <c r="B106" i="1"/>
  <c r="G101"/>
  <c r="H44" i="21" s="1"/>
  <c r="H44" i="23" s="1"/>
  <c r="B104" i="1"/>
  <c r="C47" i="21" l="1"/>
  <c r="C47" i="23" s="1"/>
  <c r="H104" i="1"/>
  <c r="I47" i="21" s="1"/>
  <c r="I47" i="23" s="1"/>
  <c r="C51" i="21"/>
  <c r="C51" i="23" s="1"/>
  <c r="H108" i="1"/>
  <c r="I51" i="21" s="1"/>
  <c r="I51" i="23" s="1"/>
  <c r="C49" i="21"/>
  <c r="C49" i="23" s="1"/>
  <c r="H106" i="1"/>
  <c r="I49" i="21" s="1"/>
  <c r="I49" i="23" s="1"/>
  <c r="C106" i="1"/>
  <c r="D49" i="21" s="1"/>
  <c r="D49" i="23" s="1"/>
  <c r="E106" i="1"/>
  <c r="F49" i="21" s="1"/>
  <c r="F49" i="23" s="1"/>
  <c r="C104" i="1"/>
  <c r="D47" i="21" s="1"/>
  <c r="D47" i="23" s="1"/>
  <c r="E104" i="1"/>
  <c r="F47" i="21" s="1"/>
  <c r="F47" i="23" s="1"/>
  <c r="C108" i="1"/>
  <c r="D51" i="21" s="1"/>
  <c r="D51" i="23" s="1"/>
  <c r="E108" i="1"/>
  <c r="F51" i="21" s="1"/>
  <c r="F51" i="23" s="1"/>
  <c r="B107" i="1"/>
  <c r="G104"/>
  <c r="H47" i="21" s="1"/>
  <c r="H47" i="23" s="1"/>
  <c r="B109" i="1"/>
  <c r="G106"/>
  <c r="H49" i="21" s="1"/>
  <c r="H49" i="23" s="1"/>
  <c r="B111" i="1"/>
  <c r="G108"/>
  <c r="H51" i="21" s="1"/>
  <c r="H51" i="23" s="1"/>
  <c r="C54" i="21" l="1"/>
  <c r="C54" i="23" s="1"/>
  <c r="H111" i="1"/>
  <c r="I54" i="21" s="1"/>
  <c r="I54" i="23" s="1"/>
  <c r="C50" i="21"/>
  <c r="C50" i="23" s="1"/>
  <c r="H107" i="1"/>
  <c r="I50" i="21" s="1"/>
  <c r="I50" i="23" s="1"/>
  <c r="C52" i="21"/>
  <c r="C52" i="23" s="1"/>
  <c r="H109" i="1"/>
  <c r="I52" i="21" s="1"/>
  <c r="I52" i="23" s="1"/>
  <c r="C111" i="1"/>
  <c r="D54" i="21" s="1"/>
  <c r="D54" i="23" s="1"/>
  <c r="E111" i="1"/>
  <c r="F54" i="21" s="1"/>
  <c r="F54" i="23" s="1"/>
  <c r="E107" i="1"/>
  <c r="F50" i="21" s="1"/>
  <c r="F50" i="23" s="1"/>
  <c r="C107" i="1"/>
  <c r="D50" i="21" s="1"/>
  <c r="D50" i="23" s="1"/>
  <c r="C109" i="1"/>
  <c r="D52" i="21" s="1"/>
  <c r="D52" i="23" s="1"/>
  <c r="E109" i="1"/>
  <c r="F52" i="21" s="1"/>
  <c r="F52" i="23" s="1"/>
  <c r="G111" i="1"/>
  <c r="H54" i="21" s="1"/>
  <c r="H54" i="23" s="1"/>
  <c r="B114" i="1"/>
  <c r="G109"/>
  <c r="H52" i="21" s="1"/>
  <c r="H52" i="23" s="1"/>
  <c r="B112" i="1"/>
  <c r="G107"/>
  <c r="H50" i="21" s="1"/>
  <c r="H50" i="23" s="1"/>
  <c r="B110" i="1"/>
  <c r="C55" i="21" l="1"/>
  <c r="C55" i="23" s="1"/>
  <c r="H112" i="1"/>
  <c r="I55" i="21" s="1"/>
  <c r="I55" i="23" s="1"/>
  <c r="C53" i="21"/>
  <c r="C53" i="23" s="1"/>
  <c r="H110" i="1"/>
  <c r="I53" i="21" s="1"/>
  <c r="I53" i="23" s="1"/>
  <c r="C57" i="21"/>
  <c r="C57" i="23" s="1"/>
  <c r="H114" i="1"/>
  <c r="I57" i="21" s="1"/>
  <c r="I57" i="23" s="1"/>
  <c r="C112" i="1"/>
  <c r="D55" i="21" s="1"/>
  <c r="D55" i="23" s="1"/>
  <c r="E112" i="1"/>
  <c r="F55" i="21" s="1"/>
  <c r="F55" i="23" s="1"/>
  <c r="C110" i="1"/>
  <c r="D53" i="21" s="1"/>
  <c r="D53" i="23" s="1"/>
  <c r="E110" i="1"/>
  <c r="F53" i="21" s="1"/>
  <c r="F53" i="23" s="1"/>
  <c r="C114" i="1"/>
  <c r="D57" i="21" s="1"/>
  <c r="D57" i="23" s="1"/>
  <c r="E114" i="1"/>
  <c r="F57" i="21" s="1"/>
  <c r="F57" i="23" s="1"/>
  <c r="B115" i="1"/>
  <c r="G112"/>
  <c r="H55" i="21" s="1"/>
  <c r="H55" i="23" s="1"/>
  <c r="B113" i="1"/>
  <c r="G110"/>
  <c r="H53" i="21" s="1"/>
  <c r="H53" i="23" s="1"/>
  <c r="B117" i="1"/>
  <c r="H117" s="1"/>
  <c r="G114"/>
  <c r="H57" i="21" s="1"/>
  <c r="H57" i="23" s="1"/>
  <c r="C56" i="21" l="1"/>
  <c r="C56" i="23" s="1"/>
  <c r="H113" i="1"/>
  <c r="I56" i="21" s="1"/>
  <c r="I56" i="23" s="1"/>
  <c r="C58" i="21"/>
  <c r="C58" i="23" s="1"/>
  <c r="H115" i="1"/>
  <c r="I58" i="21" s="1"/>
  <c r="I58" i="23" s="1"/>
  <c r="C117" i="1"/>
  <c r="E117"/>
  <c r="E115"/>
  <c r="F58" i="21" s="1"/>
  <c r="F58" i="23" s="1"/>
  <c r="C115" i="1"/>
  <c r="D58" i="21" s="1"/>
  <c r="D58" i="23" s="1"/>
  <c r="C113" i="1"/>
  <c r="D56" i="21" s="1"/>
  <c r="D56" i="23" s="1"/>
  <c r="E113" i="1"/>
  <c r="F56" i="21" s="1"/>
  <c r="F56" i="23" s="1"/>
  <c r="G117" i="1"/>
  <c r="B120"/>
  <c r="H120" s="1"/>
  <c r="G113"/>
  <c r="H56" i="21" s="1"/>
  <c r="H56" i="23" s="1"/>
  <c r="B116" i="1"/>
  <c r="H116" s="1"/>
  <c r="G115"/>
  <c r="H58" i="21" s="1"/>
  <c r="H58" i="23" s="1"/>
  <c r="B118" i="1"/>
  <c r="H118" s="1"/>
  <c r="C116" l="1"/>
  <c r="E116"/>
  <c r="C118"/>
  <c r="E118"/>
  <c r="C120"/>
  <c r="E120"/>
  <c r="B123"/>
  <c r="H123" s="1"/>
  <c r="G120"/>
  <c r="B119"/>
  <c r="H119" s="1"/>
  <c r="G116"/>
  <c r="B121"/>
  <c r="H121" s="1"/>
  <c r="G118"/>
  <c r="C121" l="1"/>
  <c r="E121"/>
  <c r="E123"/>
  <c r="C123"/>
  <c r="C119"/>
  <c r="E119"/>
  <c r="G121"/>
  <c r="B124"/>
  <c r="H124" s="1"/>
  <c r="G119"/>
  <c r="B122"/>
  <c r="H122" s="1"/>
  <c r="G123"/>
  <c r="B126"/>
  <c r="H126" s="1"/>
  <c r="C122" l="1"/>
  <c r="E122"/>
  <c r="C126"/>
  <c r="E126"/>
  <c r="C124"/>
  <c r="E124"/>
  <c r="B127"/>
  <c r="H127" s="1"/>
  <c r="G124"/>
  <c r="B125"/>
  <c r="H125" s="1"/>
  <c r="G122"/>
  <c r="B129"/>
  <c r="H129" s="1"/>
  <c r="G126"/>
  <c r="C129" l="1"/>
  <c r="E129"/>
  <c r="C125"/>
  <c r="E125"/>
  <c r="C127"/>
  <c r="E127"/>
  <c r="G129"/>
  <c r="B132"/>
  <c r="H132" s="1"/>
  <c r="G125"/>
  <c r="B128"/>
  <c r="H128" s="1"/>
  <c r="G127"/>
  <c r="B130"/>
  <c r="H130" s="1"/>
  <c r="C128" l="1"/>
  <c r="E128"/>
  <c r="C130"/>
  <c r="E130"/>
  <c r="C132"/>
  <c r="E132"/>
  <c r="B131"/>
  <c r="H131" s="1"/>
  <c r="G128"/>
  <c r="B135"/>
  <c r="H135" s="1"/>
  <c r="G132"/>
  <c r="B133"/>
  <c r="H133" s="1"/>
  <c r="G130"/>
  <c r="C133" l="1"/>
  <c r="E133"/>
  <c r="C135"/>
  <c r="E135"/>
  <c r="E131"/>
  <c r="C131"/>
  <c r="G133"/>
  <c r="B136"/>
  <c r="H136" s="1"/>
  <c r="G135"/>
  <c r="B138"/>
  <c r="H138" s="1"/>
  <c r="G131"/>
  <c r="B134"/>
  <c r="H134" s="1"/>
  <c r="C138" l="1"/>
  <c r="E138"/>
  <c r="C134"/>
  <c r="E134"/>
  <c r="C136"/>
  <c r="E136"/>
  <c r="B139"/>
  <c r="H139" s="1"/>
  <c r="G136"/>
  <c r="B141"/>
  <c r="H141" s="1"/>
  <c r="G138"/>
  <c r="B137"/>
  <c r="H137" s="1"/>
  <c r="G134"/>
  <c r="C137" l="1"/>
  <c r="E137"/>
  <c r="C141"/>
  <c r="E141"/>
  <c r="E139"/>
  <c r="C139"/>
  <c r="G137"/>
  <c r="B140"/>
  <c r="H140" s="1"/>
  <c r="G141"/>
  <c r="B144"/>
  <c r="H144" s="1"/>
  <c r="G139"/>
  <c r="B142"/>
  <c r="H142" s="1"/>
  <c r="C144" l="1"/>
  <c r="E144"/>
  <c r="C142"/>
  <c r="E142"/>
  <c r="C140"/>
  <c r="E140"/>
  <c r="B147"/>
  <c r="H147" s="1"/>
  <c r="G144"/>
  <c r="B143"/>
  <c r="H143" s="1"/>
  <c r="G140"/>
  <c r="B145"/>
  <c r="H145" s="1"/>
  <c r="G142"/>
  <c r="C147" l="1"/>
  <c r="E147"/>
  <c r="E143"/>
  <c r="C143"/>
  <c r="C145"/>
  <c r="E145"/>
  <c r="G145"/>
  <c r="B148"/>
  <c r="H148" s="1"/>
  <c r="G143"/>
  <c r="B146"/>
  <c r="H146" s="1"/>
  <c r="G147"/>
  <c r="B150"/>
  <c r="H150" s="1"/>
  <c r="C146" l="1"/>
  <c r="E146"/>
  <c r="C150"/>
  <c r="E150"/>
  <c r="C148"/>
  <c r="E148"/>
  <c r="B151"/>
  <c r="H151" s="1"/>
  <c r="G148"/>
  <c r="B153"/>
  <c r="H153" s="1"/>
  <c r="G150"/>
  <c r="B149"/>
  <c r="H149" s="1"/>
  <c r="G146"/>
  <c r="C149" l="1"/>
  <c r="E149"/>
  <c r="E151"/>
  <c r="C151"/>
  <c r="C153"/>
  <c r="E153"/>
  <c r="G149"/>
  <c r="B152"/>
  <c r="H152" s="1"/>
  <c r="G153"/>
  <c r="B156"/>
  <c r="H156" s="1"/>
  <c r="G151"/>
  <c r="B154"/>
  <c r="H154" s="1"/>
  <c r="C156" l="1"/>
  <c r="E156"/>
  <c r="C154"/>
  <c r="E154"/>
  <c r="C152"/>
  <c r="E152"/>
  <c r="B159"/>
  <c r="H159" s="1"/>
  <c r="G156"/>
  <c r="B155"/>
  <c r="H155" s="1"/>
  <c r="G152"/>
  <c r="B157"/>
  <c r="H157" s="1"/>
  <c r="G154"/>
  <c r="C157" l="1"/>
  <c r="E157"/>
  <c r="C155"/>
  <c r="E155"/>
  <c r="E159"/>
  <c r="C159"/>
  <c r="G157"/>
  <c r="B160"/>
  <c r="H160" s="1"/>
  <c r="G155"/>
  <c r="B158"/>
  <c r="H158" s="1"/>
  <c r="G159"/>
  <c r="B162"/>
  <c r="H162" s="1"/>
  <c r="C158" l="1"/>
  <c r="E158"/>
  <c r="C162"/>
  <c r="E162"/>
  <c r="C160"/>
  <c r="E160"/>
  <c r="B163"/>
  <c r="H163" s="1"/>
  <c r="G160"/>
  <c r="B165"/>
  <c r="H165" s="1"/>
  <c r="G162"/>
  <c r="B161"/>
  <c r="H161" s="1"/>
  <c r="G158"/>
  <c r="C163" l="1"/>
  <c r="E163"/>
  <c r="C165"/>
  <c r="E165"/>
  <c r="C161"/>
  <c r="E161"/>
  <c r="G165"/>
  <c r="B168"/>
  <c r="H168" s="1"/>
  <c r="G161"/>
  <c r="B164"/>
  <c r="H164" s="1"/>
  <c r="G163"/>
  <c r="B166"/>
  <c r="H166" s="1"/>
  <c r="C164" l="1"/>
  <c r="E164"/>
  <c r="E166"/>
  <c r="C166"/>
  <c r="C168"/>
  <c r="E168"/>
  <c r="B169"/>
  <c r="H169" s="1"/>
  <c r="G166"/>
  <c r="B167"/>
  <c r="H167" s="1"/>
  <c r="G164"/>
  <c r="B171"/>
  <c r="G168"/>
  <c r="C60" i="21" l="1"/>
  <c r="C60" i="23" s="1"/>
  <c r="H171" i="1"/>
  <c r="I60" i="21" s="1"/>
  <c r="I60" i="23" s="1"/>
  <c r="E167" i="1"/>
  <c r="C167"/>
  <c r="C171"/>
  <c r="D60" i="21" s="1"/>
  <c r="D60" i="23" s="1"/>
  <c r="E171" i="1"/>
  <c r="F60" i="21" s="1"/>
  <c r="F60" i="23" s="1"/>
  <c r="C169" i="1"/>
  <c r="E169"/>
  <c r="G171"/>
  <c r="H60" i="21" s="1"/>
  <c r="H60" i="23" s="1"/>
  <c r="B174" i="1"/>
  <c r="G167"/>
  <c r="B170"/>
  <c r="G169"/>
  <c r="B172"/>
  <c r="C61" i="21" l="1"/>
  <c r="C61" i="23" s="1"/>
  <c r="H172" i="1"/>
  <c r="I61" i="21" s="1"/>
  <c r="I61" i="23" s="1"/>
  <c r="C63" i="21"/>
  <c r="C63" i="23" s="1"/>
  <c r="H174" i="1"/>
  <c r="I63" i="21" s="1"/>
  <c r="I63" i="23" s="1"/>
  <c r="C59" i="21"/>
  <c r="C59" i="23" s="1"/>
  <c r="H170" i="1"/>
  <c r="I59" i="21" s="1"/>
  <c r="I59" i="23" s="1"/>
  <c r="C170" i="1"/>
  <c r="D59" i="21" s="1"/>
  <c r="D59" i="23" s="1"/>
  <c r="E170" i="1"/>
  <c r="F59" i="21" s="1"/>
  <c r="F59" i="23" s="1"/>
  <c r="C172" i="1"/>
  <c r="D61" i="21" s="1"/>
  <c r="D61" i="23" s="1"/>
  <c r="E172" i="1"/>
  <c r="F61" i="21" s="1"/>
  <c r="F61" i="23" s="1"/>
  <c r="C174" i="1"/>
  <c r="D63" i="21" s="1"/>
  <c r="D63" i="23" s="1"/>
  <c r="E174" i="1"/>
  <c r="F63" i="21" s="1"/>
  <c r="F63" i="23" s="1"/>
  <c r="B173" i="1"/>
  <c r="G170"/>
  <c r="H59" i="21" s="1"/>
  <c r="H59" i="23" s="1"/>
  <c r="B175" i="1"/>
  <c r="G172"/>
  <c r="H61" i="21" s="1"/>
  <c r="H61" i="23" s="1"/>
  <c r="B177" i="1"/>
  <c r="G174"/>
  <c r="H63" i="21" s="1"/>
  <c r="H63" i="23" s="1"/>
  <c r="C64" i="21" l="1"/>
  <c r="C64" i="23" s="1"/>
  <c r="H175" i="1"/>
  <c r="I64" i="21" s="1"/>
  <c r="I64" i="23" s="1"/>
  <c r="C66" i="21"/>
  <c r="C66" i="23" s="1"/>
  <c r="H177" i="1"/>
  <c r="I66" i="21" s="1"/>
  <c r="I66" i="23" s="1"/>
  <c r="C62" i="21"/>
  <c r="C62" i="23" s="1"/>
  <c r="H173" i="1"/>
  <c r="I62" i="21" s="1"/>
  <c r="I62" i="23" s="1"/>
  <c r="E175" i="1"/>
  <c r="F64" i="21" s="1"/>
  <c r="F64" i="23" s="1"/>
  <c r="C175" i="1"/>
  <c r="D64" i="21" s="1"/>
  <c r="D64" i="23" s="1"/>
  <c r="C177" i="1"/>
  <c r="D66" i="21" s="1"/>
  <c r="D66" i="23" s="1"/>
  <c r="E177" i="1"/>
  <c r="F66" i="21" s="1"/>
  <c r="F66" i="23" s="1"/>
  <c r="C173" i="1"/>
  <c r="D62" i="21" s="1"/>
  <c r="D62" i="23" s="1"/>
  <c r="E173" i="1"/>
  <c r="F62" i="21" s="1"/>
  <c r="F62" i="23" s="1"/>
  <c r="G177" i="1"/>
  <c r="H66" i="21" s="1"/>
  <c r="H66" i="23" s="1"/>
  <c r="B180" i="1"/>
  <c r="G175"/>
  <c r="H64" i="21" s="1"/>
  <c r="H64" i="23" s="1"/>
  <c r="B178" i="1"/>
  <c r="G173"/>
  <c r="H62" i="21" s="1"/>
  <c r="H62" i="23" s="1"/>
  <c r="B176" i="1"/>
  <c r="C67" i="21" l="1"/>
  <c r="C67" i="23" s="1"/>
  <c r="H178" i="1"/>
  <c r="I67" i="21" s="1"/>
  <c r="I67" i="23" s="1"/>
  <c r="C65" i="21"/>
  <c r="C65" i="23" s="1"/>
  <c r="H176" i="1"/>
  <c r="I65" i="21" s="1"/>
  <c r="I65" i="23" s="1"/>
  <c r="C69" i="21"/>
  <c r="C69" i="23" s="1"/>
  <c r="H180" i="1"/>
  <c r="I69" i="21" s="1"/>
  <c r="I69" i="23" s="1"/>
  <c r="C178" i="1"/>
  <c r="D67" i="21" s="1"/>
  <c r="D67" i="23" s="1"/>
  <c r="E178" i="1"/>
  <c r="F67" i="21" s="1"/>
  <c r="F67" i="23" s="1"/>
  <c r="C176" i="1"/>
  <c r="D65" i="21" s="1"/>
  <c r="D65" i="23" s="1"/>
  <c r="E176" i="1"/>
  <c r="F65" i="21" s="1"/>
  <c r="F65" i="23" s="1"/>
  <c r="C180" i="1"/>
  <c r="D69" i="21" s="1"/>
  <c r="D69" i="23" s="1"/>
  <c r="E180" i="1"/>
  <c r="F69" i="21" s="1"/>
  <c r="F69" i="23" s="1"/>
  <c r="B181" i="1"/>
  <c r="G178"/>
  <c r="H67" i="21" s="1"/>
  <c r="H67" i="23" s="1"/>
  <c r="B179" i="1"/>
  <c r="G176"/>
  <c r="H65" i="21" s="1"/>
  <c r="H65" i="23" s="1"/>
  <c r="B183" i="1"/>
  <c r="G180"/>
  <c r="H69" i="21" s="1"/>
  <c r="H69" i="23" s="1"/>
  <c r="C68" i="21" l="1"/>
  <c r="C68" i="23" s="1"/>
  <c r="H179" i="1"/>
  <c r="I68" i="21" s="1"/>
  <c r="I68" i="23" s="1"/>
  <c r="C72" i="21"/>
  <c r="C72" i="23" s="1"/>
  <c r="H183" i="1"/>
  <c r="I72" i="21" s="1"/>
  <c r="I72" i="23" s="1"/>
  <c r="C70" i="21"/>
  <c r="C70" i="23" s="1"/>
  <c r="H181" i="1"/>
  <c r="I70" i="21" s="1"/>
  <c r="I70" i="23" s="1"/>
  <c r="C179" i="1"/>
  <c r="D68" i="21" s="1"/>
  <c r="D68" i="23" s="1"/>
  <c r="E179" i="1"/>
  <c r="F68" i="21" s="1"/>
  <c r="F68" i="23" s="1"/>
  <c r="E183" i="1"/>
  <c r="F72" i="21" s="1"/>
  <c r="F72" i="23" s="1"/>
  <c r="C183" i="1"/>
  <c r="D72" i="21" s="1"/>
  <c r="D72" i="23" s="1"/>
  <c r="C181" i="1"/>
  <c r="D70" i="21" s="1"/>
  <c r="D70" i="23" s="1"/>
  <c r="E181" i="1"/>
  <c r="F70" i="21" s="1"/>
  <c r="F70" i="23" s="1"/>
  <c r="G183" i="1"/>
  <c r="H72" i="21" s="1"/>
  <c r="H72" i="23" s="1"/>
  <c r="B186" i="1"/>
  <c r="G179"/>
  <c r="H68" i="21" s="1"/>
  <c r="H68" i="23" s="1"/>
  <c r="B182" i="1"/>
  <c r="G181"/>
  <c r="H70" i="21" s="1"/>
  <c r="H70" i="23" s="1"/>
  <c r="B184" i="1"/>
  <c r="C73" i="21" l="1"/>
  <c r="C73" i="23" s="1"/>
  <c r="H184" i="1"/>
  <c r="I73" i="21" s="1"/>
  <c r="I73" i="23" s="1"/>
  <c r="C75" i="21"/>
  <c r="C75" i="23" s="1"/>
  <c r="H186" i="1"/>
  <c r="I75" i="21" s="1"/>
  <c r="I75" i="23" s="1"/>
  <c r="C71" i="21"/>
  <c r="C71" i="23" s="1"/>
  <c r="H182" i="1"/>
  <c r="I71" i="21" s="1"/>
  <c r="I71" i="23" s="1"/>
  <c r="E182" i="1"/>
  <c r="F71" i="21" s="1"/>
  <c r="F71" i="23" s="1"/>
  <c r="C182" i="1"/>
  <c r="D71" i="21" s="1"/>
  <c r="D71" i="23" s="1"/>
  <c r="C184" i="1"/>
  <c r="D73" i="21" s="1"/>
  <c r="D73" i="23" s="1"/>
  <c r="E184" i="1"/>
  <c r="F73" i="21" s="1"/>
  <c r="F73" i="23" s="1"/>
  <c r="E186" i="1"/>
  <c r="F75" i="21" s="1"/>
  <c r="F75" i="23" s="1"/>
  <c r="C186" i="1"/>
  <c r="D75" i="21" s="1"/>
  <c r="D75" i="23" s="1"/>
  <c r="B189" i="1"/>
  <c r="G186"/>
  <c r="H75" i="21" s="1"/>
  <c r="H75" i="23" s="1"/>
  <c r="B187" i="1"/>
  <c r="G184"/>
  <c r="H73" i="21" s="1"/>
  <c r="H73" i="23" s="1"/>
  <c r="B185" i="1"/>
  <c r="G182"/>
  <c r="H71" i="21" s="1"/>
  <c r="H71" i="23" s="1"/>
  <c r="C74" i="21" l="1"/>
  <c r="C74" i="23" s="1"/>
  <c r="H185" i="1"/>
  <c r="I74" i="21" s="1"/>
  <c r="I74" i="23" s="1"/>
  <c r="C78" i="21"/>
  <c r="C78" i="23" s="1"/>
  <c r="H189" i="1"/>
  <c r="I78" i="21" s="1"/>
  <c r="I78" i="23" s="1"/>
  <c r="C76" i="21"/>
  <c r="C76" i="23" s="1"/>
  <c r="H187" i="1"/>
  <c r="I76" i="21" s="1"/>
  <c r="I76" i="23" s="1"/>
  <c r="C185" i="1"/>
  <c r="D74" i="21" s="1"/>
  <c r="D74" i="23" s="1"/>
  <c r="E185" i="1"/>
  <c r="F74" i="21" s="1"/>
  <c r="F74" i="23" s="1"/>
  <c r="C189" i="1"/>
  <c r="D78" i="21" s="1"/>
  <c r="D78" i="23" s="1"/>
  <c r="E189" i="1"/>
  <c r="F78" i="21" s="1"/>
  <c r="F78" i="23" s="1"/>
  <c r="C187" i="1"/>
  <c r="D76" i="21" s="1"/>
  <c r="D76" i="23" s="1"/>
  <c r="E187" i="1"/>
  <c r="F76" i="21" s="1"/>
  <c r="F76" i="23" s="1"/>
  <c r="G185" i="1"/>
  <c r="H74" i="21" s="1"/>
  <c r="H74" i="23" s="1"/>
  <c r="B188" i="1"/>
  <c r="G187"/>
  <c r="H76" i="21" s="1"/>
  <c r="H76" i="23" s="1"/>
  <c r="B190" i="1"/>
  <c r="G189"/>
  <c r="H78" i="21" s="1"/>
  <c r="H78" i="23" s="1"/>
  <c r="B192" i="1"/>
  <c r="C79" i="21" l="1"/>
  <c r="C79" i="23" s="1"/>
  <c r="H190" i="1"/>
  <c r="I79" i="21" s="1"/>
  <c r="I79" i="23" s="1"/>
  <c r="C81" i="21"/>
  <c r="C81" i="23" s="1"/>
  <c r="H192" i="1"/>
  <c r="I81" i="21" s="1"/>
  <c r="I81" i="23" s="1"/>
  <c r="C77" i="21"/>
  <c r="C77" i="23" s="1"/>
  <c r="H188" i="1"/>
  <c r="I77" i="21" s="1"/>
  <c r="I77" i="23" s="1"/>
  <c r="E190" i="1"/>
  <c r="F79" i="21" s="1"/>
  <c r="F79" i="23" s="1"/>
  <c r="C190" i="1"/>
  <c r="D79" i="21" s="1"/>
  <c r="D79" i="23" s="1"/>
  <c r="C192" i="1"/>
  <c r="D81" i="21" s="1"/>
  <c r="D81" i="23" s="1"/>
  <c r="E192" i="1"/>
  <c r="F81" i="21" s="1"/>
  <c r="F81" i="23" s="1"/>
  <c r="C188" i="1"/>
  <c r="D77" i="21" s="1"/>
  <c r="D77" i="23" s="1"/>
  <c r="E188" i="1"/>
  <c r="F77" i="21" s="1"/>
  <c r="F77" i="23" s="1"/>
  <c r="B195" i="1"/>
  <c r="G192"/>
  <c r="H81" i="21" s="1"/>
  <c r="H81" i="23" s="1"/>
  <c r="B193" i="1"/>
  <c r="G190"/>
  <c r="H79" i="21" s="1"/>
  <c r="H79" i="23" s="1"/>
  <c r="B191" i="1"/>
  <c r="G188"/>
  <c r="H77" i="21" s="1"/>
  <c r="H77" i="23" s="1"/>
  <c r="C82" i="21" l="1"/>
  <c r="C82" i="23" s="1"/>
  <c r="H193" i="1"/>
  <c r="I82" i="21" s="1"/>
  <c r="I82" i="23" s="1"/>
  <c r="C80" i="21"/>
  <c r="C80" i="23" s="1"/>
  <c r="H191" i="1"/>
  <c r="I80" i="21" s="1"/>
  <c r="I80" i="23" s="1"/>
  <c r="C84" i="21"/>
  <c r="C84" i="23" s="1"/>
  <c r="H195" i="1"/>
  <c r="I84" i="21" s="1"/>
  <c r="I84" i="23" s="1"/>
  <c r="C191" i="1"/>
  <c r="D80" i="21" s="1"/>
  <c r="D80" i="23" s="1"/>
  <c r="E191" i="1"/>
  <c r="F80" i="21" s="1"/>
  <c r="F80" i="23" s="1"/>
  <c r="E195" i="1"/>
  <c r="F84" i="21" s="1"/>
  <c r="F84" i="23" s="1"/>
  <c r="C195" i="1"/>
  <c r="D84" i="21" s="1"/>
  <c r="D84" i="23" s="1"/>
  <c r="C193" i="1"/>
  <c r="D82" i="21" s="1"/>
  <c r="D82" i="23" s="1"/>
  <c r="E193" i="1"/>
  <c r="F82" i="21" s="1"/>
  <c r="F82" i="23" s="1"/>
  <c r="G191" i="1"/>
  <c r="H80" i="21" s="1"/>
  <c r="H80" i="23" s="1"/>
  <c r="B194" i="1"/>
  <c r="G193"/>
  <c r="H82" i="21" s="1"/>
  <c r="H82" i="23" s="1"/>
  <c r="B196" i="1"/>
  <c r="G195"/>
  <c r="H84" i="21" s="1"/>
  <c r="H84" i="23" s="1"/>
  <c r="B198" i="1"/>
  <c r="C85" i="21" l="1"/>
  <c r="C85" i="23" s="1"/>
  <c r="H196" i="1"/>
  <c r="I85" i="21" s="1"/>
  <c r="I85" i="23" s="1"/>
  <c r="C87" i="21"/>
  <c r="C87" i="23" s="1"/>
  <c r="H198" i="1"/>
  <c r="I87" i="21" s="1"/>
  <c r="I87" i="23" s="1"/>
  <c r="C83" i="21"/>
  <c r="C83" i="23" s="1"/>
  <c r="H194" i="1"/>
  <c r="I83" i="21" s="1"/>
  <c r="I83" i="23" s="1"/>
  <c r="C196" i="1"/>
  <c r="D85" i="21" s="1"/>
  <c r="D85" i="23" s="1"/>
  <c r="E196" i="1"/>
  <c r="F85" i="21" s="1"/>
  <c r="F85" i="23" s="1"/>
  <c r="E198" i="1"/>
  <c r="F87" i="21" s="1"/>
  <c r="F87" i="23" s="1"/>
  <c r="C198" i="1"/>
  <c r="D87" i="21" s="1"/>
  <c r="D87" i="23" s="1"/>
  <c r="E194" i="1"/>
  <c r="F83" i="21" s="1"/>
  <c r="F83" i="23" s="1"/>
  <c r="C194" i="1"/>
  <c r="D83" i="21" s="1"/>
  <c r="D83" i="23" s="1"/>
  <c r="B201" i="1"/>
  <c r="G198"/>
  <c r="H87" i="21" s="1"/>
  <c r="H87" i="23" s="1"/>
  <c r="B197" i="1"/>
  <c r="G194"/>
  <c r="H83" i="21" s="1"/>
  <c r="H83" i="23" s="1"/>
  <c r="B199" i="1"/>
  <c r="G196"/>
  <c r="H85" i="21" s="1"/>
  <c r="H85" i="23" s="1"/>
  <c r="C86" i="21" l="1"/>
  <c r="C86" i="23" s="1"/>
  <c r="H197" i="1"/>
  <c r="I86" i="21" s="1"/>
  <c r="I86" i="23" s="1"/>
  <c r="C88" i="21"/>
  <c r="C88" i="23" s="1"/>
  <c r="H199" i="1"/>
  <c r="I88" i="21" s="1"/>
  <c r="I88" i="23" s="1"/>
  <c r="C90" i="21"/>
  <c r="C90" i="23" s="1"/>
  <c r="H201" i="1"/>
  <c r="I90" i="21" s="1"/>
  <c r="I90" i="23" s="1"/>
  <c r="C197" i="1"/>
  <c r="D86" i="21" s="1"/>
  <c r="D86" i="23" s="1"/>
  <c r="E197" i="1"/>
  <c r="F86" i="21" s="1"/>
  <c r="F86" i="23" s="1"/>
  <c r="C199" i="1"/>
  <c r="D88" i="21" s="1"/>
  <c r="D88" i="23" s="1"/>
  <c r="E199" i="1"/>
  <c r="F88" i="21" s="1"/>
  <c r="F88" i="23" s="1"/>
  <c r="C201" i="1"/>
  <c r="D90" i="21" s="1"/>
  <c r="D90" i="23" s="1"/>
  <c r="E201" i="1"/>
  <c r="F90" i="21" s="1"/>
  <c r="F90" i="23" s="1"/>
  <c r="G199" i="1"/>
  <c r="H88" i="21" s="1"/>
  <c r="H88" i="23" s="1"/>
  <c r="B202" i="1"/>
  <c r="G197"/>
  <c r="H86" i="21" s="1"/>
  <c r="H86" i="23" s="1"/>
  <c r="B200" i="1"/>
  <c r="G201"/>
  <c r="H90" i="21" s="1"/>
  <c r="H90" i="23" s="1"/>
  <c r="B204" i="1"/>
  <c r="C93" i="21" l="1"/>
  <c r="C93" i="23" s="1"/>
  <c r="H204" i="1"/>
  <c r="I93" i="21" s="1"/>
  <c r="I93" i="23" s="1"/>
  <c r="C91" i="21"/>
  <c r="C91" i="23" s="1"/>
  <c r="H202" i="1"/>
  <c r="I91" i="21" s="1"/>
  <c r="I91" i="23" s="1"/>
  <c r="C89" i="21"/>
  <c r="C89" i="23" s="1"/>
  <c r="H200" i="1"/>
  <c r="I89" i="21" s="1"/>
  <c r="I89" i="23" s="1"/>
  <c r="C200" i="1"/>
  <c r="D89" i="21" s="1"/>
  <c r="D89" i="23" s="1"/>
  <c r="E200" i="1"/>
  <c r="F89" i="21" s="1"/>
  <c r="F89" i="23" s="1"/>
  <c r="C204" i="1"/>
  <c r="D93" i="21" s="1"/>
  <c r="D93" i="23" s="1"/>
  <c r="E204" i="1"/>
  <c r="F93" i="21" s="1"/>
  <c r="F93" i="23" s="1"/>
  <c r="E202" i="1"/>
  <c r="F91" i="21" s="1"/>
  <c r="F91" i="23" s="1"/>
  <c r="C202" i="1"/>
  <c r="D91" i="21" s="1"/>
  <c r="D91" i="23" s="1"/>
  <c r="B205" i="1"/>
  <c r="G202"/>
  <c r="H91" i="21" s="1"/>
  <c r="H91" i="23" s="1"/>
  <c r="B207" i="1"/>
  <c r="G204"/>
  <c r="H93" i="21" s="1"/>
  <c r="H93" i="23" s="1"/>
  <c r="B203" i="1"/>
  <c r="G200"/>
  <c r="H89" i="21" s="1"/>
  <c r="H89" i="23" s="1"/>
  <c r="C96" i="21" l="1"/>
  <c r="C96" i="23" s="1"/>
  <c r="H207" i="1"/>
  <c r="I96" i="21" s="1"/>
  <c r="I96" i="23" s="1"/>
  <c r="C92" i="21"/>
  <c r="C92" i="23" s="1"/>
  <c r="H203" i="1"/>
  <c r="I92" i="21" s="1"/>
  <c r="I92" i="23" s="1"/>
  <c r="C94" i="21"/>
  <c r="C94" i="23" s="1"/>
  <c r="H205" i="1"/>
  <c r="I94" i="21" s="1"/>
  <c r="I94" i="23" s="1"/>
  <c r="C207" i="1"/>
  <c r="D96" i="21" s="1"/>
  <c r="D96" i="23" s="1"/>
  <c r="E207" i="1"/>
  <c r="F96" i="21" s="1"/>
  <c r="F96" i="23" s="1"/>
  <c r="E203" i="1"/>
  <c r="F92" i="21" s="1"/>
  <c r="F92" i="23" s="1"/>
  <c r="C203" i="1"/>
  <c r="D92" i="21" s="1"/>
  <c r="D92" i="23" s="1"/>
  <c r="C205" i="1"/>
  <c r="D94" i="21" s="1"/>
  <c r="D94" i="23" s="1"/>
  <c r="E205" i="1"/>
  <c r="F94" i="21" s="1"/>
  <c r="F94" i="23" s="1"/>
  <c r="G203" i="1"/>
  <c r="H92" i="21" s="1"/>
  <c r="H92" i="23" s="1"/>
  <c r="B206" i="1"/>
  <c r="G207"/>
  <c r="H96" i="21" s="1"/>
  <c r="H96" i="23" s="1"/>
  <c r="B210" i="1"/>
  <c r="G205"/>
  <c r="H94" i="21" s="1"/>
  <c r="H94" i="23" s="1"/>
  <c r="B208" i="1"/>
  <c r="C99" i="21" l="1"/>
  <c r="C99" i="23" s="1"/>
  <c r="H210" i="1"/>
  <c r="I99" i="21" s="1"/>
  <c r="I99" i="23" s="1"/>
  <c r="C97" i="21"/>
  <c r="C97" i="23" s="1"/>
  <c r="H208" i="1"/>
  <c r="I97" i="21" s="1"/>
  <c r="I97" i="23" s="1"/>
  <c r="C95" i="21"/>
  <c r="C95" i="23" s="1"/>
  <c r="H206" i="1"/>
  <c r="I95" i="21" s="1"/>
  <c r="I95" i="23" s="1"/>
  <c r="E210" i="1"/>
  <c r="F99" i="21" s="1"/>
  <c r="F99" i="23" s="1"/>
  <c r="C210" i="1"/>
  <c r="D99" i="21" s="1"/>
  <c r="D99" i="23" s="1"/>
  <c r="C208" i="1"/>
  <c r="D97" i="21" s="1"/>
  <c r="D97" i="23" s="1"/>
  <c r="E208" i="1"/>
  <c r="F97" i="21" s="1"/>
  <c r="F97" i="23" s="1"/>
  <c r="E206" i="1"/>
  <c r="F95" i="21" s="1"/>
  <c r="F95" i="23" s="1"/>
  <c r="C206" i="1"/>
  <c r="D95" i="21" s="1"/>
  <c r="D95" i="23" s="1"/>
  <c r="B213" i="1"/>
  <c r="G210"/>
  <c r="H99" i="21" s="1"/>
  <c r="H99" i="23" s="1"/>
  <c r="B209" i="1"/>
  <c r="G206"/>
  <c r="H95" i="21" s="1"/>
  <c r="H95" i="23" s="1"/>
  <c r="B211" i="1"/>
  <c r="G208"/>
  <c r="H97" i="21" s="1"/>
  <c r="H97" i="23" s="1"/>
  <c r="C100" i="21" l="1"/>
  <c r="C100" i="23" s="1"/>
  <c r="H211" i="1"/>
  <c r="I100" i="21" s="1"/>
  <c r="I100" i="23" s="1"/>
  <c r="C102" i="21"/>
  <c r="C102" i="23" s="1"/>
  <c r="H213" i="1"/>
  <c r="I102" i="21" s="1"/>
  <c r="I102" i="23" s="1"/>
  <c r="C98" i="21"/>
  <c r="C98" i="23" s="1"/>
  <c r="H209" i="1"/>
  <c r="I98" i="21" s="1"/>
  <c r="I98" i="23" s="1"/>
  <c r="C209" i="1"/>
  <c r="D98" i="21" s="1"/>
  <c r="D98" i="23" s="1"/>
  <c r="E209" i="1"/>
  <c r="F98" i="21" s="1"/>
  <c r="F98" i="23" s="1"/>
  <c r="E211" i="1"/>
  <c r="F100" i="21" s="1"/>
  <c r="F100" i="23" s="1"/>
  <c r="C211" i="1"/>
  <c r="D100" i="21" s="1"/>
  <c r="D100" i="23" s="1"/>
  <c r="C213" i="1"/>
  <c r="D102" i="21" s="1"/>
  <c r="D102" i="23" s="1"/>
  <c r="E213" i="1"/>
  <c r="F102" i="21" s="1"/>
  <c r="F102" i="23" s="1"/>
  <c r="G211" i="1"/>
  <c r="H100" i="21" s="1"/>
  <c r="H100" i="23" s="1"/>
  <c r="B214" i="1"/>
  <c r="G209"/>
  <c r="H98" i="21" s="1"/>
  <c r="H98" i="23" s="1"/>
  <c r="B212" i="1"/>
  <c r="G213"/>
  <c r="H102" i="21" s="1"/>
  <c r="H102" i="23" s="1"/>
  <c r="B216" i="1"/>
  <c r="C105" i="21" l="1"/>
  <c r="C105" i="23" s="1"/>
  <c r="H216" i="1"/>
  <c r="I105" i="21" s="1"/>
  <c r="I105" i="23" s="1"/>
  <c r="C103" i="21"/>
  <c r="C103" i="23" s="1"/>
  <c r="H214" i="1"/>
  <c r="I103" i="21" s="1"/>
  <c r="I103" i="23" s="1"/>
  <c r="C101" i="21"/>
  <c r="C101" i="23" s="1"/>
  <c r="H212" i="1"/>
  <c r="I101" i="21" s="1"/>
  <c r="I101" i="23" s="1"/>
  <c r="C212" i="1"/>
  <c r="D101" i="21" s="1"/>
  <c r="D101" i="23" s="1"/>
  <c r="E212" i="1"/>
  <c r="F101" i="21" s="1"/>
  <c r="F101" i="23" s="1"/>
  <c r="C216" i="1"/>
  <c r="D105" i="21" s="1"/>
  <c r="D105" i="23" s="1"/>
  <c r="E216" i="1"/>
  <c r="F105" i="21" s="1"/>
  <c r="F105" i="23" s="1"/>
  <c r="E214" i="1"/>
  <c r="F103" i="21" s="1"/>
  <c r="F103" i="23" s="1"/>
  <c r="C214" i="1"/>
  <c r="D103" i="21" s="1"/>
  <c r="D103" i="23" s="1"/>
  <c r="B219" i="1"/>
  <c r="G216"/>
  <c r="H105" i="21" s="1"/>
  <c r="H105" i="23" s="1"/>
  <c r="B215" i="1"/>
  <c r="G212"/>
  <c r="H101" i="21" s="1"/>
  <c r="H101" i="23" s="1"/>
  <c r="B217" i="1"/>
  <c r="G214"/>
  <c r="H103" i="21" s="1"/>
  <c r="H103" i="23" s="1"/>
  <c r="C106" i="21" l="1"/>
  <c r="C106" i="23" s="1"/>
  <c r="H217" i="1"/>
  <c r="I106" i="21" s="1"/>
  <c r="I106" i="23" s="1"/>
  <c r="C108" i="21"/>
  <c r="C108" i="23" s="1"/>
  <c r="H219" i="1"/>
  <c r="I108" i="21" s="1"/>
  <c r="I108" i="23" s="1"/>
  <c r="C104" i="21"/>
  <c r="C104" i="23" s="1"/>
  <c r="H215" i="1"/>
  <c r="I104" i="21" s="1"/>
  <c r="I104" i="23" s="1"/>
  <c r="C215" i="1"/>
  <c r="D104" i="21" s="1"/>
  <c r="D104" i="23" s="1"/>
  <c r="E215" i="1"/>
  <c r="F104" i="21" s="1"/>
  <c r="F104" i="23" s="1"/>
  <c r="C217" i="1"/>
  <c r="D106" i="21" s="1"/>
  <c r="D106" i="23" s="1"/>
  <c r="E217" i="1"/>
  <c r="F106" i="21" s="1"/>
  <c r="F106" i="23" s="1"/>
  <c r="E219" i="1"/>
  <c r="F108" i="21" s="1"/>
  <c r="F108" i="23" s="1"/>
  <c r="C219" i="1"/>
  <c r="D108" i="21" s="1"/>
  <c r="D108" i="23" s="1"/>
  <c r="G217" i="1"/>
  <c r="H106" i="21" s="1"/>
  <c r="H106" i="23" s="1"/>
  <c r="B220" i="1"/>
  <c r="G215"/>
  <c r="H104" i="21" s="1"/>
  <c r="H104" i="23" s="1"/>
  <c r="B218" i="1"/>
  <c r="G219"/>
  <c r="H108" i="21" s="1"/>
  <c r="H108" i="23" s="1"/>
  <c r="B222" i="1"/>
  <c r="C107" i="21" l="1"/>
  <c r="C107" i="23" s="1"/>
  <c r="H218" i="1"/>
  <c r="I107" i="21" s="1"/>
  <c r="I107" i="23" s="1"/>
  <c r="C111" i="21"/>
  <c r="C111" i="23" s="1"/>
  <c r="H222" i="1"/>
  <c r="I111" i="21" s="1"/>
  <c r="I111" i="23" s="1"/>
  <c r="C109" i="21"/>
  <c r="C109" i="23" s="1"/>
  <c r="H220" i="1"/>
  <c r="I109" i="21" s="1"/>
  <c r="I109" i="23" s="1"/>
  <c r="E218" i="1"/>
  <c r="F107" i="21" s="1"/>
  <c r="F107" i="23" s="1"/>
  <c r="C218" i="1"/>
  <c r="D107" i="21" s="1"/>
  <c r="D107" i="23" s="1"/>
  <c r="E222" i="1"/>
  <c r="F111" i="21" s="1"/>
  <c r="F111" i="23" s="1"/>
  <c r="C222" i="1"/>
  <c r="D111" i="21" s="1"/>
  <c r="D111" i="23" s="1"/>
  <c r="C220" i="1"/>
  <c r="D109" i="21" s="1"/>
  <c r="D109" i="23" s="1"/>
  <c r="E220" i="1"/>
  <c r="F109" i="21" s="1"/>
  <c r="F109" i="23" s="1"/>
  <c r="G222" i="1"/>
  <c r="H111" i="21" s="1"/>
  <c r="H111" i="23" s="1"/>
  <c r="B221" i="1"/>
  <c r="G218"/>
  <c r="H107" i="21" s="1"/>
  <c r="H107" i="23" s="1"/>
  <c r="B223" i="1"/>
  <c r="G220"/>
  <c r="H109" i="21" s="1"/>
  <c r="H109" i="23" s="1"/>
  <c r="C110" i="21" l="1"/>
  <c r="C110" i="23" s="1"/>
  <c r="H221" i="1"/>
  <c r="I110" i="21" s="1"/>
  <c r="I110" i="23" s="1"/>
  <c r="C112" i="21"/>
  <c r="C112" i="23" s="1"/>
  <c r="H223" i="1"/>
  <c r="I112" i="21" s="1"/>
  <c r="I112" i="23" s="1"/>
  <c r="C223" i="1"/>
  <c r="D112" i="21" s="1"/>
  <c r="D112" i="23" s="1"/>
  <c r="E223" i="1"/>
  <c r="F112" i="21" s="1"/>
  <c r="F112" i="23" s="1"/>
  <c r="C221" i="1"/>
  <c r="D110" i="21" s="1"/>
  <c r="D110" i="23" s="1"/>
  <c r="E221" i="1"/>
  <c r="F110" i="21" s="1"/>
  <c r="F110" i="23" s="1"/>
  <c r="G223" i="1"/>
  <c r="H112" i="21" s="1"/>
  <c r="H112" i="23" s="1"/>
  <c r="G221" i="1"/>
  <c r="H110" i="21" s="1"/>
  <c r="H110" i="23" s="1"/>
  <c r="D119" l="1"/>
  <c r="C9" i="3" s="1"/>
  <c r="D120" i="23"/>
  <c r="C10" i="3" s="1"/>
  <c r="D118" i="23"/>
  <c r="C8" i="3" s="1"/>
  <c r="D122" i="23"/>
  <c r="C12" i="3" s="1"/>
  <c r="D123" i="23"/>
  <c r="C13" i="3" s="1"/>
  <c r="D121" i="23"/>
  <c r="C11" i="3" s="1"/>
  <c r="D125" i="23"/>
  <c r="C15" i="3" s="1"/>
  <c r="D124" i="23"/>
  <c r="C14" i="3" s="1"/>
  <c r="D126" i="23"/>
  <c r="C16" i="3" s="1"/>
  <c r="D128" i="23"/>
  <c r="C18" i="3" s="1"/>
  <c r="D127" i="23"/>
  <c r="C17" i="3" s="1"/>
  <c r="D129" i="23"/>
  <c r="C19" i="3" s="1"/>
  <c r="F120" i="23"/>
  <c r="E10" i="3" s="1"/>
  <c r="F119" i="23"/>
  <c r="E9" i="3" s="1"/>
  <c r="F118" i="23"/>
  <c r="E8" i="3" s="1"/>
  <c r="F121" i="23"/>
  <c r="E11" i="3" s="1"/>
  <c r="F122" i="23"/>
  <c r="E12" i="3" s="1"/>
  <c r="F123" i="23"/>
  <c r="E13" i="3" s="1"/>
  <c r="F125" i="23"/>
  <c r="E15" i="3" s="1"/>
  <c r="F126" i="23"/>
  <c r="E16" i="3" s="1"/>
  <c r="F124" i="23"/>
  <c r="E14" i="3" s="1"/>
  <c r="F128" i="23"/>
  <c r="E18" i="3" s="1"/>
  <c r="F127" i="23"/>
  <c r="E17" i="3" s="1"/>
  <c r="F129" i="23"/>
  <c r="E19" i="3" s="1"/>
  <c r="B47" i="9"/>
  <c r="B44"/>
  <c r="A47"/>
  <c r="A44"/>
  <c r="C6" i="18" l="1"/>
  <c r="A6" s="1"/>
  <c r="B6"/>
  <c r="C5"/>
  <c r="B5"/>
  <c r="J4"/>
  <c r="I4"/>
  <c r="C4"/>
  <c r="A4" s="1"/>
  <c r="B4"/>
  <c r="J3"/>
  <c r="C3"/>
  <c r="B3"/>
  <c r="AD2"/>
  <c r="AC2"/>
  <c r="AB2"/>
  <c r="AA2"/>
  <c r="Z2"/>
  <c r="Y2"/>
  <c r="X2"/>
  <c r="W2"/>
  <c r="V2"/>
  <c r="U2"/>
  <c r="T2"/>
  <c r="S2"/>
  <c r="R2"/>
  <c r="Q2"/>
  <c r="P2"/>
  <c r="O2"/>
  <c r="N2"/>
  <c r="M2"/>
  <c r="L2"/>
  <c r="K2"/>
  <c r="A3" l="1"/>
  <c r="BA4"/>
  <c r="AW4"/>
  <c r="AS4"/>
  <c r="AO4"/>
  <c r="AK4"/>
  <c r="AG4"/>
  <c r="BC4"/>
  <c r="AY4"/>
  <c r="AU4"/>
  <c r="AQ4"/>
  <c r="AM4"/>
  <c r="AI4"/>
  <c r="AT4"/>
  <c r="AL4"/>
  <c r="BD4"/>
  <c r="AZ4"/>
  <c r="AV4"/>
  <c r="AR4"/>
  <c r="AN4"/>
  <c r="AJ4"/>
  <c r="AF4"/>
  <c r="BB4"/>
  <c r="AX4"/>
  <c r="AP4"/>
  <c r="AH4"/>
  <c r="F5"/>
  <c r="BD5"/>
  <c r="AZ5"/>
  <c r="AV5"/>
  <c r="AR5"/>
  <c r="AN5"/>
  <c r="AJ5"/>
  <c r="AF5"/>
  <c r="BA5"/>
  <c r="AO5"/>
  <c r="BB5"/>
  <c r="AX5"/>
  <c r="AT5"/>
  <c r="AP5"/>
  <c r="AL5"/>
  <c r="AH5"/>
  <c r="AS5"/>
  <c r="AG5"/>
  <c r="BC5"/>
  <c r="AY5"/>
  <c r="AU5"/>
  <c r="AQ5"/>
  <c r="AM5"/>
  <c r="AI5"/>
  <c r="AW5"/>
  <c r="AK5"/>
  <c r="F6"/>
  <c r="BC6"/>
  <c r="AY6"/>
  <c r="AU6"/>
  <c r="AQ6"/>
  <c r="AM6"/>
  <c r="AI6"/>
  <c r="AV6"/>
  <c r="BA6"/>
  <c r="AW6"/>
  <c r="AS6"/>
  <c r="AO6"/>
  <c r="AK6"/>
  <c r="AG6"/>
  <c r="AZ6"/>
  <c r="AN6"/>
  <c r="AF6"/>
  <c r="BB6"/>
  <c r="AX6"/>
  <c r="AT6"/>
  <c r="AP6"/>
  <c r="AL6"/>
  <c r="AH6"/>
  <c r="BD6"/>
  <c r="AR6"/>
  <c r="AJ6"/>
  <c r="F3"/>
  <c r="BD3"/>
  <c r="AZ3"/>
  <c r="AV3"/>
  <c r="AR3"/>
  <c r="AN3"/>
  <c r="AJ3"/>
  <c r="AF3"/>
  <c r="AS3"/>
  <c r="BB3"/>
  <c r="AX3"/>
  <c r="AT3"/>
  <c r="AP3"/>
  <c r="AL3"/>
  <c r="AH3"/>
  <c r="BA3"/>
  <c r="AO3"/>
  <c r="AG3"/>
  <c r="BC3"/>
  <c r="AY3"/>
  <c r="AU3"/>
  <c r="AQ3"/>
  <c r="AM3"/>
  <c r="AI3"/>
  <c r="AW3"/>
  <c r="AK3"/>
  <c r="F4"/>
  <c r="A5"/>
  <c r="H8" i="3" l="1"/>
  <c r="I8"/>
  <c r="J8"/>
  <c r="K8"/>
  <c r="L8"/>
  <c r="M8"/>
  <c r="N8"/>
  <c r="O8"/>
  <c r="H9"/>
  <c r="I9"/>
  <c r="J9"/>
  <c r="K9"/>
  <c r="L9"/>
  <c r="M9"/>
  <c r="N9"/>
  <c r="O9"/>
  <c r="H10"/>
  <c r="I10"/>
  <c r="J10"/>
  <c r="K10"/>
  <c r="L10"/>
  <c r="M10"/>
  <c r="N10"/>
  <c r="O10"/>
  <c r="H11"/>
  <c r="I11"/>
  <c r="J11"/>
  <c r="K11"/>
  <c r="L11"/>
  <c r="M11"/>
  <c r="N11"/>
  <c r="O11"/>
  <c r="H12"/>
  <c r="I12"/>
  <c r="J12"/>
  <c r="K12"/>
  <c r="L12"/>
  <c r="M12"/>
  <c r="N12"/>
  <c r="O12"/>
  <c r="A43" i="9" l="1"/>
  <c r="X92"/>
  <c r="W92"/>
  <c r="V92"/>
  <c r="U92"/>
  <c r="T92"/>
  <c r="S92"/>
  <c r="R92"/>
  <c r="Q92"/>
  <c r="P92"/>
  <c r="O92"/>
  <c r="N92"/>
  <c r="M92"/>
  <c r="L92"/>
  <c r="K92"/>
  <c r="J92"/>
  <c r="I92"/>
  <c r="H92"/>
  <c r="G92"/>
  <c r="F92"/>
  <c r="E92"/>
  <c r="X55"/>
  <c r="W55"/>
  <c r="V55"/>
  <c r="U55"/>
  <c r="T55"/>
  <c r="S55"/>
  <c r="R55"/>
  <c r="Q55"/>
  <c r="P55"/>
  <c r="O55"/>
  <c r="N55"/>
  <c r="M55"/>
  <c r="L55"/>
  <c r="K55"/>
  <c r="J55"/>
  <c r="I55"/>
  <c r="H55"/>
  <c r="G55"/>
  <c r="F55"/>
  <c r="E55"/>
  <c r="X43"/>
  <c r="W43"/>
  <c r="V43"/>
  <c r="U43"/>
  <c r="T43"/>
  <c r="S43"/>
  <c r="R43"/>
  <c r="Q43"/>
  <c r="P43"/>
  <c r="O43"/>
  <c r="N43"/>
  <c r="M43"/>
  <c r="L43"/>
  <c r="K43"/>
  <c r="J43"/>
  <c r="I43"/>
  <c r="H43"/>
  <c r="G43"/>
  <c r="F43"/>
  <c r="E43"/>
  <c r="X136" l="1"/>
  <c r="W136"/>
  <c r="V136"/>
  <c r="U136"/>
  <c r="T136"/>
  <c r="S136"/>
  <c r="R136"/>
  <c r="Q136"/>
  <c r="P136"/>
  <c r="O136"/>
  <c r="N136"/>
  <c r="M136"/>
  <c r="L136"/>
  <c r="K136"/>
  <c r="J136"/>
  <c r="I136"/>
  <c r="H136"/>
  <c r="G136"/>
  <c r="F136"/>
  <c r="E136"/>
  <c r="A11" l="1"/>
  <c r="C140"/>
  <c r="C139"/>
  <c r="C138"/>
  <c r="C137"/>
  <c r="C92"/>
  <c r="X91"/>
  <c r="W91"/>
  <c r="V91"/>
  <c r="U91"/>
  <c r="T91"/>
  <c r="S91"/>
  <c r="R91"/>
  <c r="Q91"/>
  <c r="P91"/>
  <c r="O91"/>
  <c r="N91"/>
  <c r="M91"/>
  <c r="L91"/>
  <c r="K91"/>
  <c r="J91"/>
  <c r="I91"/>
  <c r="H91"/>
  <c r="G91"/>
  <c r="F91"/>
  <c r="E91"/>
  <c r="X54"/>
  <c r="W54"/>
  <c r="V54"/>
  <c r="U54"/>
  <c r="T54"/>
  <c r="S54"/>
  <c r="R54"/>
  <c r="Q54"/>
  <c r="P54"/>
  <c r="O54"/>
  <c r="N54"/>
  <c r="M54"/>
  <c r="L54"/>
  <c r="K54"/>
  <c r="J54"/>
  <c r="I54"/>
  <c r="H54"/>
  <c r="G54"/>
  <c r="F54"/>
  <c r="E54"/>
  <c r="H4" i="18"/>
  <c r="C44" i="9"/>
  <c r="X42"/>
  <c r="W42"/>
  <c r="V42"/>
  <c r="U42"/>
  <c r="T42"/>
  <c r="S42"/>
  <c r="R42"/>
  <c r="Q42"/>
  <c r="P42"/>
  <c r="O42"/>
  <c r="N42"/>
  <c r="M42"/>
  <c r="L42"/>
  <c r="K42"/>
  <c r="J42"/>
  <c r="I42"/>
  <c r="H42"/>
  <c r="G42"/>
  <c r="F42"/>
  <c r="E42"/>
  <c r="C41"/>
  <c r="C36"/>
  <c r="C32"/>
  <c r="C25"/>
  <c r="C24"/>
  <c r="C34" s="1"/>
  <c r="C23"/>
  <c r="C22"/>
  <c r="X12"/>
  <c r="W12"/>
  <c r="V12"/>
  <c r="U12"/>
  <c r="T12"/>
  <c r="S12"/>
  <c r="R12"/>
  <c r="Q12"/>
  <c r="P12"/>
  <c r="O12"/>
  <c r="N12"/>
  <c r="M12"/>
  <c r="L12"/>
  <c r="K12"/>
  <c r="J12"/>
  <c r="I12"/>
  <c r="H12"/>
  <c r="G12"/>
  <c r="F12"/>
  <c r="E12"/>
  <c r="C9"/>
  <c r="H3" i="18" l="1"/>
  <c r="I3"/>
  <c r="G4"/>
  <c r="C33" i="9"/>
  <c r="G3" i="18"/>
  <c r="A21" i="9"/>
  <c r="A31"/>
  <c r="A9" l="1"/>
  <c r="E32"/>
  <c r="N32"/>
  <c r="W32"/>
  <c r="X32"/>
  <c r="H32"/>
  <c r="K32"/>
  <c r="I32"/>
  <c r="O32"/>
  <c r="T32"/>
  <c r="M32"/>
  <c r="V32"/>
  <c r="L32"/>
  <c r="J32"/>
  <c r="S32"/>
  <c r="U32"/>
  <c r="G32"/>
  <c r="P32"/>
  <c r="R32"/>
  <c r="F32"/>
  <c r="Q32"/>
  <c r="A24"/>
  <c r="A25"/>
  <c r="A26"/>
  <c r="E5" i="18" l="1"/>
  <c r="E6"/>
  <c r="E3"/>
  <c r="E4"/>
  <c r="O67" i="9" l="1"/>
  <c r="O57"/>
  <c r="O63"/>
  <c r="O70"/>
  <c r="O56"/>
  <c r="O93" s="1"/>
  <c r="O62"/>
  <c r="O66"/>
  <c r="O69"/>
  <c r="O65"/>
  <c r="O59"/>
  <c r="O68"/>
  <c r="O58"/>
  <c r="O60"/>
  <c r="O71"/>
  <c r="O61"/>
  <c r="O64"/>
  <c r="S59"/>
  <c r="S71"/>
  <c r="S57"/>
  <c r="S65"/>
  <c r="S61"/>
  <c r="S64"/>
  <c r="S58"/>
  <c r="S69"/>
  <c r="S67"/>
  <c r="S60"/>
  <c r="S66"/>
  <c r="S56"/>
  <c r="S93" s="1"/>
  <c r="S62"/>
  <c r="S63"/>
  <c r="S70"/>
  <c r="S107" s="1"/>
  <c r="S68"/>
  <c r="W62"/>
  <c r="W65"/>
  <c r="W64"/>
  <c r="W67"/>
  <c r="W68"/>
  <c r="W69"/>
  <c r="W59"/>
  <c r="W63"/>
  <c r="W66"/>
  <c r="W61"/>
  <c r="W58"/>
  <c r="W71"/>
  <c r="W56"/>
  <c r="W93" s="1"/>
  <c r="W60"/>
  <c r="W70"/>
  <c r="W57"/>
  <c r="I57"/>
  <c r="I66"/>
  <c r="I56"/>
  <c r="I93" s="1"/>
  <c r="I62"/>
  <c r="I58"/>
  <c r="I64"/>
  <c r="I61"/>
  <c r="I69"/>
  <c r="I60"/>
  <c r="I59"/>
  <c r="I71"/>
  <c r="I65"/>
  <c r="I67"/>
  <c r="I70"/>
  <c r="I63"/>
  <c r="I68"/>
  <c r="V67"/>
  <c r="V64"/>
  <c r="V63"/>
  <c r="V56"/>
  <c r="V93" s="1"/>
  <c r="V70"/>
  <c r="V60"/>
  <c r="V57"/>
  <c r="V59"/>
  <c r="V66"/>
  <c r="V62"/>
  <c r="V71"/>
  <c r="V61"/>
  <c r="V58"/>
  <c r="V68"/>
  <c r="V65"/>
  <c r="V69"/>
  <c r="U64"/>
  <c r="U65"/>
  <c r="U61"/>
  <c r="U63"/>
  <c r="U70"/>
  <c r="U57"/>
  <c r="U66"/>
  <c r="U68"/>
  <c r="U67"/>
  <c r="U58"/>
  <c r="U60"/>
  <c r="U59"/>
  <c r="U56"/>
  <c r="U93" s="1"/>
  <c r="U62"/>
  <c r="U69"/>
  <c r="U71"/>
  <c r="Q68"/>
  <c r="Q66"/>
  <c r="Q71"/>
  <c r="Q56"/>
  <c r="Q93" s="1"/>
  <c r="Q57"/>
  <c r="Q70"/>
  <c r="Q69"/>
  <c r="Q62"/>
  <c r="Q65"/>
  <c r="Q63"/>
  <c r="Q67"/>
  <c r="Q61"/>
  <c r="Q64"/>
  <c r="Q60"/>
  <c r="Q58"/>
  <c r="Q59"/>
  <c r="N59"/>
  <c r="N60"/>
  <c r="N69"/>
  <c r="N61"/>
  <c r="N68"/>
  <c r="N71"/>
  <c r="N62"/>
  <c r="N65"/>
  <c r="N56"/>
  <c r="N93" s="1"/>
  <c r="N63"/>
  <c r="N67"/>
  <c r="N66"/>
  <c r="N64"/>
  <c r="N57"/>
  <c r="N58"/>
  <c r="N70"/>
  <c r="H71"/>
  <c r="H56"/>
  <c r="H93" s="1"/>
  <c r="H59"/>
  <c r="H64"/>
  <c r="H57"/>
  <c r="H60"/>
  <c r="H62"/>
  <c r="H69"/>
  <c r="H63"/>
  <c r="H67"/>
  <c r="H58"/>
  <c r="H61"/>
  <c r="H68"/>
  <c r="H65"/>
  <c r="H66"/>
  <c r="H70"/>
  <c r="E61"/>
  <c r="E58"/>
  <c r="E64"/>
  <c r="E56"/>
  <c r="E93" s="1"/>
  <c r="E57"/>
  <c r="E68"/>
  <c r="E66"/>
  <c r="E67"/>
  <c r="E65"/>
  <c r="E59"/>
  <c r="E71"/>
  <c r="E60"/>
  <c r="E70"/>
  <c r="E63"/>
  <c r="E69"/>
  <c r="E62"/>
  <c r="L68"/>
  <c r="L64"/>
  <c r="L70"/>
  <c r="L69"/>
  <c r="L66"/>
  <c r="L67"/>
  <c r="L71"/>
  <c r="L62"/>
  <c r="L59"/>
  <c r="L58"/>
  <c r="L61"/>
  <c r="L65"/>
  <c r="L57"/>
  <c r="L63"/>
  <c r="L56"/>
  <c r="L93" s="1"/>
  <c r="L60"/>
  <c r="T58"/>
  <c r="T56"/>
  <c r="T93" s="1"/>
  <c r="T61"/>
  <c r="T63"/>
  <c r="T70"/>
  <c r="T65"/>
  <c r="T64"/>
  <c r="T57"/>
  <c r="T59"/>
  <c r="T62"/>
  <c r="T67"/>
  <c r="T60"/>
  <c r="T69"/>
  <c r="T71"/>
  <c r="T66"/>
  <c r="T68"/>
  <c r="P62"/>
  <c r="P63"/>
  <c r="P61"/>
  <c r="P71"/>
  <c r="P57"/>
  <c r="P59"/>
  <c r="P56"/>
  <c r="P93" s="1"/>
  <c r="P70"/>
  <c r="P65"/>
  <c r="P67"/>
  <c r="P68"/>
  <c r="P60"/>
  <c r="P58"/>
  <c r="P69"/>
  <c r="P64"/>
  <c r="P66"/>
  <c r="K56"/>
  <c r="K93" s="1"/>
  <c r="K70"/>
  <c r="K60"/>
  <c r="K65"/>
  <c r="K57"/>
  <c r="K68"/>
  <c r="K59"/>
  <c r="K64"/>
  <c r="K67"/>
  <c r="K71"/>
  <c r="K108" s="1"/>
  <c r="K58"/>
  <c r="K69"/>
  <c r="K61"/>
  <c r="K63"/>
  <c r="K66"/>
  <c r="K62"/>
  <c r="G71"/>
  <c r="G64"/>
  <c r="G61"/>
  <c r="G66"/>
  <c r="G56"/>
  <c r="G93" s="1"/>
  <c r="G69"/>
  <c r="G65"/>
  <c r="G67"/>
  <c r="G59"/>
  <c r="G57"/>
  <c r="G68"/>
  <c r="G60"/>
  <c r="G58"/>
  <c r="G62"/>
  <c r="G70"/>
  <c r="G63"/>
  <c r="R61"/>
  <c r="R67"/>
  <c r="R65"/>
  <c r="R64"/>
  <c r="R58"/>
  <c r="R59"/>
  <c r="R66"/>
  <c r="R63"/>
  <c r="R71"/>
  <c r="R68"/>
  <c r="R56"/>
  <c r="R93" s="1"/>
  <c r="R62"/>
  <c r="R70"/>
  <c r="R60"/>
  <c r="R69"/>
  <c r="R57"/>
  <c r="M57"/>
  <c r="M66"/>
  <c r="M62"/>
  <c r="M56"/>
  <c r="M93" s="1"/>
  <c r="M59"/>
  <c r="M61"/>
  <c r="M65"/>
  <c r="M70"/>
  <c r="M58"/>
  <c r="M60"/>
  <c r="M67"/>
  <c r="M69"/>
  <c r="M68"/>
  <c r="M63"/>
  <c r="M64"/>
  <c r="M71"/>
  <c r="J60"/>
  <c r="J66"/>
  <c r="J64"/>
  <c r="J57"/>
  <c r="J65"/>
  <c r="J61"/>
  <c r="J69"/>
  <c r="J68"/>
  <c r="J63"/>
  <c r="J62"/>
  <c r="J58"/>
  <c r="J71"/>
  <c r="J70"/>
  <c r="J67"/>
  <c r="J59"/>
  <c r="J96" s="1"/>
  <c r="J56"/>
  <c r="J93" s="1"/>
  <c r="X66"/>
  <c r="X70"/>
  <c r="X61"/>
  <c r="X71"/>
  <c r="X56"/>
  <c r="X93" s="1"/>
  <c r="X63"/>
  <c r="X59"/>
  <c r="X64"/>
  <c r="X68"/>
  <c r="X65"/>
  <c r="X69"/>
  <c r="X67"/>
  <c r="X58"/>
  <c r="X62"/>
  <c r="X57"/>
  <c r="X60"/>
  <c r="F65"/>
  <c r="F71"/>
  <c r="F68"/>
  <c r="F56"/>
  <c r="F93" s="1"/>
  <c r="F66"/>
  <c r="F63"/>
  <c r="F64"/>
  <c r="F69"/>
  <c r="F59"/>
  <c r="F60"/>
  <c r="F70"/>
  <c r="F57"/>
  <c r="F94" s="1"/>
  <c r="F62"/>
  <c r="F67"/>
  <c r="F61"/>
  <c r="F58"/>
  <c r="N99" l="1"/>
  <c r="M100"/>
  <c r="Q100"/>
  <c r="N94"/>
  <c r="X94"/>
  <c r="K95"/>
  <c r="H95"/>
  <c r="V108"/>
  <c r="F104"/>
  <c r="S97"/>
  <c r="X104"/>
  <c r="K99"/>
  <c r="P103"/>
  <c r="U108"/>
  <c r="S105"/>
  <c r="P106"/>
  <c r="T108"/>
  <c r="K103"/>
  <c r="T101"/>
  <c r="G102"/>
  <c r="P101"/>
  <c r="W107"/>
  <c r="J107"/>
  <c r="E94"/>
  <c r="F106"/>
  <c r="G100"/>
  <c r="T105"/>
  <c r="I102"/>
  <c r="H94"/>
  <c r="X106"/>
  <c r="I95"/>
  <c r="I105"/>
  <c r="I107"/>
  <c r="W105"/>
  <c r="V95"/>
  <c r="O106"/>
  <c r="I101"/>
  <c r="W100"/>
  <c r="S104"/>
  <c r="S101"/>
  <c r="P94"/>
  <c r="L106"/>
  <c r="E106"/>
  <c r="J98"/>
  <c r="J101"/>
  <c r="M104"/>
  <c r="M99"/>
  <c r="R94"/>
  <c r="U106"/>
  <c r="N100"/>
  <c r="U99"/>
  <c r="U96"/>
  <c r="X99"/>
  <c r="R104"/>
  <c r="G95"/>
  <c r="G106"/>
  <c r="K106"/>
  <c r="T102"/>
  <c r="L97"/>
  <c r="L95"/>
  <c r="E98"/>
  <c r="H96"/>
  <c r="M96"/>
  <c r="M94"/>
  <c r="R106"/>
  <c r="Q108"/>
  <c r="U94"/>
  <c r="W108"/>
  <c r="W102"/>
  <c r="X108"/>
  <c r="J108"/>
  <c r="J95"/>
  <c r="K98"/>
  <c r="K96"/>
  <c r="L100"/>
  <c r="E100"/>
  <c r="E96"/>
  <c r="H102"/>
  <c r="Q95"/>
  <c r="V99"/>
  <c r="I108"/>
  <c r="W96"/>
  <c r="S98"/>
  <c r="O101"/>
  <c r="O97"/>
  <c r="F105"/>
  <c r="O105"/>
  <c r="X97"/>
  <c r="X102"/>
  <c r="X100"/>
  <c r="J103"/>
  <c r="M108"/>
  <c r="M105"/>
  <c r="M97"/>
  <c r="M102"/>
  <c r="R99"/>
  <c r="R105"/>
  <c r="R102"/>
  <c r="G107"/>
  <c r="G97"/>
  <c r="G104"/>
  <c r="P95"/>
  <c r="P105"/>
  <c r="T103"/>
  <c r="T94"/>
  <c r="T107"/>
  <c r="L102"/>
  <c r="L104"/>
  <c r="L107"/>
  <c r="E107"/>
  <c r="E104"/>
  <c r="H106"/>
  <c r="H97"/>
  <c r="H108"/>
  <c r="N108"/>
  <c r="N106"/>
  <c r="Q98"/>
  <c r="Q105"/>
  <c r="V104"/>
  <c r="I97"/>
  <c r="I103"/>
  <c r="W94"/>
  <c r="F95"/>
  <c r="F99"/>
  <c r="F97"/>
  <c r="F101"/>
  <c r="X95"/>
  <c r="X107"/>
  <c r="J100"/>
  <c r="J106"/>
  <c r="R97"/>
  <c r="K94"/>
  <c r="P102"/>
  <c r="P98"/>
  <c r="E102"/>
  <c r="N103"/>
  <c r="N97"/>
  <c r="N98"/>
  <c r="Q101"/>
  <c r="U103"/>
  <c r="V103"/>
  <c r="V101"/>
  <c r="W98"/>
  <c r="Q104"/>
  <c r="I100"/>
  <c r="W106"/>
  <c r="S100"/>
  <c r="Y69"/>
  <c r="Y63"/>
  <c r="Y67"/>
  <c r="Y70"/>
  <c r="Y61"/>
  <c r="Y66"/>
  <c r="Y68"/>
  <c r="Y71"/>
  <c r="Y57"/>
  <c r="Y58"/>
  <c r="Y56"/>
  <c r="Y93" s="1"/>
  <c r="Y60"/>
  <c r="Y62"/>
  <c r="Y59"/>
  <c r="Y65"/>
  <c r="Y64"/>
  <c r="X103"/>
  <c r="T95"/>
  <c r="U100"/>
  <c r="V96"/>
  <c r="S94"/>
  <c r="O107"/>
  <c r="F100"/>
  <c r="F102"/>
  <c r="X101"/>
  <c r="R107"/>
  <c r="K100"/>
  <c r="H103"/>
  <c r="H104"/>
  <c r="U97"/>
  <c r="V105"/>
  <c r="O102"/>
  <c r="O94"/>
  <c r="F103"/>
  <c r="J104"/>
  <c r="J94"/>
  <c r="J97"/>
  <c r="M106"/>
  <c r="M98"/>
  <c r="M103"/>
  <c r="R108"/>
  <c r="R95"/>
  <c r="K101"/>
  <c r="K97"/>
  <c r="P96"/>
  <c r="P99"/>
  <c r="T97"/>
  <c r="T98"/>
  <c r="L98"/>
  <c r="L99"/>
  <c r="L105"/>
  <c r="E99"/>
  <c r="E105"/>
  <c r="E95"/>
  <c r="H99"/>
  <c r="H101"/>
  <c r="N95"/>
  <c r="N101"/>
  <c r="N104"/>
  <c r="Q96"/>
  <c r="Q99"/>
  <c r="Q94"/>
  <c r="Q103"/>
  <c r="U104"/>
  <c r="U105"/>
  <c r="U107"/>
  <c r="U102"/>
  <c r="V102"/>
  <c r="V98"/>
  <c r="V100"/>
  <c r="I98"/>
  <c r="I99"/>
  <c r="W97"/>
  <c r="W95"/>
  <c r="S99"/>
  <c r="S95"/>
  <c r="S96"/>
  <c r="O96"/>
  <c r="O99"/>
  <c r="O100"/>
  <c r="O104"/>
  <c r="R100"/>
  <c r="G98"/>
  <c r="P107"/>
  <c r="T104"/>
  <c r="U101"/>
  <c r="R101"/>
  <c r="G96"/>
  <c r="G108"/>
  <c r="K107"/>
  <c r="T96"/>
  <c r="L108"/>
  <c r="E108"/>
  <c r="H98"/>
  <c r="Q106"/>
  <c r="V97"/>
  <c r="I96"/>
  <c r="S102"/>
  <c r="O108"/>
  <c r="F107"/>
  <c r="F98"/>
  <c r="F96"/>
  <c r="F108"/>
  <c r="X105"/>
  <c r="X96"/>
  <c r="X98"/>
  <c r="J99"/>
  <c r="J105"/>
  <c r="J102"/>
  <c r="M101"/>
  <c r="M95"/>
  <c r="M107"/>
  <c r="R103"/>
  <c r="R96"/>
  <c r="R98"/>
  <c r="G99"/>
  <c r="G105"/>
  <c r="G94"/>
  <c r="G103"/>
  <c r="G101"/>
  <c r="K104"/>
  <c r="K105"/>
  <c r="K102"/>
  <c r="P97"/>
  <c r="P104"/>
  <c r="P108"/>
  <c r="P100"/>
  <c r="T106"/>
  <c r="T99"/>
  <c r="T100"/>
  <c r="L94"/>
  <c r="L96"/>
  <c r="L103"/>
  <c r="L101"/>
  <c r="E97"/>
  <c r="E103"/>
  <c r="E101"/>
  <c r="H107"/>
  <c r="H105"/>
  <c r="H100"/>
  <c r="N107"/>
  <c r="N102"/>
  <c r="N105"/>
  <c r="N96"/>
  <c r="Q97"/>
  <c r="Q102"/>
  <c r="Q107"/>
  <c r="U95"/>
  <c r="U98"/>
  <c r="V106"/>
  <c r="V94"/>
  <c r="V107"/>
  <c r="I104"/>
  <c r="I106"/>
  <c r="I94"/>
  <c r="W103"/>
  <c r="W104"/>
  <c r="W101"/>
  <c r="W99"/>
  <c r="S103"/>
  <c r="S106"/>
  <c r="S108"/>
  <c r="O98"/>
  <c r="O95"/>
  <c r="O103"/>
  <c r="Y101" l="1"/>
  <c r="Y102"/>
  <c r="Y107"/>
  <c r="Y106"/>
  <c r="Y97"/>
  <c r="Y105"/>
  <c r="Y108"/>
  <c r="Y98"/>
  <c r="Y95"/>
  <c r="Y94"/>
  <c r="Y103"/>
  <c r="Y99"/>
  <c r="Y100"/>
  <c r="Y96"/>
  <c r="Y104"/>
  <c r="Y85" i="8" l="1"/>
  <c r="Y122" s="1"/>
  <c r="Y161" s="1"/>
  <c r="Y99"/>
  <c r="Y88"/>
  <c r="Y90"/>
  <c r="Y94"/>
  <c r="Y96"/>
  <c r="Y93"/>
  <c r="Y87"/>
  <c r="Y91"/>
  <c r="Y86"/>
  <c r="Y100"/>
  <c r="Y89"/>
  <c r="Y92"/>
  <c r="Y129" s="1"/>
  <c r="Y168" s="1"/>
  <c r="Y101"/>
  <c r="Y98"/>
  <c r="Y95"/>
  <c r="Y97"/>
  <c r="Y132" l="1"/>
  <c r="Y171" s="1"/>
  <c r="Y128"/>
  <c r="Y167" s="1"/>
  <c r="Y135"/>
  <c r="Y174" s="1"/>
  <c r="Y123"/>
  <c r="Y162" s="1"/>
  <c r="Y133"/>
  <c r="Y172" s="1"/>
  <c r="Y126"/>
  <c r="Y165" s="1"/>
  <c r="Y138"/>
  <c r="Y177" s="1"/>
  <c r="Y136"/>
  <c r="Y175" s="1"/>
  <c r="V85"/>
  <c r="V122" s="1"/>
  <c r="U85"/>
  <c r="U122" s="1"/>
  <c r="P85"/>
  <c r="P122" s="1"/>
  <c r="R85"/>
  <c r="R122" s="1"/>
  <c r="S86"/>
  <c r="S98"/>
  <c r="S94"/>
  <c r="S91"/>
  <c r="S99"/>
  <c r="S92"/>
  <c r="S87"/>
  <c r="S93"/>
  <c r="S90"/>
  <c r="S89"/>
  <c r="S88"/>
  <c r="S97"/>
  <c r="S95"/>
  <c r="S101"/>
  <c r="S96"/>
  <c r="S100"/>
  <c r="X101"/>
  <c r="X91"/>
  <c r="X90"/>
  <c r="X86"/>
  <c r="X100"/>
  <c r="X95"/>
  <c r="X99"/>
  <c r="X97"/>
  <c r="X96"/>
  <c r="X94"/>
  <c r="X88"/>
  <c r="X87"/>
  <c r="X124" s="1"/>
  <c r="X89"/>
  <c r="X93"/>
  <c r="X98"/>
  <c r="X92"/>
  <c r="U92"/>
  <c r="U100"/>
  <c r="U88"/>
  <c r="U90"/>
  <c r="U101"/>
  <c r="U94"/>
  <c r="U97"/>
  <c r="U93"/>
  <c r="U86"/>
  <c r="U99"/>
  <c r="U89"/>
  <c r="U126" s="1"/>
  <c r="U91"/>
  <c r="U128" s="1"/>
  <c r="U95"/>
  <c r="U98"/>
  <c r="U96"/>
  <c r="U87"/>
  <c r="G85"/>
  <c r="G122" s="1"/>
  <c r="P93"/>
  <c r="P92"/>
  <c r="P88"/>
  <c r="P94"/>
  <c r="P86"/>
  <c r="P99"/>
  <c r="P90"/>
  <c r="P89"/>
  <c r="P87"/>
  <c r="P124" s="1"/>
  <c r="P91"/>
  <c r="P101"/>
  <c r="P97"/>
  <c r="P96"/>
  <c r="P98"/>
  <c r="P100"/>
  <c r="P95"/>
  <c r="P132" s="1"/>
  <c r="E85"/>
  <c r="E122" s="1"/>
  <c r="E161" s="1"/>
  <c r="R92"/>
  <c r="R95"/>
  <c r="R96"/>
  <c r="R91"/>
  <c r="R88"/>
  <c r="R93"/>
  <c r="R90"/>
  <c r="R101"/>
  <c r="R94"/>
  <c r="R86"/>
  <c r="R98"/>
  <c r="R87"/>
  <c r="R97"/>
  <c r="R89"/>
  <c r="R99"/>
  <c r="R136" s="1"/>
  <c r="R100"/>
  <c r="M85"/>
  <c r="M122" s="1"/>
  <c r="Y137"/>
  <c r="Y176" s="1"/>
  <c r="Y130"/>
  <c r="Y169" s="1"/>
  <c r="Y125"/>
  <c r="Y164" s="1"/>
  <c r="K85"/>
  <c r="K122" s="1"/>
  <c r="V97"/>
  <c r="V89"/>
  <c r="V87"/>
  <c r="V91"/>
  <c r="V92"/>
  <c r="V95"/>
  <c r="V86"/>
  <c r="V93"/>
  <c r="V99"/>
  <c r="V90"/>
  <c r="V127" s="1"/>
  <c r="V101"/>
  <c r="V96"/>
  <c r="V100"/>
  <c r="V137" s="1"/>
  <c r="V98"/>
  <c r="V88"/>
  <c r="V125" s="1"/>
  <c r="V94"/>
  <c r="V131" s="1"/>
  <c r="K92"/>
  <c r="K89"/>
  <c r="K93"/>
  <c r="K99"/>
  <c r="K100"/>
  <c r="K91"/>
  <c r="K96"/>
  <c r="K95"/>
  <c r="K97"/>
  <c r="K90"/>
  <c r="K127" s="1"/>
  <c r="K94"/>
  <c r="K131" s="1"/>
  <c r="K87"/>
  <c r="K101"/>
  <c r="K138" s="1"/>
  <c r="K98"/>
  <c r="K86"/>
  <c r="K88"/>
  <c r="K125" s="1"/>
  <c r="J89"/>
  <c r="J87"/>
  <c r="J98"/>
  <c r="J93"/>
  <c r="J95"/>
  <c r="J96"/>
  <c r="J101"/>
  <c r="J90"/>
  <c r="J91"/>
  <c r="J92"/>
  <c r="J100"/>
  <c r="J88"/>
  <c r="J97"/>
  <c r="J99"/>
  <c r="J86"/>
  <c r="J94"/>
  <c r="J131" s="1"/>
  <c r="I85"/>
  <c r="I122" s="1"/>
  <c r="T85"/>
  <c r="T122" s="1"/>
  <c r="O85"/>
  <c r="O122" s="1"/>
  <c r="W85"/>
  <c r="W122" s="1"/>
  <c r="Q85"/>
  <c r="Q122" s="1"/>
  <c r="H85"/>
  <c r="H122" s="1"/>
  <c r="F85"/>
  <c r="F122" s="1"/>
  <c r="L85"/>
  <c r="L122" s="1"/>
  <c r="N85"/>
  <c r="N122" s="1"/>
  <c r="Y124"/>
  <c r="Y163" s="1"/>
  <c r="Y127"/>
  <c r="Y166" s="1"/>
  <c r="S85"/>
  <c r="S122" s="1"/>
  <c r="X85"/>
  <c r="X122" s="1"/>
  <c r="G93"/>
  <c r="G88"/>
  <c r="G92"/>
  <c r="G97"/>
  <c r="G86"/>
  <c r="G94"/>
  <c r="G95"/>
  <c r="G100"/>
  <c r="G101"/>
  <c r="G90"/>
  <c r="G87"/>
  <c r="G96"/>
  <c r="G91"/>
  <c r="G89"/>
  <c r="G126" s="1"/>
  <c r="G98"/>
  <c r="G99"/>
  <c r="E101"/>
  <c r="E97"/>
  <c r="E87"/>
  <c r="E100"/>
  <c r="E88"/>
  <c r="E93"/>
  <c r="E89"/>
  <c r="E99"/>
  <c r="E95"/>
  <c r="E90"/>
  <c r="E91"/>
  <c r="E96"/>
  <c r="E98"/>
  <c r="E92"/>
  <c r="E94"/>
  <c r="E86"/>
  <c r="M86"/>
  <c r="M91"/>
  <c r="M93"/>
  <c r="M90"/>
  <c r="M96"/>
  <c r="M89"/>
  <c r="M88"/>
  <c r="M92"/>
  <c r="M100"/>
  <c r="M95"/>
  <c r="M99"/>
  <c r="M101"/>
  <c r="M97"/>
  <c r="M87"/>
  <c r="M94"/>
  <c r="M131" s="1"/>
  <c r="M98"/>
  <c r="J85"/>
  <c r="J122" s="1"/>
  <c r="I92"/>
  <c r="I91"/>
  <c r="I94"/>
  <c r="I95"/>
  <c r="I101"/>
  <c r="I97"/>
  <c r="I90"/>
  <c r="I100"/>
  <c r="I87"/>
  <c r="I89"/>
  <c r="I88"/>
  <c r="I98"/>
  <c r="I86"/>
  <c r="I93"/>
  <c r="I99"/>
  <c r="I96"/>
  <c r="I133" s="1"/>
  <c r="T98"/>
  <c r="T91"/>
  <c r="T88"/>
  <c r="T96"/>
  <c r="T99"/>
  <c r="T136" s="1"/>
  <c r="T97"/>
  <c r="T92"/>
  <c r="T100"/>
  <c r="T90"/>
  <c r="T101"/>
  <c r="T86"/>
  <c r="T89"/>
  <c r="T94"/>
  <c r="T87"/>
  <c r="T93"/>
  <c r="T130" s="1"/>
  <c r="T95"/>
  <c r="O97"/>
  <c r="O86"/>
  <c r="O100"/>
  <c r="O96"/>
  <c r="O95"/>
  <c r="O93"/>
  <c r="O89"/>
  <c r="O101"/>
  <c r="O87"/>
  <c r="O98"/>
  <c r="O92"/>
  <c r="O90"/>
  <c r="O99"/>
  <c r="O88"/>
  <c r="O94"/>
  <c r="O91"/>
  <c r="O128" s="1"/>
  <c r="W94"/>
  <c r="W96"/>
  <c r="W87"/>
  <c r="W88"/>
  <c r="W89"/>
  <c r="W98"/>
  <c r="W95"/>
  <c r="W92"/>
  <c r="W100"/>
  <c r="W97"/>
  <c r="W134" s="1"/>
  <c r="W101"/>
  <c r="W93"/>
  <c r="W99"/>
  <c r="W86"/>
  <c r="W123" s="1"/>
  <c r="W90"/>
  <c r="W91"/>
  <c r="Q92"/>
  <c r="Q86"/>
  <c r="Q96"/>
  <c r="Q87"/>
  <c r="Q97"/>
  <c r="Q90"/>
  <c r="Q93"/>
  <c r="Q100"/>
  <c r="Q94"/>
  <c r="Q101"/>
  <c r="Q88"/>
  <c r="Q89"/>
  <c r="Q99"/>
  <c r="Q98"/>
  <c r="Q91"/>
  <c r="Q95"/>
  <c r="H101"/>
  <c r="H96"/>
  <c r="H94"/>
  <c r="H93"/>
  <c r="H88"/>
  <c r="H97"/>
  <c r="H89"/>
  <c r="H100"/>
  <c r="H91"/>
  <c r="H98"/>
  <c r="H92"/>
  <c r="H90"/>
  <c r="H99"/>
  <c r="H86"/>
  <c r="H95"/>
  <c r="H132" s="1"/>
  <c r="H87"/>
  <c r="F86"/>
  <c r="F123" s="1"/>
  <c r="F96"/>
  <c r="F91"/>
  <c r="F89"/>
  <c r="F98"/>
  <c r="F90"/>
  <c r="F87"/>
  <c r="F94"/>
  <c r="F100"/>
  <c r="F97"/>
  <c r="F95"/>
  <c r="F92"/>
  <c r="F99"/>
  <c r="F136" s="1"/>
  <c r="F101"/>
  <c r="F93"/>
  <c r="F88"/>
  <c r="L98"/>
  <c r="L86"/>
  <c r="L123" s="1"/>
  <c r="L92"/>
  <c r="L91"/>
  <c r="L93"/>
  <c r="L99"/>
  <c r="L89"/>
  <c r="L95"/>
  <c r="L100"/>
  <c r="L88"/>
  <c r="L97"/>
  <c r="L101"/>
  <c r="L96"/>
  <c r="L94"/>
  <c r="L87"/>
  <c r="L90"/>
  <c r="N98"/>
  <c r="N99"/>
  <c r="N91"/>
  <c r="N100"/>
  <c r="N86"/>
  <c r="N94"/>
  <c r="N90"/>
  <c r="N92"/>
  <c r="N95"/>
  <c r="N96"/>
  <c r="N101"/>
  <c r="N88"/>
  <c r="N87"/>
  <c r="N124" s="1"/>
  <c r="N89"/>
  <c r="N97"/>
  <c r="N93"/>
  <c r="Y134"/>
  <c r="Y173" s="1"/>
  <c r="Y131"/>
  <c r="Y170" s="1"/>
  <c r="U123" l="1"/>
  <c r="W130"/>
  <c r="G123"/>
  <c r="H135"/>
  <c r="N123"/>
  <c r="S129"/>
  <c r="Q123"/>
  <c r="M134"/>
  <c r="J134"/>
  <c r="P128"/>
  <c r="U132"/>
  <c r="U138"/>
  <c r="S131"/>
  <c r="L129"/>
  <c r="H136"/>
  <c r="I126"/>
  <c r="E129"/>
  <c r="E168" s="1"/>
  <c r="E127"/>
  <c r="E166" s="1"/>
  <c r="G135"/>
  <c r="X128"/>
  <c r="N130"/>
  <c r="F134"/>
  <c r="N133"/>
  <c r="F129"/>
  <c r="H138"/>
  <c r="W124"/>
  <c r="O138"/>
  <c r="I130"/>
  <c r="M123"/>
  <c r="G132"/>
  <c r="J132"/>
  <c r="J126"/>
  <c r="R133"/>
  <c r="U129"/>
  <c r="S127"/>
  <c r="S136"/>
  <c r="N136"/>
  <c r="L124"/>
  <c r="L126"/>
  <c r="F125"/>
  <c r="F131"/>
  <c r="H128"/>
  <c r="H125"/>
  <c r="Q135"/>
  <c r="O127"/>
  <c r="T127"/>
  <c r="J128"/>
  <c r="K135"/>
  <c r="R127"/>
  <c r="H123"/>
  <c r="N135"/>
  <c r="L131"/>
  <c r="L136"/>
  <c r="F124"/>
  <c r="F128"/>
  <c r="H124"/>
  <c r="H127"/>
  <c r="H130"/>
  <c r="Q131"/>
  <c r="Q134"/>
  <c r="Q129"/>
  <c r="O131"/>
  <c r="O126"/>
  <c r="O137"/>
  <c r="T126"/>
  <c r="I123"/>
  <c r="I138"/>
  <c r="M129"/>
  <c r="M127"/>
  <c r="E132"/>
  <c r="E171" s="1"/>
  <c r="E125"/>
  <c r="E164" s="1"/>
  <c r="E138"/>
  <c r="E177" s="1"/>
  <c r="G131"/>
  <c r="J125"/>
  <c r="J130"/>
  <c r="K134"/>
  <c r="K137"/>
  <c r="V135"/>
  <c r="V132"/>
  <c r="R126"/>
  <c r="R130"/>
  <c r="R132"/>
  <c r="P133"/>
  <c r="P123"/>
  <c r="U127"/>
  <c r="X126"/>
  <c r="X137"/>
  <c r="N126"/>
  <c r="N131"/>
  <c r="L134"/>
  <c r="Q138"/>
  <c r="Q127"/>
  <c r="W127"/>
  <c r="W138"/>
  <c r="W132"/>
  <c r="O133"/>
  <c r="T131"/>
  <c r="T135"/>
  <c r="I134"/>
  <c r="I128"/>
  <c r="M133"/>
  <c r="E134"/>
  <c r="E173" s="1"/>
  <c r="G124"/>
  <c r="G129"/>
  <c r="K126"/>
  <c r="V138"/>
  <c r="V123"/>
  <c r="R135"/>
  <c r="F161"/>
  <c r="G161" s="1"/>
  <c r="H161" s="1"/>
  <c r="I161" s="1"/>
  <c r="J161" s="1"/>
  <c r="K161" s="1"/>
  <c r="L161" s="1"/>
  <c r="M161" s="1"/>
  <c r="N161" s="1"/>
  <c r="O161" s="1"/>
  <c r="P161" s="1"/>
  <c r="Q161" s="1"/>
  <c r="R161" s="1"/>
  <c r="S161" s="1"/>
  <c r="T161" s="1"/>
  <c r="U161" s="1"/>
  <c r="V161" s="1"/>
  <c r="W161" s="1"/>
  <c r="X161" s="1"/>
  <c r="P135"/>
  <c r="X130"/>
  <c r="X131"/>
  <c r="S133"/>
  <c r="S124"/>
  <c r="N138"/>
  <c r="L138"/>
  <c r="F135"/>
  <c r="H133"/>
  <c r="Q125"/>
  <c r="Q133"/>
  <c r="O136"/>
  <c r="O124"/>
  <c r="T124"/>
  <c r="I136"/>
  <c r="M132"/>
  <c r="M126"/>
  <c r="E124"/>
  <c r="E163" s="1"/>
  <c r="J136"/>
  <c r="J124"/>
  <c r="K133"/>
  <c r="V130"/>
  <c r="P127"/>
  <c r="U135"/>
  <c r="X135"/>
  <c r="X125"/>
  <c r="S137"/>
  <c r="N127"/>
  <c r="L127"/>
  <c r="L128"/>
  <c r="Q130"/>
  <c r="W125"/>
  <c r="O134"/>
  <c r="T138"/>
  <c r="T134"/>
  <c r="T128"/>
  <c r="I125"/>
  <c r="I127"/>
  <c r="I131"/>
  <c r="M124"/>
  <c r="M128"/>
  <c r="E131"/>
  <c r="E170" s="1"/>
  <c r="E128"/>
  <c r="E167" s="1"/>
  <c r="E126"/>
  <c r="E165" s="1"/>
  <c r="G136"/>
  <c r="G133"/>
  <c r="G137"/>
  <c r="G134"/>
  <c r="J129"/>
  <c r="J133"/>
  <c r="K123"/>
  <c r="K130"/>
  <c r="V133"/>
  <c r="V128"/>
  <c r="R137"/>
  <c r="R124"/>
  <c r="R138"/>
  <c r="R128"/>
  <c r="P137"/>
  <c r="P138"/>
  <c r="P125"/>
  <c r="U136"/>
  <c r="U131"/>
  <c r="U137"/>
  <c r="X136"/>
  <c r="X127"/>
  <c r="S134"/>
  <c r="S130"/>
  <c r="S128"/>
  <c r="M137"/>
  <c r="M136"/>
  <c r="F126"/>
  <c r="E130"/>
  <c r="E169" s="1"/>
  <c r="K128"/>
  <c r="V124"/>
  <c r="P136"/>
  <c r="P129"/>
  <c r="X132"/>
  <c r="S125"/>
  <c r="N134"/>
  <c r="N128"/>
  <c r="L132"/>
  <c r="F137"/>
  <c r="H134"/>
  <c r="Q128"/>
  <c r="W128"/>
  <c r="W129"/>
  <c r="O132"/>
  <c r="N125"/>
  <c r="N129"/>
  <c r="N137"/>
  <c r="L133"/>
  <c r="L137"/>
  <c r="L130"/>
  <c r="L135"/>
  <c r="F138"/>
  <c r="F127"/>
  <c r="F166" s="1"/>
  <c r="F133"/>
  <c r="H129"/>
  <c r="H126"/>
  <c r="H131"/>
  <c r="Q132"/>
  <c r="Q126"/>
  <c r="Q137"/>
  <c r="Q124"/>
  <c r="W136"/>
  <c r="W137"/>
  <c r="W126"/>
  <c r="W131"/>
  <c r="O125"/>
  <c r="O135"/>
  <c r="O130"/>
  <c r="O123"/>
  <c r="T123"/>
  <c r="T129"/>
  <c r="T125"/>
  <c r="I135"/>
  <c r="I137"/>
  <c r="I132"/>
  <c r="M125"/>
  <c r="M130"/>
  <c r="E123"/>
  <c r="E162" s="1"/>
  <c r="F162" s="1"/>
  <c r="E133"/>
  <c r="E172" s="1"/>
  <c r="E136"/>
  <c r="E175" s="1"/>
  <c r="F175" s="1"/>
  <c r="E137"/>
  <c r="E176" s="1"/>
  <c r="G128"/>
  <c r="G138"/>
  <c r="G130"/>
  <c r="J123"/>
  <c r="J137"/>
  <c r="J138"/>
  <c r="J135"/>
  <c r="K124"/>
  <c r="K132"/>
  <c r="K136"/>
  <c r="V136"/>
  <c r="V129"/>
  <c r="V134"/>
  <c r="R134"/>
  <c r="R131"/>
  <c r="R125"/>
  <c r="R129"/>
  <c r="P134"/>
  <c r="P126"/>
  <c r="P131"/>
  <c r="U133"/>
  <c r="U134"/>
  <c r="U125"/>
  <c r="X129"/>
  <c r="X134"/>
  <c r="X123"/>
  <c r="S132"/>
  <c r="S123"/>
  <c r="N132"/>
  <c r="L125"/>
  <c r="F130"/>
  <c r="F132"/>
  <c r="H137"/>
  <c r="Q136"/>
  <c r="W135"/>
  <c r="W133"/>
  <c r="O129"/>
  <c r="T132"/>
  <c r="T137"/>
  <c r="T133"/>
  <c r="I124"/>
  <c r="I129"/>
  <c r="M135"/>
  <c r="M138"/>
  <c r="E135"/>
  <c r="E174" s="1"/>
  <c r="G127"/>
  <c r="G125"/>
  <c r="J127"/>
  <c r="K129"/>
  <c r="V126"/>
  <c r="R123"/>
  <c r="P130"/>
  <c r="U124"/>
  <c r="U130"/>
  <c r="X133"/>
  <c r="X138"/>
  <c r="S138"/>
  <c r="S126"/>
  <c r="S135"/>
  <c r="F168" l="1"/>
  <c r="G168" s="1"/>
  <c r="H168" s="1"/>
  <c r="I168" s="1"/>
  <c r="J168" s="1"/>
  <c r="K168" s="1"/>
  <c r="L168" s="1"/>
  <c r="M168" s="1"/>
  <c r="N168" s="1"/>
  <c r="O168" s="1"/>
  <c r="P168" s="1"/>
  <c r="Q168" s="1"/>
  <c r="R168" s="1"/>
  <c r="S168" s="1"/>
  <c r="T168" s="1"/>
  <c r="U168" s="1"/>
  <c r="V168" s="1"/>
  <c r="W168" s="1"/>
  <c r="X168" s="1"/>
  <c r="G162"/>
  <c r="H162" s="1"/>
  <c r="I162" s="1"/>
  <c r="J162" s="1"/>
  <c r="K162" s="1"/>
  <c r="L162" s="1"/>
  <c r="M162" s="1"/>
  <c r="N162" s="1"/>
  <c r="O162" s="1"/>
  <c r="P162" s="1"/>
  <c r="Q162" s="1"/>
  <c r="R162" s="1"/>
  <c r="S162" s="1"/>
  <c r="T162" s="1"/>
  <c r="U162" s="1"/>
  <c r="V162" s="1"/>
  <c r="W162" s="1"/>
  <c r="X162" s="1"/>
  <c r="F171"/>
  <c r="G171" s="1"/>
  <c r="H171" s="1"/>
  <c r="I171" s="1"/>
  <c r="J171" s="1"/>
  <c r="K171" s="1"/>
  <c r="L171" s="1"/>
  <c r="M171" s="1"/>
  <c r="N171" s="1"/>
  <c r="O171" s="1"/>
  <c r="P171" s="1"/>
  <c r="Q171" s="1"/>
  <c r="R171" s="1"/>
  <c r="S171" s="1"/>
  <c r="T171" s="1"/>
  <c r="U171" s="1"/>
  <c r="V171" s="1"/>
  <c r="W171" s="1"/>
  <c r="X171" s="1"/>
  <c r="F163"/>
  <c r="G163" s="1"/>
  <c r="H163" s="1"/>
  <c r="I163" s="1"/>
  <c r="J163" s="1"/>
  <c r="K163" s="1"/>
  <c r="L163" s="1"/>
  <c r="M163" s="1"/>
  <c r="N163" s="1"/>
  <c r="O163" s="1"/>
  <c r="P163" s="1"/>
  <c r="Q163" s="1"/>
  <c r="R163" s="1"/>
  <c r="S163" s="1"/>
  <c r="T163" s="1"/>
  <c r="U163" s="1"/>
  <c r="V163" s="1"/>
  <c r="W163" s="1"/>
  <c r="X163" s="1"/>
  <c r="F173"/>
  <c r="G173" s="1"/>
  <c r="H173" s="1"/>
  <c r="I173" s="1"/>
  <c r="J173" s="1"/>
  <c r="K173" s="1"/>
  <c r="L173" s="1"/>
  <c r="M173" s="1"/>
  <c r="N173" s="1"/>
  <c r="O173" s="1"/>
  <c r="P173" s="1"/>
  <c r="Q173" s="1"/>
  <c r="R173" s="1"/>
  <c r="S173" s="1"/>
  <c r="T173" s="1"/>
  <c r="U173" s="1"/>
  <c r="V173" s="1"/>
  <c r="W173" s="1"/>
  <c r="X173" s="1"/>
  <c r="F170"/>
  <c r="G170" s="1"/>
  <c r="H170" s="1"/>
  <c r="I170" s="1"/>
  <c r="J170" s="1"/>
  <c r="K170" s="1"/>
  <c r="L170" s="1"/>
  <c r="M170" s="1"/>
  <c r="N170" s="1"/>
  <c r="O170" s="1"/>
  <c r="P170" s="1"/>
  <c r="Q170" s="1"/>
  <c r="R170" s="1"/>
  <c r="S170" s="1"/>
  <c r="T170" s="1"/>
  <c r="U170" s="1"/>
  <c r="V170" s="1"/>
  <c r="W170" s="1"/>
  <c r="X170" s="1"/>
  <c r="F177"/>
  <c r="G177" s="1"/>
  <c r="H177" s="1"/>
  <c r="I177" s="1"/>
  <c r="J177" s="1"/>
  <c r="K177" s="1"/>
  <c r="L177" s="1"/>
  <c r="M177" s="1"/>
  <c r="N177" s="1"/>
  <c r="O177" s="1"/>
  <c r="P177" s="1"/>
  <c r="Q177" s="1"/>
  <c r="R177" s="1"/>
  <c r="S177" s="1"/>
  <c r="T177" s="1"/>
  <c r="U177" s="1"/>
  <c r="V177" s="1"/>
  <c r="W177" s="1"/>
  <c r="X177" s="1"/>
  <c r="F164"/>
  <c r="G164" s="1"/>
  <c r="H164" s="1"/>
  <c r="I164" s="1"/>
  <c r="J164" s="1"/>
  <c r="K164" s="1"/>
  <c r="L164" s="1"/>
  <c r="M164" s="1"/>
  <c r="N164" s="1"/>
  <c r="O164" s="1"/>
  <c r="P164" s="1"/>
  <c r="Q164" s="1"/>
  <c r="R164" s="1"/>
  <c r="S164" s="1"/>
  <c r="T164" s="1"/>
  <c r="U164" s="1"/>
  <c r="V164" s="1"/>
  <c r="W164" s="1"/>
  <c r="X164" s="1"/>
  <c r="F167"/>
  <c r="G167" s="1"/>
  <c r="H167" s="1"/>
  <c r="I167" s="1"/>
  <c r="J167" s="1"/>
  <c r="K167" s="1"/>
  <c r="L167" s="1"/>
  <c r="M167" s="1"/>
  <c r="N167" s="1"/>
  <c r="O167" s="1"/>
  <c r="P167" s="1"/>
  <c r="Q167" s="1"/>
  <c r="R167" s="1"/>
  <c r="S167" s="1"/>
  <c r="T167" s="1"/>
  <c r="U167" s="1"/>
  <c r="V167" s="1"/>
  <c r="W167" s="1"/>
  <c r="X167" s="1"/>
  <c r="F174"/>
  <c r="G174" s="1"/>
  <c r="H174" s="1"/>
  <c r="I174" s="1"/>
  <c r="J174" s="1"/>
  <c r="K174" s="1"/>
  <c r="L174" s="1"/>
  <c r="M174" s="1"/>
  <c r="N174" s="1"/>
  <c r="O174" s="1"/>
  <c r="P174" s="1"/>
  <c r="Q174" s="1"/>
  <c r="R174" s="1"/>
  <c r="S174" s="1"/>
  <c r="T174" s="1"/>
  <c r="U174" s="1"/>
  <c r="V174" s="1"/>
  <c r="W174" s="1"/>
  <c r="X174" s="1"/>
  <c r="F169"/>
  <c r="G169" s="1"/>
  <c r="H169" s="1"/>
  <c r="I169" s="1"/>
  <c r="J169" s="1"/>
  <c r="K169" s="1"/>
  <c r="L169" s="1"/>
  <c r="M169" s="1"/>
  <c r="N169" s="1"/>
  <c r="O169" s="1"/>
  <c r="P169" s="1"/>
  <c r="Q169" s="1"/>
  <c r="R169" s="1"/>
  <c r="S169" s="1"/>
  <c r="T169" s="1"/>
  <c r="U169" s="1"/>
  <c r="V169" s="1"/>
  <c r="W169" s="1"/>
  <c r="X169" s="1"/>
  <c r="F165"/>
  <c r="G165" s="1"/>
  <c r="H165" s="1"/>
  <c r="I165" s="1"/>
  <c r="J165" s="1"/>
  <c r="K165" s="1"/>
  <c r="L165" s="1"/>
  <c r="M165" s="1"/>
  <c r="N165" s="1"/>
  <c r="O165" s="1"/>
  <c r="P165" s="1"/>
  <c r="Q165" s="1"/>
  <c r="R165" s="1"/>
  <c r="S165" s="1"/>
  <c r="T165" s="1"/>
  <c r="U165" s="1"/>
  <c r="V165" s="1"/>
  <c r="W165" s="1"/>
  <c r="X165" s="1"/>
  <c r="F172"/>
  <c r="G172" s="1"/>
  <c r="H172" s="1"/>
  <c r="I172" s="1"/>
  <c r="J172" s="1"/>
  <c r="K172" s="1"/>
  <c r="L172" s="1"/>
  <c r="M172" s="1"/>
  <c r="N172" s="1"/>
  <c r="O172" s="1"/>
  <c r="P172" s="1"/>
  <c r="Q172" s="1"/>
  <c r="R172" s="1"/>
  <c r="S172" s="1"/>
  <c r="T172" s="1"/>
  <c r="U172" s="1"/>
  <c r="V172" s="1"/>
  <c r="W172" s="1"/>
  <c r="X172" s="1"/>
  <c r="G175"/>
  <c r="H175" s="1"/>
  <c r="I175" s="1"/>
  <c r="J175" s="1"/>
  <c r="K175" s="1"/>
  <c r="L175" s="1"/>
  <c r="M175" s="1"/>
  <c r="N175" s="1"/>
  <c r="O175" s="1"/>
  <c r="P175" s="1"/>
  <c r="Q175" s="1"/>
  <c r="R175" s="1"/>
  <c r="S175" s="1"/>
  <c r="T175" s="1"/>
  <c r="U175" s="1"/>
  <c r="V175" s="1"/>
  <c r="W175" s="1"/>
  <c r="X175" s="1"/>
  <c r="G166"/>
  <c r="H166" s="1"/>
  <c r="I166" s="1"/>
  <c r="J166" s="1"/>
  <c r="K166" s="1"/>
  <c r="L166" s="1"/>
  <c r="M166" s="1"/>
  <c r="N166" s="1"/>
  <c r="O166" s="1"/>
  <c r="P166" s="1"/>
  <c r="Q166" s="1"/>
  <c r="R166" s="1"/>
  <c r="S166" s="1"/>
  <c r="T166" s="1"/>
  <c r="U166" s="1"/>
  <c r="V166" s="1"/>
  <c r="W166" s="1"/>
  <c r="X166" s="1"/>
  <c r="F176"/>
  <c r="G176" s="1"/>
  <c r="H176" s="1"/>
  <c r="I176" s="1"/>
  <c r="J176" s="1"/>
  <c r="K176" s="1"/>
  <c r="L176" s="1"/>
  <c r="M176" s="1"/>
  <c r="N176" s="1"/>
  <c r="O176" s="1"/>
  <c r="P176" s="1"/>
  <c r="Q176" s="1"/>
  <c r="R176" s="1"/>
  <c r="S176" s="1"/>
  <c r="T176" s="1"/>
  <c r="U176" s="1"/>
  <c r="V176" s="1"/>
  <c r="W176" s="1"/>
  <c r="X176" s="1"/>
  <c r="B43" l="1"/>
  <c r="A43" l="1"/>
  <c r="A23" i="9" l="1"/>
  <c r="A51" i="8"/>
  <c r="P51" l="1"/>
  <c r="P56" s="1"/>
  <c r="I51"/>
  <c r="I56" s="1"/>
  <c r="G51"/>
  <c r="G56" s="1"/>
  <c r="H51"/>
  <c r="H56" s="1"/>
  <c r="J51"/>
  <c r="J56" s="1"/>
  <c r="L51"/>
  <c r="L56" s="1"/>
  <c r="K51"/>
  <c r="K56" s="1"/>
  <c r="M51"/>
  <c r="M56" s="1"/>
  <c r="F51"/>
  <c r="F56" s="1"/>
  <c r="E51"/>
  <c r="E56" s="1"/>
  <c r="N51"/>
  <c r="N56" s="1"/>
  <c r="R51"/>
  <c r="R56" s="1"/>
  <c r="O51"/>
  <c r="O56" s="1"/>
  <c r="Q51"/>
  <c r="Q56" s="1"/>
  <c r="S51"/>
  <c r="S56" s="1"/>
  <c r="I14" i="9" l="1"/>
  <c r="P16"/>
  <c r="L13"/>
  <c r="R16"/>
  <c r="J16"/>
  <c r="K16"/>
  <c r="G16"/>
  <c r="O13"/>
  <c r="E14"/>
  <c r="T13"/>
  <c r="N16"/>
  <c r="L16"/>
  <c r="W13"/>
  <c r="J13"/>
  <c r="X13"/>
  <c r="I16"/>
  <c r="K13"/>
  <c r="G13"/>
  <c r="R13"/>
  <c r="X16"/>
  <c r="F16"/>
  <c r="O16"/>
  <c r="E16"/>
  <c r="Q16"/>
  <c r="M13"/>
  <c r="X14"/>
  <c r="V14"/>
  <c r="U14"/>
  <c r="M16"/>
  <c r="V13"/>
  <c r="F13"/>
  <c r="W16"/>
  <c r="U13"/>
  <c r="V16"/>
  <c r="H16"/>
  <c r="F14"/>
  <c r="H13"/>
  <c r="R15"/>
  <c r="V15"/>
  <c r="Q14"/>
  <c r="J15"/>
  <c r="J14"/>
  <c r="I15"/>
  <c r="L15"/>
  <c r="Q15"/>
  <c r="P13"/>
  <c r="T16"/>
  <c r="N13"/>
  <c r="T15"/>
  <c r="P14"/>
  <c r="O15"/>
  <c r="O14"/>
  <c r="L14"/>
  <c r="S14"/>
  <c r="T14"/>
  <c r="H15"/>
  <c r="U16"/>
  <c r="S16"/>
  <c r="N14"/>
  <c r="Q13"/>
  <c r="W14"/>
  <c r="S13"/>
  <c r="G14"/>
  <c r="W15"/>
  <c r="I13"/>
  <c r="U15"/>
  <c r="M15"/>
  <c r="M14"/>
  <c r="H14"/>
  <c r="P15"/>
  <c r="E15"/>
  <c r="K14"/>
  <c r="K15"/>
  <c r="R14"/>
  <c r="F15"/>
  <c r="S15"/>
  <c r="N15"/>
  <c r="X15"/>
  <c r="G15"/>
  <c r="E13"/>
  <c r="O14" i="8"/>
  <c r="G15"/>
  <c r="X16"/>
  <c r="H15"/>
  <c r="S16"/>
  <c r="X14"/>
  <c r="R16"/>
  <c r="L16"/>
  <c r="V14"/>
  <c r="F15"/>
  <c r="Q15"/>
  <c r="X15"/>
  <c r="N15"/>
  <c r="W16"/>
  <c r="M13"/>
  <c r="N14"/>
  <c r="R13"/>
  <c r="T16"/>
  <c r="U15"/>
  <c r="M15"/>
  <c r="I15"/>
  <c r="P14"/>
  <c r="N13"/>
  <c r="I16"/>
  <c r="R14"/>
  <c r="E15"/>
  <c r="G13"/>
  <c r="F14"/>
  <c r="U13"/>
  <c r="H16"/>
  <c r="P13"/>
  <c r="V13"/>
  <c r="Q16"/>
  <c r="V16"/>
  <c r="O15"/>
  <c r="H14"/>
  <c r="K16"/>
  <c r="E14"/>
  <c r="H13"/>
  <c r="J16"/>
  <c r="M16"/>
  <c r="L15"/>
  <c r="V15"/>
  <c r="M14"/>
  <c r="T14"/>
  <c r="X13"/>
  <c r="L14"/>
  <c r="U16"/>
  <c r="S15"/>
  <c r="P16"/>
  <c r="U14"/>
  <c r="K15"/>
  <c r="J15"/>
  <c r="G16"/>
  <c r="Q13"/>
  <c r="S13"/>
  <c r="G14"/>
  <c r="O16"/>
  <c r="I13"/>
  <c r="R15"/>
  <c r="Q14"/>
  <c r="F16"/>
  <c r="J13"/>
  <c r="T15"/>
  <c r="E16"/>
  <c r="F13"/>
  <c r="S14"/>
  <c r="J14"/>
  <c r="N16"/>
  <c r="K14"/>
  <c r="W15"/>
  <c r="K13"/>
  <c r="P15"/>
  <c r="W14"/>
  <c r="I14"/>
  <c r="O13"/>
  <c r="L13"/>
  <c r="T13"/>
  <c r="W13"/>
  <c r="E13"/>
  <c r="N25" i="9" l="1"/>
  <c r="N35" s="1"/>
  <c r="N139" s="1"/>
  <c r="H24"/>
  <c r="H34" s="1"/>
  <c r="H138"/>
  <c r="W24" i="8" s="1"/>
  <c r="W52" s="1"/>
  <c r="W24" i="9"/>
  <c r="W34" s="1"/>
  <c r="W138" s="1"/>
  <c r="L24"/>
  <c r="L34" s="1"/>
  <c r="L138"/>
  <c r="Q25"/>
  <c r="Q35" s="1"/>
  <c r="Q139" s="1"/>
  <c r="H18"/>
  <c r="H23"/>
  <c r="M26"/>
  <c r="M36" s="1"/>
  <c r="M140" s="1"/>
  <c r="F26"/>
  <c r="F36" s="1"/>
  <c r="F140"/>
  <c r="U26" i="8" s="1"/>
  <c r="U54" s="1"/>
  <c r="W18" i="9"/>
  <c r="W23"/>
  <c r="J26"/>
  <c r="J36" s="1"/>
  <c r="J140" s="1"/>
  <c r="X25"/>
  <c r="P25"/>
  <c r="P35" s="1"/>
  <c r="P139" s="1"/>
  <c r="S18"/>
  <c r="S23"/>
  <c r="S24"/>
  <c r="S34" s="1"/>
  <c r="S138" s="1"/>
  <c r="P18"/>
  <c r="P23"/>
  <c r="R25"/>
  <c r="R35" s="1"/>
  <c r="R139"/>
  <c r="V26"/>
  <c r="V36" s="1"/>
  <c r="V140" s="1"/>
  <c r="X24"/>
  <c r="O26"/>
  <c r="O36" s="1"/>
  <c r="O140" s="1"/>
  <c r="G18"/>
  <c r="G23"/>
  <c r="J18"/>
  <c r="J23"/>
  <c r="T18"/>
  <c r="T23"/>
  <c r="K26"/>
  <c r="K36" s="1"/>
  <c r="K140"/>
  <c r="P26"/>
  <c r="P36" s="1"/>
  <c r="P140" s="1"/>
  <c r="G25"/>
  <c r="G35" s="1"/>
  <c r="G139"/>
  <c r="V25" i="8" s="1"/>
  <c r="V53" s="1"/>
  <c r="F25" i="9"/>
  <c r="F35" s="1"/>
  <c r="F139" s="1"/>
  <c r="U25" i="8" s="1"/>
  <c r="AA15" i="9"/>
  <c r="E25"/>
  <c r="E35" s="1"/>
  <c r="E139" s="1"/>
  <c r="T25" i="8" s="1"/>
  <c r="M25" i="9"/>
  <c r="M35" s="1"/>
  <c r="M139"/>
  <c r="G24"/>
  <c r="G34" s="1"/>
  <c r="G138" s="1"/>
  <c r="V24" i="8" s="1"/>
  <c r="N24" i="9"/>
  <c r="N34" s="1"/>
  <c r="N138"/>
  <c r="T24"/>
  <c r="T34" s="1"/>
  <c r="T138" s="1"/>
  <c r="O25"/>
  <c r="O35" s="1"/>
  <c r="O139"/>
  <c r="T26"/>
  <c r="T36" s="1"/>
  <c r="T140" s="1"/>
  <c r="I25"/>
  <c r="I35" s="1"/>
  <c r="I139"/>
  <c r="X25" i="8" s="1"/>
  <c r="X53" s="1"/>
  <c r="V25" i="9"/>
  <c r="V35" s="1"/>
  <c r="V139" s="1"/>
  <c r="H26"/>
  <c r="H36" s="1"/>
  <c r="H140"/>
  <c r="W26" i="8" s="1"/>
  <c r="W54" s="1"/>
  <c r="F18" i="9"/>
  <c r="F23"/>
  <c r="V24"/>
  <c r="V34" s="1"/>
  <c r="V138"/>
  <c r="AA16"/>
  <c r="E26"/>
  <c r="E36" s="1"/>
  <c r="E140"/>
  <c r="T26" i="8" s="1"/>
  <c r="T36" s="1"/>
  <c r="R18" i="9"/>
  <c r="R23"/>
  <c r="X18"/>
  <c r="X23"/>
  <c r="N26"/>
  <c r="N36" s="1"/>
  <c r="N140"/>
  <c r="G26"/>
  <c r="G36" s="1"/>
  <c r="G140" s="1"/>
  <c r="V26" i="8" s="1"/>
  <c r="L18" i="9"/>
  <c r="L23"/>
  <c r="K25"/>
  <c r="K35" s="1"/>
  <c r="K139" s="1"/>
  <c r="I18"/>
  <c r="I23"/>
  <c r="U26"/>
  <c r="U36" s="1"/>
  <c r="U140"/>
  <c r="T25"/>
  <c r="T35" s="1"/>
  <c r="T139" s="1"/>
  <c r="J25"/>
  <c r="J35" s="1"/>
  <c r="J139"/>
  <c r="U18"/>
  <c r="U23"/>
  <c r="M18"/>
  <c r="M23"/>
  <c r="K18"/>
  <c r="K23"/>
  <c r="AA14"/>
  <c r="E24"/>
  <c r="E34" s="1"/>
  <c r="E138"/>
  <c r="T24" i="8" s="1"/>
  <c r="I24" i="9"/>
  <c r="I34" s="1"/>
  <c r="I138" s="1"/>
  <c r="X24" i="8" s="1"/>
  <c r="R24" i="9"/>
  <c r="R34" s="1"/>
  <c r="R138"/>
  <c r="U25"/>
  <c r="U35" s="1"/>
  <c r="U139" s="1"/>
  <c r="S26"/>
  <c r="S36" s="1"/>
  <c r="S140"/>
  <c r="P24"/>
  <c r="P34" s="1"/>
  <c r="P138" s="1"/>
  <c r="J24"/>
  <c r="J34" s="1"/>
  <c r="J138"/>
  <c r="V18"/>
  <c r="V23"/>
  <c r="S25"/>
  <c r="S35" s="1"/>
  <c r="S139"/>
  <c r="K24"/>
  <c r="K34" s="1"/>
  <c r="K138" s="1"/>
  <c r="M24"/>
  <c r="M34" s="1"/>
  <c r="M138"/>
  <c r="W25"/>
  <c r="W35" s="1"/>
  <c r="W139" s="1"/>
  <c r="Q18"/>
  <c r="Q23"/>
  <c r="H25"/>
  <c r="H35" s="1"/>
  <c r="H139"/>
  <c r="W25" i="8" s="1"/>
  <c r="W53" s="1"/>
  <c r="O24" i="9"/>
  <c r="O34" s="1"/>
  <c r="O138" s="1"/>
  <c r="N18"/>
  <c r="N23"/>
  <c r="L25"/>
  <c r="L35" s="1"/>
  <c r="L139" s="1"/>
  <c r="Q24"/>
  <c r="Q34" s="1"/>
  <c r="Q138"/>
  <c r="F24"/>
  <c r="F34" s="1"/>
  <c r="F138" s="1"/>
  <c r="U24" i="8" s="1"/>
  <c r="W26" i="9"/>
  <c r="W36" s="1"/>
  <c r="W140"/>
  <c r="U24"/>
  <c r="U34" s="1"/>
  <c r="U138" s="1"/>
  <c r="Q26"/>
  <c r="Q36" s="1"/>
  <c r="Q140"/>
  <c r="X26"/>
  <c r="I26"/>
  <c r="I36" s="1"/>
  <c r="I140"/>
  <c r="X26" i="8" s="1"/>
  <c r="X54" s="1"/>
  <c r="L26" i="9"/>
  <c r="L36" s="1"/>
  <c r="L140" s="1"/>
  <c r="O18"/>
  <c r="O23"/>
  <c r="R26"/>
  <c r="R36" s="1"/>
  <c r="R140"/>
  <c r="E18"/>
  <c r="AA18" s="1"/>
  <c r="AA13"/>
  <c r="E23"/>
  <c r="T18" i="8"/>
  <c r="T43"/>
  <c r="K44"/>
  <c r="K61" s="1"/>
  <c r="K34"/>
  <c r="F46"/>
  <c r="F63" s="1"/>
  <c r="F36"/>
  <c r="G46"/>
  <c r="G63" s="1"/>
  <c r="G36"/>
  <c r="X18"/>
  <c r="X43"/>
  <c r="Z43"/>
  <c r="E44"/>
  <c r="E61" s="1"/>
  <c r="E34"/>
  <c r="H46"/>
  <c r="H63" s="1"/>
  <c r="H36"/>
  <c r="P44"/>
  <c r="P61" s="1"/>
  <c r="P34"/>
  <c r="T46"/>
  <c r="Z44"/>
  <c r="X44"/>
  <c r="I44"/>
  <c r="I61" s="1"/>
  <c r="I34"/>
  <c r="S44"/>
  <c r="S61" s="1"/>
  <c r="S34"/>
  <c r="I18"/>
  <c r="I33"/>
  <c r="I43"/>
  <c r="Q18"/>
  <c r="Q33"/>
  <c r="Q43"/>
  <c r="L44"/>
  <c r="L61" s="1"/>
  <c r="L34"/>
  <c r="O45"/>
  <c r="O62" s="1"/>
  <c r="O35"/>
  <c r="G18"/>
  <c r="G33"/>
  <c r="G43"/>
  <c r="U45"/>
  <c r="Q45"/>
  <c r="Q62" s="1"/>
  <c r="Q35"/>
  <c r="Z46"/>
  <c r="X46"/>
  <c r="X63" s="1"/>
  <c r="L18"/>
  <c r="L33"/>
  <c r="L43"/>
  <c r="P45"/>
  <c r="P62" s="1"/>
  <c r="P35"/>
  <c r="N46"/>
  <c r="N63" s="1"/>
  <c r="N36"/>
  <c r="E46"/>
  <c r="E63" s="1"/>
  <c r="E36"/>
  <c r="Q44"/>
  <c r="Q61" s="1"/>
  <c r="Q34"/>
  <c r="G44"/>
  <c r="G61" s="1"/>
  <c r="G34"/>
  <c r="J45"/>
  <c r="J62" s="1"/>
  <c r="J35"/>
  <c r="S45"/>
  <c r="S62" s="1"/>
  <c r="S35"/>
  <c r="T44"/>
  <c r="T34"/>
  <c r="M46"/>
  <c r="M63" s="1"/>
  <c r="M36"/>
  <c r="K46"/>
  <c r="K63" s="1"/>
  <c r="K36"/>
  <c r="Q46"/>
  <c r="Q63" s="1"/>
  <c r="Q36"/>
  <c r="U18"/>
  <c r="U43"/>
  <c r="R44"/>
  <c r="R61" s="1"/>
  <c r="R34"/>
  <c r="I45"/>
  <c r="I62" s="1"/>
  <c r="I35"/>
  <c r="R18"/>
  <c r="R33"/>
  <c r="R43"/>
  <c r="N45"/>
  <c r="N62" s="1"/>
  <c r="N35"/>
  <c r="V44"/>
  <c r="S46"/>
  <c r="S63" s="1"/>
  <c r="S36"/>
  <c r="O44"/>
  <c r="O61" s="1"/>
  <c r="O34"/>
  <c r="W44"/>
  <c r="W61" s="1"/>
  <c r="W34"/>
  <c r="F18"/>
  <c r="F33"/>
  <c r="F43"/>
  <c r="O46"/>
  <c r="O63" s="1"/>
  <c r="O36"/>
  <c r="P46"/>
  <c r="P63" s="1"/>
  <c r="P36"/>
  <c r="L45"/>
  <c r="L62" s="1"/>
  <c r="L35"/>
  <c r="V46"/>
  <c r="E45"/>
  <c r="E62" s="1"/>
  <c r="E35"/>
  <c r="W46"/>
  <c r="W63" s="1"/>
  <c r="W36"/>
  <c r="F45"/>
  <c r="F62" s="1"/>
  <c r="F35"/>
  <c r="G45"/>
  <c r="G62" s="1"/>
  <c r="G35"/>
  <c r="W18"/>
  <c r="W43"/>
  <c r="W45"/>
  <c r="W62" s="1"/>
  <c r="J18"/>
  <c r="J33"/>
  <c r="J43"/>
  <c r="U44"/>
  <c r="V45"/>
  <c r="V62" s="1"/>
  <c r="H18"/>
  <c r="H33"/>
  <c r="H43"/>
  <c r="P18"/>
  <c r="P33"/>
  <c r="P43"/>
  <c r="N18"/>
  <c r="N33"/>
  <c r="N43"/>
  <c r="M18"/>
  <c r="M33"/>
  <c r="M43"/>
  <c r="R46"/>
  <c r="R63" s="1"/>
  <c r="R36"/>
  <c r="O18"/>
  <c r="O33"/>
  <c r="O43"/>
  <c r="K18"/>
  <c r="K33"/>
  <c r="K43"/>
  <c r="J44"/>
  <c r="J61" s="1"/>
  <c r="J34"/>
  <c r="T45"/>
  <c r="R45"/>
  <c r="R62" s="1"/>
  <c r="R35"/>
  <c r="S18"/>
  <c r="S33"/>
  <c r="S43"/>
  <c r="K45"/>
  <c r="K62" s="1"/>
  <c r="K35"/>
  <c r="U46"/>
  <c r="M44"/>
  <c r="M61" s="1"/>
  <c r="M34"/>
  <c r="J46"/>
  <c r="J63" s="1"/>
  <c r="J36"/>
  <c r="H44"/>
  <c r="H61" s="1"/>
  <c r="H34"/>
  <c r="V18"/>
  <c r="V43"/>
  <c r="F44"/>
  <c r="F61" s="1"/>
  <c r="F34"/>
  <c r="I46"/>
  <c r="I63" s="1"/>
  <c r="I36"/>
  <c r="M45"/>
  <c r="M62" s="1"/>
  <c r="M35"/>
  <c r="N44"/>
  <c r="N61" s="1"/>
  <c r="N34"/>
  <c r="Z45"/>
  <c r="X45"/>
  <c r="X62" s="1"/>
  <c r="X35"/>
  <c r="Z35" s="1"/>
  <c r="L46"/>
  <c r="L63" s="1"/>
  <c r="L36"/>
  <c r="H45"/>
  <c r="H62" s="1"/>
  <c r="H35"/>
  <c r="E18"/>
  <c r="E33"/>
  <c r="E43"/>
  <c r="X52" l="1"/>
  <c r="X61" s="1"/>
  <c r="X34"/>
  <c r="Z34" s="1"/>
  <c r="V54"/>
  <c r="V36"/>
  <c r="T53"/>
  <c r="T62" s="1"/>
  <c r="Z53"/>
  <c r="T35"/>
  <c r="U53"/>
  <c r="U35"/>
  <c r="U52"/>
  <c r="U61" s="1"/>
  <c r="U34"/>
  <c r="V52"/>
  <c r="V34"/>
  <c r="O28" i="9"/>
  <c r="O33"/>
  <c r="Q33"/>
  <c r="Q28"/>
  <c r="U33"/>
  <c r="U28"/>
  <c r="T28"/>
  <c r="T33"/>
  <c r="J33"/>
  <c r="J28"/>
  <c r="X34"/>
  <c r="X138" s="1"/>
  <c r="AA138" s="1"/>
  <c r="AA24"/>
  <c r="X35"/>
  <c r="X139" s="1"/>
  <c r="AA139" s="1"/>
  <c r="AA25"/>
  <c r="W33"/>
  <c r="W28"/>
  <c r="V63" i="8"/>
  <c r="U63"/>
  <c r="X36"/>
  <c r="Z36" s="1"/>
  <c r="U36"/>
  <c r="W35"/>
  <c r="AA34" i="9"/>
  <c r="M33"/>
  <c r="M28"/>
  <c r="I28"/>
  <c r="I33"/>
  <c r="AA23"/>
  <c r="X33"/>
  <c r="X28"/>
  <c r="P28"/>
  <c r="P33"/>
  <c r="AA26"/>
  <c r="X36"/>
  <c r="X140" s="1"/>
  <c r="AA140" s="1"/>
  <c r="V28"/>
  <c r="V33"/>
  <c r="R28"/>
  <c r="R33"/>
  <c r="F28"/>
  <c r="F33"/>
  <c r="N28"/>
  <c r="N33"/>
  <c r="Z52" i="8"/>
  <c r="T52"/>
  <c r="K33" i="9"/>
  <c r="K28"/>
  <c r="L28"/>
  <c r="L33"/>
  <c r="T54" i="8"/>
  <c r="T63" s="1"/>
  <c r="Z54"/>
  <c r="G33" i="9"/>
  <c r="G28"/>
  <c r="S33"/>
  <c r="S28"/>
  <c r="H28"/>
  <c r="H33"/>
  <c r="AA35"/>
  <c r="V35" i="8"/>
  <c r="V61"/>
  <c r="T61"/>
  <c r="U62"/>
  <c r="E28" i="9"/>
  <c r="E33"/>
  <c r="H38" i="8"/>
  <c r="S38"/>
  <c r="P48"/>
  <c r="P60"/>
  <c r="Q60"/>
  <c r="Q48"/>
  <c r="H48"/>
  <c r="H60"/>
  <c r="L60"/>
  <c r="L48"/>
  <c r="V48"/>
  <c r="S48"/>
  <c r="S60"/>
  <c r="O48"/>
  <c r="O60"/>
  <c r="N48"/>
  <c r="N60"/>
  <c r="G48"/>
  <c r="G60"/>
  <c r="R38"/>
  <c r="E38"/>
  <c r="K38"/>
  <c r="J38"/>
  <c r="P38"/>
  <c r="Q38"/>
  <c r="W48"/>
  <c r="T48"/>
  <c r="R48"/>
  <c r="R60"/>
  <c r="U48"/>
  <c r="I48"/>
  <c r="I60"/>
  <c r="X48"/>
  <c r="K48"/>
  <c r="K60"/>
  <c r="M48"/>
  <c r="M60"/>
  <c r="J48"/>
  <c r="J60"/>
  <c r="F48"/>
  <c r="F60"/>
  <c r="L38"/>
  <c r="I38"/>
  <c r="M38"/>
  <c r="F38"/>
  <c r="O38"/>
  <c r="N38"/>
  <c r="G38"/>
  <c r="E48"/>
  <c r="E60"/>
  <c r="T38" i="9" l="1"/>
  <c r="T47"/>
  <c r="Z4" i="18" s="1"/>
  <c r="T44" i="9"/>
  <c r="T137"/>
  <c r="T142" s="1"/>
  <c r="N44"/>
  <c r="N47"/>
  <c r="T4" i="18" s="1"/>
  <c r="N38" i="9"/>
  <c r="N137"/>
  <c r="N142" s="1"/>
  <c r="R44"/>
  <c r="R47"/>
  <c r="X4" i="18" s="1"/>
  <c r="R38" i="9"/>
  <c r="R137"/>
  <c r="R142" s="1"/>
  <c r="J38"/>
  <c r="J47"/>
  <c r="P4" i="18" s="1"/>
  <c r="J44" i="9"/>
  <c r="J137"/>
  <c r="J142" s="1"/>
  <c r="U47"/>
  <c r="AA4" i="18" s="1"/>
  <c r="U44" i="9"/>
  <c r="U38"/>
  <c r="U137"/>
  <c r="U142" s="1"/>
  <c r="G38"/>
  <c r="G47"/>
  <c r="M4" i="18" s="1"/>
  <c r="G44" i="9"/>
  <c r="G137"/>
  <c r="I44"/>
  <c r="I47"/>
  <c r="O4" i="18" s="1"/>
  <c r="I38" i="9"/>
  <c r="I137"/>
  <c r="O47"/>
  <c r="U4" i="18" s="1"/>
  <c r="O44" i="9"/>
  <c r="O38"/>
  <c r="O137"/>
  <c r="O142" s="1"/>
  <c r="AA28"/>
  <c r="AA36"/>
  <c r="S47"/>
  <c r="Y4" i="18" s="1"/>
  <c r="S38" i="9"/>
  <c r="S44"/>
  <c r="S137"/>
  <c r="S142" s="1"/>
  <c r="K44"/>
  <c r="K47"/>
  <c r="Q4" i="18" s="1"/>
  <c r="K38" i="9"/>
  <c r="K137"/>
  <c r="K142" s="1"/>
  <c r="X38"/>
  <c r="X44"/>
  <c r="X47"/>
  <c r="AD4" i="18" s="1"/>
  <c r="X137" i="9"/>
  <c r="X142" s="1"/>
  <c r="H38"/>
  <c r="H47"/>
  <c r="N4" i="18" s="1"/>
  <c r="H44" i="9"/>
  <c r="H137"/>
  <c r="L38"/>
  <c r="L47"/>
  <c r="R4" i="18" s="1"/>
  <c r="L44" i="9"/>
  <c r="L137"/>
  <c r="L142" s="1"/>
  <c r="F47"/>
  <c r="L4" i="18" s="1"/>
  <c r="F44" i="9"/>
  <c r="F38"/>
  <c r="F137"/>
  <c r="V47"/>
  <c r="AB4" i="18" s="1"/>
  <c r="V38" i="9"/>
  <c r="V44"/>
  <c r="V137"/>
  <c r="V142" s="1"/>
  <c r="P44"/>
  <c r="P38"/>
  <c r="P47"/>
  <c r="V4" i="18" s="1"/>
  <c r="P137" i="9"/>
  <c r="P142" s="1"/>
  <c r="M38"/>
  <c r="M44"/>
  <c r="M47"/>
  <c r="S4" i="18" s="1"/>
  <c r="M137" i="9"/>
  <c r="M142" s="1"/>
  <c r="W44"/>
  <c r="W47"/>
  <c r="AC4" i="18" s="1"/>
  <c r="W38" i="9"/>
  <c r="W137"/>
  <c r="W142" s="1"/>
  <c r="Q38"/>
  <c r="Q44"/>
  <c r="Q47"/>
  <c r="W4" i="18" s="1"/>
  <c r="Q137" i="9"/>
  <c r="Q142" s="1"/>
  <c r="E47"/>
  <c r="E38"/>
  <c r="AA33"/>
  <c r="E44"/>
  <c r="E137"/>
  <c r="J76" i="8"/>
  <c r="J65"/>
  <c r="J75"/>
  <c r="K76"/>
  <c r="K75"/>
  <c r="K65"/>
  <c r="I76"/>
  <c r="I75"/>
  <c r="I65"/>
  <c r="R76"/>
  <c r="R65"/>
  <c r="R75"/>
  <c r="G75"/>
  <c r="G76"/>
  <c r="G65"/>
  <c r="O65"/>
  <c r="O75"/>
  <c r="O76"/>
  <c r="H76"/>
  <c r="H75"/>
  <c r="H65"/>
  <c r="P65"/>
  <c r="P76"/>
  <c r="P75"/>
  <c r="F65"/>
  <c r="F75"/>
  <c r="F76"/>
  <c r="M75"/>
  <c r="M65"/>
  <c r="M76"/>
  <c r="L65"/>
  <c r="L75"/>
  <c r="L76"/>
  <c r="Q76"/>
  <c r="Q65"/>
  <c r="Q75"/>
  <c r="Z48"/>
  <c r="N65"/>
  <c r="N75"/>
  <c r="N76"/>
  <c r="S65"/>
  <c r="S76"/>
  <c r="S75"/>
  <c r="E65"/>
  <c r="E76"/>
  <c r="E75"/>
  <c r="L81" i="9" l="1"/>
  <c r="L118" s="1"/>
  <c r="L85"/>
  <c r="L122" s="1"/>
  <c r="L50"/>
  <c r="L80"/>
  <c r="L72"/>
  <c r="L109" s="1"/>
  <c r="R3" i="18"/>
  <c r="L74" i="9"/>
  <c r="L111" s="1"/>
  <c r="L77"/>
  <c r="L78"/>
  <c r="L115" s="1"/>
  <c r="L87"/>
  <c r="L124" s="1"/>
  <c r="L83"/>
  <c r="L86"/>
  <c r="L79"/>
  <c r="L116" s="1"/>
  <c r="L82"/>
  <c r="L119" s="1"/>
  <c r="L75"/>
  <c r="L112" s="1"/>
  <c r="L84"/>
  <c r="L73"/>
  <c r="L110" s="1"/>
  <c r="L76"/>
  <c r="L113" s="1"/>
  <c r="I74"/>
  <c r="O3" i="18"/>
  <c r="I77" i="9"/>
  <c r="I50"/>
  <c r="I85"/>
  <c r="I75"/>
  <c r="I81"/>
  <c r="I84"/>
  <c r="I121" s="1"/>
  <c r="I73"/>
  <c r="I110" s="1"/>
  <c r="I82"/>
  <c r="I86"/>
  <c r="I79"/>
  <c r="I83"/>
  <c r="I120" s="1"/>
  <c r="I72"/>
  <c r="I109" s="1"/>
  <c r="I76"/>
  <c r="I113" s="1"/>
  <c r="I78"/>
  <c r="I115" s="1"/>
  <c r="I80"/>
  <c r="I87"/>
  <c r="I124" s="1"/>
  <c r="R75"/>
  <c r="R80"/>
  <c r="R117" s="1"/>
  <c r="R85"/>
  <c r="R122" s="1"/>
  <c r="R82"/>
  <c r="R84"/>
  <c r="R83"/>
  <c r="R120" s="1"/>
  <c r="X3" i="18"/>
  <c r="R87" i="9"/>
  <c r="R74"/>
  <c r="R73"/>
  <c r="R110" s="1"/>
  <c r="R79"/>
  <c r="R50"/>
  <c r="R77"/>
  <c r="R86"/>
  <c r="R123" s="1"/>
  <c r="R78"/>
  <c r="R115" s="1"/>
  <c r="R72"/>
  <c r="R109" s="1"/>
  <c r="R81"/>
  <c r="R76"/>
  <c r="R113" s="1"/>
  <c r="H142"/>
  <c r="W23" i="8"/>
  <c r="U84" i="9"/>
  <c r="U121" s="1"/>
  <c r="U74"/>
  <c r="U111" s="1"/>
  <c r="U79"/>
  <c r="U116" s="1"/>
  <c r="U50"/>
  <c r="U78"/>
  <c r="AA3" i="18"/>
  <c r="U86" i="9"/>
  <c r="U123" s="1"/>
  <c r="U75"/>
  <c r="U82"/>
  <c r="U119" s="1"/>
  <c r="U77"/>
  <c r="U72"/>
  <c r="U109" s="1"/>
  <c r="U83"/>
  <c r="U85"/>
  <c r="U122" s="1"/>
  <c r="U76"/>
  <c r="U113" s="1"/>
  <c r="U73"/>
  <c r="U110" s="1"/>
  <c r="U81"/>
  <c r="U87"/>
  <c r="U80"/>
  <c r="U117" s="1"/>
  <c r="W81"/>
  <c r="W118" s="1"/>
  <c r="W74"/>
  <c r="W77"/>
  <c r="W85"/>
  <c r="W122" s="1"/>
  <c r="W83"/>
  <c r="W120" s="1"/>
  <c r="W82"/>
  <c r="W80"/>
  <c r="W78"/>
  <c r="W115" s="1"/>
  <c r="W76"/>
  <c r="W86"/>
  <c r="W73"/>
  <c r="W75"/>
  <c r="W112" s="1"/>
  <c r="AC3" i="18"/>
  <c r="W84" i="9"/>
  <c r="W72"/>
  <c r="W109" s="1"/>
  <c r="W50"/>
  <c r="W79"/>
  <c r="W87"/>
  <c r="W124" s="1"/>
  <c r="P77"/>
  <c r="V3" i="18"/>
  <c r="P83" i="9"/>
  <c r="P81"/>
  <c r="P78"/>
  <c r="P115" s="1"/>
  <c r="P85"/>
  <c r="P122" s="1"/>
  <c r="P80"/>
  <c r="P117" s="1"/>
  <c r="P73"/>
  <c r="P50"/>
  <c r="P75"/>
  <c r="P112" s="1"/>
  <c r="P76"/>
  <c r="P74"/>
  <c r="P111" s="1"/>
  <c r="P84"/>
  <c r="P72"/>
  <c r="P109" s="1"/>
  <c r="P82"/>
  <c r="P119" s="1"/>
  <c r="P79"/>
  <c r="P87"/>
  <c r="P86"/>
  <c r="P123" s="1"/>
  <c r="K72"/>
  <c r="K109" s="1"/>
  <c r="K86"/>
  <c r="K82"/>
  <c r="K77"/>
  <c r="K114" s="1"/>
  <c r="K80"/>
  <c r="K73"/>
  <c r="K84"/>
  <c r="K75"/>
  <c r="K112" s="1"/>
  <c r="K78"/>
  <c r="K50"/>
  <c r="K83"/>
  <c r="K120" s="1"/>
  <c r="K79"/>
  <c r="K116" s="1"/>
  <c r="K76"/>
  <c r="K74"/>
  <c r="K111" s="1"/>
  <c r="K81"/>
  <c r="Q3" i="18"/>
  <c r="K85" i="9"/>
  <c r="K122" s="1"/>
  <c r="K87"/>
  <c r="K124" s="1"/>
  <c r="G72"/>
  <c r="G109" s="1"/>
  <c r="G82"/>
  <c r="G119" s="1"/>
  <c r="G80"/>
  <c r="G117" s="1"/>
  <c r="G87"/>
  <c r="G85"/>
  <c r="G50"/>
  <c r="G86"/>
  <c r="G123" s="1"/>
  <c r="G75"/>
  <c r="G74"/>
  <c r="G76"/>
  <c r="G113" s="1"/>
  <c r="M3" i="18"/>
  <c r="G83" i="9"/>
  <c r="G81"/>
  <c r="G77"/>
  <c r="G114" s="1"/>
  <c r="G73"/>
  <c r="G110" s="1"/>
  <c r="G78"/>
  <c r="G79"/>
  <c r="G116" s="1"/>
  <c r="G84"/>
  <c r="G121" s="1"/>
  <c r="J79"/>
  <c r="J116" s="1"/>
  <c r="J75"/>
  <c r="J74"/>
  <c r="J111" s="1"/>
  <c r="J80"/>
  <c r="J117" s="1"/>
  <c r="J77"/>
  <c r="J83"/>
  <c r="J82"/>
  <c r="J119" s="1"/>
  <c r="J76"/>
  <c r="J113" s="1"/>
  <c r="J50"/>
  <c r="J73"/>
  <c r="J78"/>
  <c r="J84"/>
  <c r="J121" s="1"/>
  <c r="P3" i="18"/>
  <c r="J86" i="9"/>
  <c r="J87"/>
  <c r="J124" s="1"/>
  <c r="J85"/>
  <c r="J122" s="1"/>
  <c r="J72"/>
  <c r="J109" s="1"/>
  <c r="J81"/>
  <c r="T72"/>
  <c r="T109" s="1"/>
  <c r="T73"/>
  <c r="T110" s="1"/>
  <c r="T50"/>
  <c r="T80"/>
  <c r="T87"/>
  <c r="T79"/>
  <c r="T75"/>
  <c r="T112" s="1"/>
  <c r="T74"/>
  <c r="T81"/>
  <c r="T118" s="1"/>
  <c r="T85"/>
  <c r="T122" s="1"/>
  <c r="T77"/>
  <c r="T83"/>
  <c r="T84"/>
  <c r="T121" s="1"/>
  <c r="T78"/>
  <c r="T115" s="1"/>
  <c r="T76"/>
  <c r="T113" s="1"/>
  <c r="T82"/>
  <c r="Z3" i="18"/>
  <c r="T86" i="9"/>
  <c r="T123" s="1"/>
  <c r="V82"/>
  <c r="V119" s="1"/>
  <c r="V80"/>
  <c r="V83"/>
  <c r="V75"/>
  <c r="V112" s="1"/>
  <c r="V79"/>
  <c r="V74"/>
  <c r="V85"/>
  <c r="V78"/>
  <c r="V115" s="1"/>
  <c r="V84"/>
  <c r="V121" s="1"/>
  <c r="V76"/>
  <c r="AB3" i="18"/>
  <c r="V86" i="9"/>
  <c r="V123" s="1"/>
  <c r="V72"/>
  <c r="V109" s="1"/>
  <c r="V81"/>
  <c r="V118" s="1"/>
  <c r="V50"/>
  <c r="V87"/>
  <c r="V124" s="1"/>
  <c r="V73"/>
  <c r="V110" s="1"/>
  <c r="V77"/>
  <c r="V114" s="1"/>
  <c r="H73"/>
  <c r="H80"/>
  <c r="H117" s="1"/>
  <c r="H87"/>
  <c r="H77"/>
  <c r="H83"/>
  <c r="H86"/>
  <c r="H123" s="1"/>
  <c r="H82"/>
  <c r="H74"/>
  <c r="H84"/>
  <c r="H121" s="1"/>
  <c r="H78"/>
  <c r="H115" s="1"/>
  <c r="H50"/>
  <c r="H72"/>
  <c r="H109" s="1"/>
  <c r="H76"/>
  <c r="H81"/>
  <c r="H118" s="1"/>
  <c r="H75"/>
  <c r="H112" s="1"/>
  <c r="H79"/>
  <c r="H85"/>
  <c r="H122" s="1"/>
  <c r="N3" i="18"/>
  <c r="S85" i="9"/>
  <c r="S79"/>
  <c r="S87"/>
  <c r="S124" s="1"/>
  <c r="S72"/>
  <c r="S109" s="1"/>
  <c r="S78"/>
  <c r="S86"/>
  <c r="Y3" i="18"/>
  <c r="S73" i="9"/>
  <c r="S110" s="1"/>
  <c r="S82"/>
  <c r="S76"/>
  <c r="S80"/>
  <c r="S117" s="1"/>
  <c r="S81"/>
  <c r="S118" s="1"/>
  <c r="S77"/>
  <c r="S114" s="1"/>
  <c r="S74"/>
  <c r="S75"/>
  <c r="S112" s="1"/>
  <c r="S50"/>
  <c r="S84"/>
  <c r="S121" s="1"/>
  <c r="S83"/>
  <c r="N76"/>
  <c r="N77"/>
  <c r="N114" s="1"/>
  <c r="N78"/>
  <c r="N72"/>
  <c r="N109" s="1"/>
  <c r="N75"/>
  <c r="N80"/>
  <c r="N117" s="1"/>
  <c r="N87"/>
  <c r="N50"/>
  <c r="N83"/>
  <c r="T3" i="18"/>
  <c r="N85" i="9"/>
  <c r="N79"/>
  <c r="N74"/>
  <c r="N111" s="1"/>
  <c r="N81"/>
  <c r="N118" s="1"/>
  <c r="N84"/>
  <c r="N121" s="1"/>
  <c r="N73"/>
  <c r="N110" s="1"/>
  <c r="N82"/>
  <c r="N86"/>
  <c r="N123" s="1"/>
  <c r="F142"/>
  <c r="U23" i="8"/>
  <c r="O87" i="9"/>
  <c r="O124" s="1"/>
  <c r="O72"/>
  <c r="O109" s="1"/>
  <c r="O83"/>
  <c r="O76"/>
  <c r="O75"/>
  <c r="O82"/>
  <c r="O119" s="1"/>
  <c r="O77"/>
  <c r="O114" s="1"/>
  <c r="O79"/>
  <c r="O74"/>
  <c r="O80"/>
  <c r="O117" s="1"/>
  <c r="U3" i="18"/>
  <c r="O86" i="9"/>
  <c r="O73"/>
  <c r="O78"/>
  <c r="O115" s="1"/>
  <c r="O81"/>
  <c r="O84"/>
  <c r="O85"/>
  <c r="O122" s="1"/>
  <c r="O50"/>
  <c r="Q75"/>
  <c r="Q81"/>
  <c r="Q76"/>
  <c r="Q72"/>
  <c r="Q109" s="1"/>
  <c r="Q74"/>
  <c r="Q86"/>
  <c r="Q50"/>
  <c r="Q77"/>
  <c r="Q114" s="1"/>
  <c r="Q79"/>
  <c r="Q116" s="1"/>
  <c r="W3" i="18"/>
  <c r="Q83" i="9"/>
  <c r="Q80"/>
  <c r="Q117" s="1"/>
  <c r="Q85"/>
  <c r="Q122" s="1"/>
  <c r="Q87"/>
  <c r="Q124" s="1"/>
  <c r="Q78"/>
  <c r="Q73"/>
  <c r="Q110" s="1"/>
  <c r="Q82"/>
  <c r="Q119" s="1"/>
  <c r="Q84"/>
  <c r="M78"/>
  <c r="M86"/>
  <c r="M83"/>
  <c r="M74"/>
  <c r="M80"/>
  <c r="M117" s="1"/>
  <c r="M50"/>
  <c r="M82"/>
  <c r="M79"/>
  <c r="M72"/>
  <c r="M109" s="1"/>
  <c r="M84"/>
  <c r="M121" s="1"/>
  <c r="M81"/>
  <c r="M118" s="1"/>
  <c r="M76"/>
  <c r="M87"/>
  <c r="M73"/>
  <c r="M110" s="1"/>
  <c r="M77"/>
  <c r="M114" s="1"/>
  <c r="S3" i="18"/>
  <c r="M75" i="9"/>
  <c r="M112" s="1"/>
  <c r="M85"/>
  <c r="M122" s="1"/>
  <c r="F86"/>
  <c r="L3" i="18"/>
  <c r="F74" i="9"/>
  <c r="F111" s="1"/>
  <c r="F83"/>
  <c r="F120" s="1"/>
  <c r="F87"/>
  <c r="F124" s="1"/>
  <c r="F50"/>
  <c r="F77"/>
  <c r="F80"/>
  <c r="F72"/>
  <c r="F109" s="1"/>
  <c r="F82"/>
  <c r="F81"/>
  <c r="F78"/>
  <c r="F115" s="1"/>
  <c r="F85"/>
  <c r="F122" s="1"/>
  <c r="F75"/>
  <c r="F84"/>
  <c r="F79"/>
  <c r="F116" s="1"/>
  <c r="F76"/>
  <c r="F113" s="1"/>
  <c r="F73"/>
  <c r="X74"/>
  <c r="X82"/>
  <c r="X119" s="1"/>
  <c r="X85"/>
  <c r="X122" s="1"/>
  <c r="X78"/>
  <c r="X86"/>
  <c r="X75"/>
  <c r="X112" s="1"/>
  <c r="X83"/>
  <c r="X80"/>
  <c r="X73"/>
  <c r="X110" s="1"/>
  <c r="X87"/>
  <c r="X124" s="1"/>
  <c r="AD3" i="18"/>
  <c r="X72" i="9"/>
  <c r="X109" s="1"/>
  <c r="X50"/>
  <c r="X77"/>
  <c r="X81"/>
  <c r="X118" s="1"/>
  <c r="X84"/>
  <c r="X79"/>
  <c r="X116" s="1"/>
  <c r="X76"/>
  <c r="X113" s="1"/>
  <c r="I142"/>
  <c r="X23" i="8"/>
  <c r="G142" i="9"/>
  <c r="V23" i="8"/>
  <c r="AA38" i="9"/>
  <c r="E142"/>
  <c r="AA142" s="1"/>
  <c r="AA137"/>
  <c r="T23" i="8"/>
  <c r="K4" i="18"/>
  <c r="Y47" i="9"/>
  <c r="AE4" i="18" s="1"/>
  <c r="AA47" i="9"/>
  <c r="K3" i="18"/>
  <c r="E80" i="9"/>
  <c r="E78"/>
  <c r="E81"/>
  <c r="E75"/>
  <c r="E87"/>
  <c r="E77"/>
  <c r="E76"/>
  <c r="AA44"/>
  <c r="E72"/>
  <c r="E109" s="1"/>
  <c r="E86"/>
  <c r="Y44"/>
  <c r="E74"/>
  <c r="E73"/>
  <c r="E110" s="1"/>
  <c r="E79"/>
  <c r="E116" s="1"/>
  <c r="E85"/>
  <c r="E82"/>
  <c r="E50"/>
  <c r="E83"/>
  <c r="E84"/>
  <c r="S5" i="18"/>
  <c r="M105" i="8"/>
  <c r="M112"/>
  <c r="M79"/>
  <c r="M115"/>
  <c r="M113"/>
  <c r="M109"/>
  <c r="M116"/>
  <c r="M110"/>
  <c r="M114"/>
  <c r="M151" s="1"/>
  <c r="M108"/>
  <c r="M146" s="1"/>
  <c r="M106"/>
  <c r="M104"/>
  <c r="M107"/>
  <c r="P115"/>
  <c r="P111"/>
  <c r="P113"/>
  <c r="V5" i="18"/>
  <c r="P107" i="8"/>
  <c r="P114"/>
  <c r="P106"/>
  <c r="P104"/>
  <c r="P105"/>
  <c r="P110"/>
  <c r="P116"/>
  <c r="P108"/>
  <c r="P112"/>
  <c r="P79"/>
  <c r="P109"/>
  <c r="P146" s="1"/>
  <c r="Y6" i="18"/>
  <c r="S102" i="8"/>
  <c r="S139" s="1"/>
  <c r="S103"/>
  <c r="N103"/>
  <c r="N102"/>
  <c r="N139" s="1"/>
  <c r="T6" i="18"/>
  <c r="Q103" i="8"/>
  <c r="W6" i="18"/>
  <c r="Q102" i="8"/>
  <c r="Q139" s="1"/>
  <c r="F103"/>
  <c r="F102"/>
  <c r="F139" s="1"/>
  <c r="L6" i="18"/>
  <c r="P102" i="8"/>
  <c r="P139" s="1"/>
  <c r="V6" i="18"/>
  <c r="P103" i="8"/>
  <c r="H103"/>
  <c r="N6" i="18"/>
  <c r="H102" i="8"/>
  <c r="H139" s="1"/>
  <c r="U6" i="18"/>
  <c r="O102" i="8"/>
  <c r="O139" s="1"/>
  <c r="O103"/>
  <c r="G103"/>
  <c r="G102"/>
  <c r="G139" s="1"/>
  <c r="M6" i="18"/>
  <c r="K106" i="8"/>
  <c r="K79"/>
  <c r="K115"/>
  <c r="K107"/>
  <c r="K111"/>
  <c r="K110"/>
  <c r="K113"/>
  <c r="K105"/>
  <c r="Q5" i="18"/>
  <c r="K114" i="8"/>
  <c r="K108"/>
  <c r="K104"/>
  <c r="K112"/>
  <c r="K149" s="1"/>
  <c r="K116"/>
  <c r="K109"/>
  <c r="K146" s="1"/>
  <c r="J103"/>
  <c r="J102"/>
  <c r="J139" s="1"/>
  <c r="P6" i="18"/>
  <c r="N5"/>
  <c r="H112" i="8"/>
  <c r="H111"/>
  <c r="H108"/>
  <c r="H116"/>
  <c r="H115"/>
  <c r="H109"/>
  <c r="H79"/>
  <c r="H105"/>
  <c r="H113"/>
  <c r="H150" s="1"/>
  <c r="H114"/>
  <c r="H110"/>
  <c r="H104"/>
  <c r="H107"/>
  <c r="H106"/>
  <c r="R102"/>
  <c r="R139" s="1"/>
  <c r="X6" i="18"/>
  <c r="R103" i="8"/>
  <c r="Q112"/>
  <c r="Q116"/>
  <c r="Q113"/>
  <c r="Q115"/>
  <c r="Q110"/>
  <c r="Q106"/>
  <c r="Q108"/>
  <c r="W5" i="18"/>
  <c r="Q109" i="8"/>
  <c r="Q107"/>
  <c r="Q144" s="1"/>
  <c r="Q105"/>
  <c r="Q104"/>
  <c r="Q141" s="1"/>
  <c r="Q111"/>
  <c r="Q148" s="1"/>
  <c r="Q79"/>
  <c r="Q114"/>
  <c r="Q151" s="1"/>
  <c r="L109"/>
  <c r="L112"/>
  <c r="L108"/>
  <c r="L115"/>
  <c r="R5" i="18"/>
  <c r="L105" i="8"/>
  <c r="L113"/>
  <c r="L114"/>
  <c r="L79"/>
  <c r="L106"/>
  <c r="L143" s="1"/>
  <c r="L107"/>
  <c r="L116"/>
  <c r="L153" s="1"/>
  <c r="L111"/>
  <c r="L110"/>
  <c r="L104"/>
  <c r="I103"/>
  <c r="O6" i="18"/>
  <c r="I102" i="8"/>
  <c r="I139" s="1"/>
  <c r="J110"/>
  <c r="J104"/>
  <c r="J111"/>
  <c r="J79"/>
  <c r="J106"/>
  <c r="J107"/>
  <c r="J112"/>
  <c r="J149" s="1"/>
  <c r="J109"/>
  <c r="J116"/>
  <c r="J113"/>
  <c r="J114"/>
  <c r="P5" i="18"/>
  <c r="J108" i="8"/>
  <c r="J115"/>
  <c r="J105"/>
  <c r="S105"/>
  <c r="S104"/>
  <c r="S141" s="1"/>
  <c r="S110"/>
  <c r="S115"/>
  <c r="S106"/>
  <c r="S143" s="1"/>
  <c r="Y5" i="18"/>
  <c r="S109" i="8"/>
  <c r="S116"/>
  <c r="S153" s="1"/>
  <c r="S113"/>
  <c r="S111"/>
  <c r="S108"/>
  <c r="S112"/>
  <c r="S107"/>
  <c r="S144" s="1"/>
  <c r="S114"/>
  <c r="S79"/>
  <c r="N109"/>
  <c r="N114"/>
  <c r="T5" i="18"/>
  <c r="N107" i="8"/>
  <c r="N106"/>
  <c r="N116"/>
  <c r="N104"/>
  <c r="N108"/>
  <c r="N145" s="1"/>
  <c r="N105"/>
  <c r="N112"/>
  <c r="N113"/>
  <c r="N79"/>
  <c r="N115"/>
  <c r="N152" s="1"/>
  <c r="N110"/>
  <c r="N111"/>
  <c r="L102"/>
  <c r="L139" s="1"/>
  <c r="R6" i="18"/>
  <c r="L103" i="8"/>
  <c r="M111"/>
  <c r="M102"/>
  <c r="M139" s="1"/>
  <c r="M103"/>
  <c r="S6" i="18"/>
  <c r="F115" i="8"/>
  <c r="F107"/>
  <c r="F113"/>
  <c r="F112"/>
  <c r="L5" i="18"/>
  <c r="F116" i="8"/>
  <c r="F105"/>
  <c r="F106"/>
  <c r="F108"/>
  <c r="F79"/>
  <c r="F114"/>
  <c r="F110"/>
  <c r="F109"/>
  <c r="F111"/>
  <c r="F104"/>
  <c r="O106"/>
  <c r="O109"/>
  <c r="O111"/>
  <c r="O113"/>
  <c r="U5" i="18"/>
  <c r="O114" i="8"/>
  <c r="O110"/>
  <c r="O116"/>
  <c r="O107"/>
  <c r="O144" s="1"/>
  <c r="O105"/>
  <c r="O112"/>
  <c r="O149" s="1"/>
  <c r="O104"/>
  <c r="O79"/>
  <c r="O115"/>
  <c r="O152" s="1"/>
  <c r="O108"/>
  <c r="G113"/>
  <c r="G112"/>
  <c r="M5" i="18"/>
  <c r="G104" i="8"/>
  <c r="G115"/>
  <c r="G116"/>
  <c r="G107"/>
  <c r="G109"/>
  <c r="G79"/>
  <c r="G111"/>
  <c r="G108"/>
  <c r="G145" s="1"/>
  <c r="G114"/>
  <c r="G110"/>
  <c r="G106"/>
  <c r="G105"/>
  <c r="G142" s="1"/>
  <c r="X5" i="18"/>
  <c r="R110" i="8"/>
  <c r="R113"/>
  <c r="R106"/>
  <c r="R105"/>
  <c r="R114"/>
  <c r="R115"/>
  <c r="R79"/>
  <c r="R107"/>
  <c r="R116"/>
  <c r="R108"/>
  <c r="R111"/>
  <c r="R109"/>
  <c r="R112"/>
  <c r="R104"/>
  <c r="I110"/>
  <c r="I112"/>
  <c r="I106"/>
  <c r="I111"/>
  <c r="I107"/>
  <c r="I116"/>
  <c r="I109"/>
  <c r="I114"/>
  <c r="O5" i="18"/>
  <c r="I104" i="8"/>
  <c r="I105"/>
  <c r="I79"/>
  <c r="I108"/>
  <c r="I145" s="1"/>
  <c r="I115"/>
  <c r="I113"/>
  <c r="Q6" i="18"/>
  <c r="K102" i="8"/>
  <c r="K139" s="1"/>
  <c r="K103"/>
  <c r="E103"/>
  <c r="E102"/>
  <c r="E139" s="1"/>
  <c r="K6" i="18"/>
  <c r="E79" i="8"/>
  <c r="E116"/>
  <c r="E106"/>
  <c r="E104"/>
  <c r="E115"/>
  <c r="E108"/>
  <c r="E114"/>
  <c r="E113"/>
  <c r="E112"/>
  <c r="E109"/>
  <c r="E146" s="1"/>
  <c r="E185" s="1"/>
  <c r="E111"/>
  <c r="K5" i="18"/>
  <c r="E107" i="8"/>
  <c r="E110"/>
  <c r="E147" s="1"/>
  <c r="E186" s="1"/>
  <c r="E105"/>
  <c r="M123" i="9" l="1"/>
  <c r="U114"/>
  <c r="R141" i="8"/>
  <c r="M119" i="9"/>
  <c r="Q112"/>
  <c r="N124"/>
  <c r="N115"/>
  <c r="S119"/>
  <c r="S122"/>
  <c r="H119"/>
  <c r="T114"/>
  <c r="K115"/>
  <c r="W116"/>
  <c r="I111"/>
  <c r="I126" s="1"/>
  <c r="L120"/>
  <c r="E113"/>
  <c r="E118"/>
  <c r="X123"/>
  <c r="X111"/>
  <c r="F121"/>
  <c r="F118"/>
  <c r="F114"/>
  <c r="M124"/>
  <c r="M115"/>
  <c r="Q115"/>
  <c r="Q126" s="1"/>
  <c r="Q120"/>
  <c r="Q113"/>
  <c r="O110"/>
  <c r="O111"/>
  <c r="O126" s="1"/>
  <c r="O112"/>
  <c r="N119"/>
  <c r="N120"/>
  <c r="N112"/>
  <c r="N126" s="1"/>
  <c r="N113"/>
  <c r="H113"/>
  <c r="H120"/>
  <c r="H110"/>
  <c r="V122"/>
  <c r="V120"/>
  <c r="T124"/>
  <c r="J115"/>
  <c r="G118"/>
  <c r="G111"/>
  <c r="G122"/>
  <c r="K118"/>
  <c r="K121"/>
  <c r="K119"/>
  <c r="P124"/>
  <c r="P121"/>
  <c r="P114"/>
  <c r="W110"/>
  <c r="W117"/>
  <c r="W114"/>
  <c r="U124"/>
  <c r="U115"/>
  <c r="R118"/>
  <c r="R114"/>
  <c r="R111"/>
  <c r="R126" s="1"/>
  <c r="R121"/>
  <c r="R112"/>
  <c r="I123"/>
  <c r="I118"/>
  <c r="I114"/>
  <c r="V28" i="8"/>
  <c r="V51"/>
  <c r="V33"/>
  <c r="V38" s="1"/>
  <c r="X28"/>
  <c r="X51"/>
  <c r="X33"/>
  <c r="U28"/>
  <c r="U51"/>
  <c r="U33"/>
  <c r="U38" s="1"/>
  <c r="W28"/>
  <c r="W51"/>
  <c r="W33"/>
  <c r="W38" s="1"/>
  <c r="X114" i="9"/>
  <c r="F117"/>
  <c r="T116"/>
  <c r="I116"/>
  <c r="X120"/>
  <c r="F123"/>
  <c r="M120"/>
  <c r="Q111"/>
  <c r="O118"/>
  <c r="O120"/>
  <c r="N122"/>
  <c r="S115"/>
  <c r="H124"/>
  <c r="V116"/>
  <c r="J114"/>
  <c r="K113"/>
  <c r="K117"/>
  <c r="K126" s="1"/>
  <c r="P113"/>
  <c r="P120"/>
  <c r="W113"/>
  <c r="W126" s="1"/>
  <c r="R116"/>
  <c r="I117"/>
  <c r="I122"/>
  <c r="E120"/>
  <c r="E123"/>
  <c r="E114"/>
  <c r="X121"/>
  <c r="X126"/>
  <c r="X117"/>
  <c r="X115"/>
  <c r="F110"/>
  <c r="F126" s="1"/>
  <c r="F112"/>
  <c r="F119"/>
  <c r="M113"/>
  <c r="M116"/>
  <c r="M111"/>
  <c r="M126" s="1"/>
  <c r="Q121"/>
  <c r="Q123"/>
  <c r="Q118"/>
  <c r="O121"/>
  <c r="O123"/>
  <c r="O116"/>
  <c r="O113"/>
  <c r="N116"/>
  <c r="S120"/>
  <c r="S111"/>
  <c r="S126" s="1"/>
  <c r="S113"/>
  <c r="S123"/>
  <c r="S116"/>
  <c r="H116"/>
  <c r="H126"/>
  <c r="H111"/>
  <c r="H114"/>
  <c r="V113"/>
  <c r="V111"/>
  <c r="V126" s="1"/>
  <c r="V117"/>
  <c r="T119"/>
  <c r="T120"/>
  <c r="T111"/>
  <c r="T126" s="1"/>
  <c r="T117"/>
  <c r="J118"/>
  <c r="J123"/>
  <c r="J110"/>
  <c r="J126" s="1"/>
  <c r="J120"/>
  <c r="J112"/>
  <c r="G115"/>
  <c r="G120"/>
  <c r="G112"/>
  <c r="G126" s="1"/>
  <c r="G124"/>
  <c r="K110"/>
  <c r="K123"/>
  <c r="P116"/>
  <c r="P126" s="1"/>
  <c r="P110"/>
  <c r="P118"/>
  <c r="W121"/>
  <c r="W123"/>
  <c r="W119"/>
  <c r="W111"/>
  <c r="U118"/>
  <c r="U120"/>
  <c r="U112"/>
  <c r="U126" s="1"/>
  <c r="R124"/>
  <c r="R119"/>
  <c r="I119"/>
  <c r="I112"/>
  <c r="L121"/>
  <c r="L123"/>
  <c r="L114"/>
  <c r="L126" s="1"/>
  <c r="L117"/>
  <c r="Y86"/>
  <c r="Y123" s="1"/>
  <c r="Y79"/>
  <c r="Y72"/>
  <c r="Y109" s="1"/>
  <c r="Y50"/>
  <c r="C10" s="1"/>
  <c r="Y80"/>
  <c r="Y117" s="1"/>
  <c r="Y83"/>
  <c r="Y77"/>
  <c r="Y73"/>
  <c r="Y110" s="1"/>
  <c r="AE3" i="18"/>
  <c r="Y87" i="9"/>
  <c r="Y85"/>
  <c r="Y78"/>
  <c r="Y81"/>
  <c r="Y118" s="1"/>
  <c r="Y82"/>
  <c r="Y84"/>
  <c r="Y74"/>
  <c r="Y111" s="1"/>
  <c r="Y76"/>
  <c r="Y113" s="1"/>
  <c r="Y75"/>
  <c r="T28" i="8"/>
  <c r="T51"/>
  <c r="Z51"/>
  <c r="T33"/>
  <c r="T38" s="1"/>
  <c r="E121" i="9"/>
  <c r="E122"/>
  <c r="E119"/>
  <c r="E111"/>
  <c r="B50"/>
  <c r="E112"/>
  <c r="E51"/>
  <c r="F51" s="1"/>
  <c r="G51" s="1"/>
  <c r="H51" s="1"/>
  <c r="I51" s="1"/>
  <c r="J51" s="1"/>
  <c r="K51" s="1"/>
  <c r="L51" s="1"/>
  <c r="M51" s="1"/>
  <c r="N51" s="1"/>
  <c r="O51" s="1"/>
  <c r="P51" s="1"/>
  <c r="Q51" s="1"/>
  <c r="R51" s="1"/>
  <c r="S51" s="1"/>
  <c r="T51" s="1"/>
  <c r="U51" s="1"/>
  <c r="V51" s="1"/>
  <c r="W51" s="1"/>
  <c r="X51" s="1"/>
  <c r="AA50"/>
  <c r="E115"/>
  <c r="E144" i="8"/>
  <c r="E183" s="1"/>
  <c r="E149"/>
  <c r="E188" s="1"/>
  <c r="E152"/>
  <c r="E191" s="1"/>
  <c r="E140"/>
  <c r="E179" s="1"/>
  <c r="I148"/>
  <c r="R145"/>
  <c r="G143"/>
  <c r="F141"/>
  <c r="N144"/>
  <c r="S145"/>
  <c r="J152"/>
  <c r="J150"/>
  <c r="I140"/>
  <c r="L148"/>
  <c r="L146"/>
  <c r="R140"/>
  <c r="H153"/>
  <c r="K148"/>
  <c r="Q140"/>
  <c r="E124" i="9"/>
  <c r="E117"/>
  <c r="R150" i="8"/>
  <c r="G148"/>
  <c r="J144"/>
  <c r="H141"/>
  <c r="K143"/>
  <c r="I144"/>
  <c r="I147"/>
  <c r="R143"/>
  <c r="O151"/>
  <c r="O146"/>
  <c r="F149"/>
  <c r="N142"/>
  <c r="S149"/>
  <c r="S152"/>
  <c r="J148"/>
  <c r="L142"/>
  <c r="Q146"/>
  <c r="H144"/>
  <c r="H152"/>
  <c r="H149"/>
  <c r="K153"/>
  <c r="K151"/>
  <c r="K147"/>
  <c r="G140"/>
  <c r="F140"/>
  <c r="F179" s="1"/>
  <c r="P153"/>
  <c r="P150"/>
  <c r="M147"/>
  <c r="I151"/>
  <c r="R152"/>
  <c r="G153"/>
  <c r="M140"/>
  <c r="J141"/>
  <c r="Q152"/>
  <c r="O140"/>
  <c r="E142"/>
  <c r="E181" s="1"/>
  <c r="F181" s="1"/>
  <c r="G181" s="1"/>
  <c r="E151"/>
  <c r="E190" s="1"/>
  <c r="G151"/>
  <c r="F145"/>
  <c r="Q143"/>
  <c r="H146"/>
  <c r="K145"/>
  <c r="P145"/>
  <c r="M150"/>
  <c r="N141"/>
  <c r="P149"/>
  <c r="N149"/>
  <c r="N151"/>
  <c r="S142"/>
  <c r="J146"/>
  <c r="H148"/>
  <c r="P141"/>
  <c r="M153"/>
  <c r="M152"/>
  <c r="M145"/>
  <c r="M144"/>
  <c r="O148"/>
  <c r="O147"/>
  <c r="F147"/>
  <c r="F186" s="1"/>
  <c r="F146"/>
  <c r="F185" s="1"/>
  <c r="F142"/>
  <c r="S146"/>
  <c r="H142"/>
  <c r="M141"/>
  <c r="G144"/>
  <c r="O143"/>
  <c r="F143"/>
  <c r="N143"/>
  <c r="J151"/>
  <c r="L147"/>
  <c r="Q147"/>
  <c r="M142"/>
  <c r="K140"/>
  <c r="I152"/>
  <c r="I141"/>
  <c r="I153"/>
  <c r="I149"/>
  <c r="R146"/>
  <c r="R144"/>
  <c r="R142"/>
  <c r="G146"/>
  <c r="G141"/>
  <c r="O145"/>
  <c r="F152"/>
  <c r="M148"/>
  <c r="L140"/>
  <c r="N147"/>
  <c r="N153"/>
  <c r="S150"/>
  <c r="L141"/>
  <c r="L144"/>
  <c r="L150"/>
  <c r="L145"/>
  <c r="Q153"/>
  <c r="H143"/>
  <c r="H151"/>
  <c r="K150"/>
  <c r="K152"/>
  <c r="P140"/>
  <c r="S140"/>
  <c r="P142"/>
  <c r="P152"/>
  <c r="M149"/>
  <c r="F151"/>
  <c r="F150"/>
  <c r="P144"/>
  <c r="P143"/>
  <c r="R148"/>
  <c r="R147"/>
  <c r="O142"/>
  <c r="O141"/>
  <c r="G149"/>
  <c r="S147"/>
  <c r="N146"/>
  <c r="J142"/>
  <c r="L149"/>
  <c r="Q149"/>
  <c r="I150"/>
  <c r="I142"/>
  <c r="I146"/>
  <c r="I143"/>
  <c r="R149"/>
  <c r="R153"/>
  <c r="R151"/>
  <c r="G147"/>
  <c r="G152"/>
  <c r="G150"/>
  <c r="O153"/>
  <c r="O150"/>
  <c r="F148"/>
  <c r="F153"/>
  <c r="F144"/>
  <c r="N148"/>
  <c r="N150"/>
  <c r="S151"/>
  <c r="S148"/>
  <c r="J145"/>
  <c r="J153"/>
  <c r="J143"/>
  <c r="J147"/>
  <c r="L151"/>
  <c r="L152"/>
  <c r="Q142"/>
  <c r="Q145"/>
  <c r="Q150"/>
  <c r="H147"/>
  <c r="H145"/>
  <c r="J140"/>
  <c r="K141"/>
  <c r="K142"/>
  <c r="K144"/>
  <c r="H140"/>
  <c r="N140"/>
  <c r="P147"/>
  <c r="P151"/>
  <c r="P148"/>
  <c r="M143"/>
  <c r="E178"/>
  <c r="E145"/>
  <c r="E184" s="1"/>
  <c r="E153"/>
  <c r="E192" s="1"/>
  <c r="E148"/>
  <c r="E187" s="1"/>
  <c r="E143"/>
  <c r="E182" s="1"/>
  <c r="E150"/>
  <c r="E189" s="1"/>
  <c r="E141"/>
  <c r="E180" s="1"/>
  <c r="F180" s="1"/>
  <c r="X38" l="1"/>
  <c r="Z33"/>
  <c r="Z38" s="1"/>
  <c r="W56"/>
  <c r="W60"/>
  <c r="U56"/>
  <c r="U60"/>
  <c r="E126" i="9"/>
  <c r="E127" s="1"/>
  <c r="F127" s="1"/>
  <c r="G127" s="1"/>
  <c r="H127" s="1"/>
  <c r="I127" s="1"/>
  <c r="J127" s="1"/>
  <c r="K127" s="1"/>
  <c r="L127" s="1"/>
  <c r="M127" s="1"/>
  <c r="N127" s="1"/>
  <c r="O127" s="1"/>
  <c r="P127" s="1"/>
  <c r="Q127" s="1"/>
  <c r="R127" s="1"/>
  <c r="S127" s="1"/>
  <c r="T127" s="1"/>
  <c r="U127" s="1"/>
  <c r="V127" s="1"/>
  <c r="W127" s="1"/>
  <c r="X127" s="1"/>
  <c r="Y112"/>
  <c r="Y116"/>
  <c r="V56" i="8"/>
  <c r="V60"/>
  <c r="X56"/>
  <c r="X60"/>
  <c r="F188"/>
  <c r="F189"/>
  <c r="G189" s="1"/>
  <c r="H189" s="1"/>
  <c r="F183"/>
  <c r="F190"/>
  <c r="G190" s="1"/>
  <c r="H190" s="1"/>
  <c r="I190" s="1"/>
  <c r="J190" s="1"/>
  <c r="K190" s="1"/>
  <c r="L190" s="1"/>
  <c r="M190" s="1"/>
  <c r="N190" s="1"/>
  <c r="O190" s="1"/>
  <c r="P190" s="1"/>
  <c r="Q190" s="1"/>
  <c r="R190" s="1"/>
  <c r="S190" s="1"/>
  <c r="Y119" i="9"/>
  <c r="Y120"/>
  <c r="H181" i="8"/>
  <c r="I181" s="1"/>
  <c r="J181" s="1"/>
  <c r="Y121" i="9"/>
  <c r="Y122"/>
  <c r="Y114"/>
  <c r="Y75" i="8"/>
  <c r="Y76"/>
  <c r="T56"/>
  <c r="Z56" s="1"/>
  <c r="T60"/>
  <c r="G179"/>
  <c r="Y124" i="9"/>
  <c r="F191" i="8"/>
  <c r="G191" s="1"/>
  <c r="H191" s="1"/>
  <c r="I191" s="1"/>
  <c r="J191" s="1"/>
  <c r="K191" s="1"/>
  <c r="L191" s="1"/>
  <c r="M191" s="1"/>
  <c r="N191" s="1"/>
  <c r="O191" s="1"/>
  <c r="P191" s="1"/>
  <c r="Q191" s="1"/>
  <c r="R191" s="1"/>
  <c r="S191" s="1"/>
  <c r="Y115" i="9"/>
  <c r="H155" i="8"/>
  <c r="J155"/>
  <c r="Q155"/>
  <c r="G186"/>
  <c r="H186" s="1"/>
  <c r="I186" s="1"/>
  <c r="J186" s="1"/>
  <c r="K186" s="1"/>
  <c r="L186" s="1"/>
  <c r="M186" s="1"/>
  <c r="N186" s="1"/>
  <c r="O186" s="1"/>
  <c r="P186" s="1"/>
  <c r="Q186" s="1"/>
  <c r="R186" s="1"/>
  <c r="S186" s="1"/>
  <c r="G180"/>
  <c r="H180" s="1"/>
  <c r="I180" s="1"/>
  <c r="J180" s="1"/>
  <c r="K180" s="1"/>
  <c r="L180" s="1"/>
  <c r="M180" s="1"/>
  <c r="N180" s="1"/>
  <c r="O180" s="1"/>
  <c r="P180" s="1"/>
  <c r="Q180" s="1"/>
  <c r="R180" s="1"/>
  <c r="S180" s="1"/>
  <c r="G188"/>
  <c r="H188" s="1"/>
  <c r="I188" s="1"/>
  <c r="J188" s="1"/>
  <c r="K188" s="1"/>
  <c r="L188" s="1"/>
  <c r="M188" s="1"/>
  <c r="N188" s="1"/>
  <c r="O188" s="1"/>
  <c r="P188" s="1"/>
  <c r="Q188" s="1"/>
  <c r="R188" s="1"/>
  <c r="S188" s="1"/>
  <c r="S155"/>
  <c r="F184"/>
  <c r="G184" s="1"/>
  <c r="H184" s="1"/>
  <c r="I184" s="1"/>
  <c r="J184" s="1"/>
  <c r="K184" s="1"/>
  <c r="L184" s="1"/>
  <c r="M184" s="1"/>
  <c r="N184" s="1"/>
  <c r="O184" s="1"/>
  <c r="P184" s="1"/>
  <c r="Q184" s="1"/>
  <c r="R184" s="1"/>
  <c r="S184" s="1"/>
  <c r="G183"/>
  <c r="H183" s="1"/>
  <c r="I183" s="1"/>
  <c r="J183" s="1"/>
  <c r="K183" s="1"/>
  <c r="L183" s="1"/>
  <c r="M183" s="1"/>
  <c r="N183" s="1"/>
  <c r="O183" s="1"/>
  <c r="P183" s="1"/>
  <c r="Q183" s="1"/>
  <c r="R183" s="1"/>
  <c r="S183" s="1"/>
  <c r="F155"/>
  <c r="F182"/>
  <c r="G182" s="1"/>
  <c r="H182" s="1"/>
  <c r="I182" s="1"/>
  <c r="J182" s="1"/>
  <c r="K182" s="1"/>
  <c r="L182" s="1"/>
  <c r="M182" s="1"/>
  <c r="N182" s="1"/>
  <c r="O182" s="1"/>
  <c r="P182" s="1"/>
  <c r="Q182" s="1"/>
  <c r="R182" s="1"/>
  <c r="S182" s="1"/>
  <c r="N155"/>
  <c r="P155"/>
  <c r="K155"/>
  <c r="G185"/>
  <c r="H185" s="1"/>
  <c r="I185" s="1"/>
  <c r="J185" s="1"/>
  <c r="K185" s="1"/>
  <c r="L185" s="1"/>
  <c r="M185" s="1"/>
  <c r="N185" s="1"/>
  <c r="O185" s="1"/>
  <c r="P185" s="1"/>
  <c r="Q185" s="1"/>
  <c r="R185" s="1"/>
  <c r="S185" s="1"/>
  <c r="G155"/>
  <c r="F192"/>
  <c r="G192" s="1"/>
  <c r="H192" s="1"/>
  <c r="I192" s="1"/>
  <c r="J192" s="1"/>
  <c r="K192" s="1"/>
  <c r="L192" s="1"/>
  <c r="M192" s="1"/>
  <c r="N192" s="1"/>
  <c r="O192" s="1"/>
  <c r="P192" s="1"/>
  <c r="Q192" s="1"/>
  <c r="R192" s="1"/>
  <c r="S192" s="1"/>
  <c r="I155"/>
  <c r="O155"/>
  <c r="L155"/>
  <c r="R155"/>
  <c r="M155"/>
  <c r="K181"/>
  <c r="L181" s="1"/>
  <c r="M181" s="1"/>
  <c r="N181" s="1"/>
  <c r="O181" s="1"/>
  <c r="P181" s="1"/>
  <c r="Q181" s="1"/>
  <c r="R181" s="1"/>
  <c r="S181" s="1"/>
  <c r="I189"/>
  <c r="J189" s="1"/>
  <c r="K189" s="1"/>
  <c r="L189" s="1"/>
  <c r="M189" s="1"/>
  <c r="N189" s="1"/>
  <c r="O189" s="1"/>
  <c r="P189" s="1"/>
  <c r="Q189" s="1"/>
  <c r="R189" s="1"/>
  <c r="S189" s="1"/>
  <c r="F187"/>
  <c r="G187" s="1"/>
  <c r="H187" s="1"/>
  <c r="I187" s="1"/>
  <c r="J187" s="1"/>
  <c r="K187" s="1"/>
  <c r="L187" s="1"/>
  <c r="M187" s="1"/>
  <c r="N187" s="1"/>
  <c r="O187" s="1"/>
  <c r="P187" s="1"/>
  <c r="Q187" s="1"/>
  <c r="R187" s="1"/>
  <c r="S187" s="1"/>
  <c r="H179"/>
  <c r="I179" s="1"/>
  <c r="J179" s="1"/>
  <c r="K179" s="1"/>
  <c r="L179" s="1"/>
  <c r="M179" s="1"/>
  <c r="N179" s="1"/>
  <c r="O179" s="1"/>
  <c r="P179" s="1"/>
  <c r="Q179" s="1"/>
  <c r="R179" s="1"/>
  <c r="S179" s="1"/>
  <c r="E155"/>
  <c r="E156" s="1"/>
  <c r="E194"/>
  <c r="F178"/>
  <c r="X65" l="1"/>
  <c r="X76"/>
  <c r="X75"/>
  <c r="V75"/>
  <c r="V76"/>
  <c r="V65"/>
  <c r="Y127" i="9"/>
  <c r="U75" i="8"/>
  <c r="U65"/>
  <c r="U76"/>
  <c r="W65"/>
  <c r="W75"/>
  <c r="W76"/>
  <c r="T76"/>
  <c r="T65"/>
  <c r="T75"/>
  <c r="F156"/>
  <c r="G156" s="1"/>
  <c r="H156" s="1"/>
  <c r="I156" s="1"/>
  <c r="J156" s="1"/>
  <c r="K156" s="1"/>
  <c r="L156" s="1"/>
  <c r="M156" s="1"/>
  <c r="N156" s="1"/>
  <c r="O156" s="1"/>
  <c r="P156" s="1"/>
  <c r="Q156" s="1"/>
  <c r="R156" s="1"/>
  <c r="S156" s="1"/>
  <c r="Y102"/>
  <c r="Y139" s="1"/>
  <c r="AE6" i="18"/>
  <c r="Y103" i="8"/>
  <c r="Y113"/>
  <c r="Y150" s="1"/>
  <c r="Y189" s="1"/>
  <c r="Y79"/>
  <c r="Y109"/>
  <c r="Y104"/>
  <c r="Y141" s="1"/>
  <c r="Y180" s="1"/>
  <c r="AE5" i="18"/>
  <c r="Y116" i="8"/>
  <c r="Y108"/>
  <c r="Y110"/>
  <c r="Y147" s="1"/>
  <c r="Y186" s="1"/>
  <c r="Y115"/>
  <c r="Y152" s="1"/>
  <c r="Y191" s="1"/>
  <c r="Y112"/>
  <c r="Y107"/>
  <c r="Y111"/>
  <c r="Y148" s="1"/>
  <c r="Y187" s="1"/>
  <c r="Y105"/>
  <c r="Y106"/>
  <c r="Y114"/>
  <c r="G178"/>
  <c r="F194"/>
  <c r="V102" l="1"/>
  <c r="V139" s="1"/>
  <c r="AB6" i="18"/>
  <c r="V103" i="8"/>
  <c r="U103"/>
  <c r="AA6" i="18"/>
  <c r="U102" i="8"/>
  <c r="U139" s="1"/>
  <c r="X107"/>
  <c r="X108"/>
  <c r="X145" s="1"/>
  <c r="X105"/>
  <c r="X115"/>
  <c r="X152" s="1"/>
  <c r="X116"/>
  <c r="X113"/>
  <c r="X104"/>
  <c r="X109"/>
  <c r="X146" s="1"/>
  <c r="X106"/>
  <c r="X112"/>
  <c r="X111"/>
  <c r="AD5" i="18"/>
  <c r="X114" i="8"/>
  <c r="X151" s="1"/>
  <c r="X79"/>
  <c r="X110"/>
  <c r="X147" s="1"/>
  <c r="W102"/>
  <c r="W139" s="1"/>
  <c r="AC6" i="18"/>
  <c r="W103" i="8"/>
  <c r="X103"/>
  <c r="X140" s="1"/>
  <c r="X102"/>
  <c r="X139" s="1"/>
  <c r="AD6" i="18"/>
  <c r="W105" i="8"/>
  <c r="W110"/>
  <c r="W147" s="1"/>
  <c r="W115"/>
  <c r="W152" s="1"/>
  <c r="W108"/>
  <c r="W104"/>
  <c r="W141" s="1"/>
  <c r="W116"/>
  <c r="W153" s="1"/>
  <c r="W79"/>
  <c r="W114"/>
  <c r="W109"/>
  <c r="W146" s="1"/>
  <c r="W111"/>
  <c r="W148" s="1"/>
  <c r="W113"/>
  <c r="W150" s="1"/>
  <c r="W112"/>
  <c r="W106"/>
  <c r="W143" s="1"/>
  <c r="AC5" i="18"/>
  <c r="W107" i="8"/>
  <c r="W144" s="1"/>
  <c r="U114"/>
  <c r="U113"/>
  <c r="U108"/>
  <c r="U145" s="1"/>
  <c r="U105"/>
  <c r="U142" s="1"/>
  <c r="U106"/>
  <c r="U107"/>
  <c r="U144" s="1"/>
  <c r="U115"/>
  <c r="U152" s="1"/>
  <c r="U109"/>
  <c r="AA5" i="18"/>
  <c r="U116" i="8"/>
  <c r="U112"/>
  <c r="U149" s="1"/>
  <c r="U110"/>
  <c r="U147" s="1"/>
  <c r="U111"/>
  <c r="U104"/>
  <c r="U141" s="1"/>
  <c r="U79"/>
  <c r="V114"/>
  <c r="V151" s="1"/>
  <c r="V113"/>
  <c r="V116"/>
  <c r="V106"/>
  <c r="V143" s="1"/>
  <c r="V105"/>
  <c r="V142" s="1"/>
  <c r="V111"/>
  <c r="AB5" i="18"/>
  <c r="V112" i="8"/>
  <c r="V149" s="1"/>
  <c r="V107"/>
  <c r="V110"/>
  <c r="V108"/>
  <c r="V115"/>
  <c r="V152" s="1"/>
  <c r="V109"/>
  <c r="V146" s="1"/>
  <c r="V104"/>
  <c r="V141" s="1"/>
  <c r="V79"/>
  <c r="Y140"/>
  <c r="Y179" s="1"/>
  <c r="Y178"/>
  <c r="Z6" i="18"/>
  <c r="T102" i="8"/>
  <c r="T139" s="1"/>
  <c r="AA76"/>
  <c r="T103"/>
  <c r="T140" s="1"/>
  <c r="T179" s="1"/>
  <c r="Y142"/>
  <c r="Y181" s="1"/>
  <c r="Y143"/>
  <c r="Y182" s="1"/>
  <c r="Y149"/>
  <c r="Y188" s="1"/>
  <c r="Y153"/>
  <c r="Y192" s="1"/>
  <c r="T110"/>
  <c r="T111"/>
  <c r="T148" s="1"/>
  <c r="T187" s="1"/>
  <c r="T107"/>
  <c r="T144" s="1"/>
  <c r="T183" s="1"/>
  <c r="U183" s="1"/>
  <c r="T106"/>
  <c r="T143" s="1"/>
  <c r="T182" s="1"/>
  <c r="T114"/>
  <c r="T105"/>
  <c r="T113"/>
  <c r="T79"/>
  <c r="T109"/>
  <c r="T115"/>
  <c r="T152" s="1"/>
  <c r="T191" s="1"/>
  <c r="AA75"/>
  <c r="T108"/>
  <c r="Z5" i="18"/>
  <c r="T104" i="8"/>
  <c r="T112"/>
  <c r="T149" s="1"/>
  <c r="T188" s="1"/>
  <c r="U188" s="1"/>
  <c r="V188" s="1"/>
  <c r="T116"/>
  <c r="T153" s="1"/>
  <c r="T192" s="1"/>
  <c r="Y151"/>
  <c r="Y190" s="1"/>
  <c r="Y144"/>
  <c r="Y183" s="1"/>
  <c r="Y145"/>
  <c r="Y184" s="1"/>
  <c r="Y146"/>
  <c r="Y185" s="1"/>
  <c r="H178"/>
  <c r="G194"/>
  <c r="W188" l="1"/>
  <c r="X188" s="1"/>
  <c r="X148"/>
  <c r="X142"/>
  <c r="U192"/>
  <c r="V192" s="1"/>
  <c r="W192" s="1"/>
  <c r="X192" s="1"/>
  <c r="V147"/>
  <c r="V148"/>
  <c r="V150"/>
  <c r="U148"/>
  <c r="U143"/>
  <c r="U182" s="1"/>
  <c r="V182" s="1"/>
  <c r="W182" s="1"/>
  <c r="X182" s="1"/>
  <c r="U151"/>
  <c r="W149"/>
  <c r="W151"/>
  <c r="W145"/>
  <c r="X143"/>
  <c r="X153"/>
  <c r="X144"/>
  <c r="V140"/>
  <c r="V155" s="1"/>
  <c r="X141"/>
  <c r="X155" s="1"/>
  <c r="U179"/>
  <c r="V179" s="1"/>
  <c r="W179" s="1"/>
  <c r="X179" s="1"/>
  <c r="V144"/>
  <c r="V183" s="1"/>
  <c r="W183" s="1"/>
  <c r="X183" s="1"/>
  <c r="U146"/>
  <c r="U191"/>
  <c r="V191" s="1"/>
  <c r="W191" s="1"/>
  <c r="X191" s="1"/>
  <c r="U187"/>
  <c r="V187" s="1"/>
  <c r="W187" s="1"/>
  <c r="X187" s="1"/>
  <c r="V145"/>
  <c r="V153"/>
  <c r="U153"/>
  <c r="U150"/>
  <c r="U155" s="1"/>
  <c r="W142"/>
  <c r="W140"/>
  <c r="W155" s="1"/>
  <c r="X149"/>
  <c r="X150"/>
  <c r="U140"/>
  <c r="Y194"/>
  <c r="T146"/>
  <c r="T185" s="1"/>
  <c r="U185" s="1"/>
  <c r="V185" s="1"/>
  <c r="W185" s="1"/>
  <c r="X185" s="1"/>
  <c r="T151"/>
  <c r="T190" s="1"/>
  <c r="U190" s="1"/>
  <c r="V190" s="1"/>
  <c r="W190" s="1"/>
  <c r="X190" s="1"/>
  <c r="T147"/>
  <c r="T186" s="1"/>
  <c r="U186" s="1"/>
  <c r="V186" s="1"/>
  <c r="W186" s="1"/>
  <c r="X186" s="1"/>
  <c r="AA79"/>
  <c r="B79" s="1"/>
  <c r="C10"/>
  <c r="T150"/>
  <c r="T189" s="1"/>
  <c r="U189" s="1"/>
  <c r="V189" s="1"/>
  <c r="W189" s="1"/>
  <c r="X189" s="1"/>
  <c r="T145"/>
  <c r="T184" s="1"/>
  <c r="U184" s="1"/>
  <c r="V184" s="1"/>
  <c r="W184" s="1"/>
  <c r="X184" s="1"/>
  <c r="Y155"/>
  <c r="T141"/>
  <c r="T180" s="1"/>
  <c r="U180" s="1"/>
  <c r="V180" s="1"/>
  <c r="W180" s="1"/>
  <c r="X180" s="1"/>
  <c r="T142"/>
  <c r="T181" s="1"/>
  <c r="U181" s="1"/>
  <c r="V181" s="1"/>
  <c r="W181" s="1"/>
  <c r="X181" s="1"/>
  <c r="I178"/>
  <c r="H194"/>
  <c r="T155" l="1"/>
  <c r="T156" s="1"/>
  <c r="U156" s="1"/>
  <c r="V156" s="1"/>
  <c r="W156" s="1"/>
  <c r="X156" s="1"/>
  <c r="I194"/>
  <c r="J178"/>
  <c r="K178" l="1"/>
  <c r="J194"/>
  <c r="L178" l="1"/>
  <c r="K194"/>
  <c r="M178" l="1"/>
  <c r="L194"/>
  <c r="N178" l="1"/>
  <c r="M194"/>
  <c r="O178" l="1"/>
  <c r="N194"/>
  <c r="P178" l="1"/>
  <c r="O194"/>
  <c r="P194" l="1"/>
  <c r="Q178"/>
  <c r="Q194" l="1"/>
  <c r="R178"/>
  <c r="S178" l="1"/>
  <c r="R194"/>
  <c r="T178" l="1"/>
  <c r="S194"/>
  <c r="T194" l="1"/>
  <c r="U178"/>
  <c r="U194" l="1"/>
  <c r="V178"/>
  <c r="V194" l="1"/>
  <c r="W178"/>
  <c r="X178" l="1"/>
  <c r="X194" s="1"/>
  <c r="W194"/>
</calcChain>
</file>

<file path=xl/comments1.xml><?xml version="1.0" encoding="utf-8"?>
<comments xmlns="http://schemas.openxmlformats.org/spreadsheetml/2006/main">
  <authors>
    <author xml:space="preserve"> </author>
    <author>Tina Jayaweera</author>
  </authors>
  <commentList>
    <comment ref="I6" authorId="0">
      <text>
        <r>
          <rPr>
            <b/>
            <sz val="8"/>
            <color indexed="81"/>
            <rFont val="Tahoma"/>
            <family val="2"/>
          </rPr>
          <t xml:space="preserve"> :ProCost</t>
        </r>
        <r>
          <rPr>
            <sz val="8"/>
            <color indexed="81"/>
            <rFont val="Tahoma"/>
            <family val="2"/>
          </rPr>
          <t xml:space="preserve">
Periodic replacement costs and savings of the measure.
These are costs and savings that occur periodically, but at different periods than annually.  
Can be positive or negative.  Periodic replacement costs for both the measure and the baseline measure should be included if applicable. 
ProCost can analyze these costs in two ways dependent on the 'Repeat Periodic Replacement'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per fixture must be replaced at years 6 and 11.  Lamp and labor costs, expressed as positive costs, are entered as a cost and the period would be entered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O6" authorId="0">
      <text>
        <r>
          <rPr>
            <b/>
            <sz val="8"/>
            <color indexed="81"/>
            <rFont val="Tahoma"/>
            <family val="2"/>
          </rPr>
          <t xml:space="preserve"> :ProCost</t>
        </r>
        <r>
          <rPr>
            <sz val="8"/>
            <color indexed="81"/>
            <rFont val="Tahoma"/>
            <family val="2"/>
          </rPr>
          <t xml:space="preserve">
If the measure has gas savings for increases, enter the annual savings and shape of the savings here.
Example:  Clothes washer saves electric motor and dryer energy and gas water heat.  </t>
        </r>
      </text>
    </comment>
    <comment ref="A7"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B7"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C7"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D7" authorId="0">
      <text>
        <r>
          <rPr>
            <b/>
            <sz val="8"/>
            <color indexed="81"/>
            <rFont val="Tahoma"/>
            <family val="2"/>
          </rPr>
          <t xml:space="preserve"> :ProCost</t>
        </r>
        <r>
          <rPr>
            <sz val="8"/>
            <color indexed="81"/>
            <rFont val="Tahoma"/>
            <family val="2"/>
          </rPr>
          <t xml:space="preserve">
Physical life of the measure in years.  Must be &gt;=1.</t>
        </r>
      </text>
    </comment>
    <comment ref="E7"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F7" authorId="0">
      <text>
        <r>
          <rPr>
            <b/>
            <sz val="8"/>
            <color indexed="81"/>
            <rFont val="Tahoma"/>
            <family val="2"/>
          </rPr>
          <t xml:space="preserve"> :ProCost</t>
        </r>
        <r>
          <rPr>
            <sz val="8"/>
            <color indexed="81"/>
            <rFont val="Tahoma"/>
            <family val="2"/>
          </rPr>
          <t xml:space="preserve">
Annual operations and maintenance cost for the measure in dollars.  Must be incremental cost over the baseline alternative.  May be positive, negative or zero.  
Dollars must be denominated in the same year as 'Input Cost Reference Year' input on the ProData page. 
O&amp;M costs are entered as positive values.    Negative values represent O&amp;M savings compared to the baseline alternative. 
Example:  Annualized maintenance cost for a heat pump heating system compared to a baseline electric resistance  heating system.
</t>
        </r>
      </text>
    </comment>
    <comment ref="G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H7"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I7"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J7"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K7"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L7"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M7"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N7"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O7" authorId="0">
      <text>
        <r>
          <rPr>
            <b/>
            <sz val="8"/>
            <color indexed="81"/>
            <rFont val="Tahoma"/>
            <family val="2"/>
          </rPr>
          <t xml:space="preserve"> :</t>
        </r>
        <r>
          <rPr>
            <sz val="8"/>
            <color indexed="81"/>
            <rFont val="Tahoma"/>
            <family val="2"/>
          </rPr>
          <t xml:space="preserve">
Annual gas savings, or increases, in therms.</t>
        </r>
      </text>
    </comment>
    <comment ref="P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BH46"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46"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46"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46"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H63"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63"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63"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63"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List>
</comments>
</file>

<file path=xl/comments2.xml><?xml version="1.0" encoding="utf-8"?>
<comments xmlns="http://schemas.openxmlformats.org/spreadsheetml/2006/main">
  <authors>
    <author xml:space="preserve"> </author>
  </authors>
  <commentList>
    <comment ref="J3" authorId="0">
      <text>
        <r>
          <rPr>
            <b/>
            <sz val="8"/>
            <color indexed="81"/>
            <rFont val="Tahoma"/>
            <family val="2"/>
          </rPr>
          <t xml:space="preserve"> :ProCost</t>
        </r>
        <r>
          <rPr>
            <sz val="8"/>
            <color indexed="81"/>
            <rFont val="Tahoma"/>
            <family val="2"/>
          </rPr>
          <t xml:space="preserve">
Periodic replacement costs and savings of the measure.
These are costs and savings that occur periodically, but at different periods than annually.  
Can be positive or negative.  Periodic replacement costs for both the measure and the baseline measure should be included if applicable. 
ProCost can analyze these costs in two ways dependent on the 'Repeat Periodic Replacement'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per fixture must be replaced at years 6 and 11.  Lamp and labor costs, expressed as positive costs, are entered as a cost and the period would be entered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P3" authorId="0">
      <text>
        <r>
          <rPr>
            <b/>
            <sz val="8"/>
            <color indexed="81"/>
            <rFont val="Tahoma"/>
            <family val="2"/>
          </rPr>
          <t xml:space="preserve"> :ProCost</t>
        </r>
        <r>
          <rPr>
            <sz val="8"/>
            <color indexed="81"/>
            <rFont val="Tahoma"/>
            <family val="2"/>
          </rPr>
          <t xml:space="preserve">
If the measure has gas savings for increases, enter the annual savings and shape of the savings here.
Example:  Clothes washer saves electric motor and dryer energy and gas water heat.  </t>
        </r>
      </text>
    </comment>
    <comment ref="B4"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C4"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D4"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E4" authorId="0">
      <text>
        <r>
          <rPr>
            <b/>
            <sz val="8"/>
            <color indexed="81"/>
            <rFont val="Tahoma"/>
            <family val="2"/>
          </rPr>
          <t xml:space="preserve"> :ProCost</t>
        </r>
        <r>
          <rPr>
            <sz val="8"/>
            <color indexed="81"/>
            <rFont val="Tahoma"/>
            <family val="2"/>
          </rPr>
          <t xml:space="preserve">
Physical life of the measure in years.  Must be &gt;=1.</t>
        </r>
      </text>
    </comment>
    <comment ref="F4"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G4" authorId="0">
      <text>
        <r>
          <rPr>
            <b/>
            <sz val="8"/>
            <color indexed="81"/>
            <rFont val="Tahoma"/>
            <family val="2"/>
          </rPr>
          <t xml:space="preserve"> :ProCost</t>
        </r>
        <r>
          <rPr>
            <sz val="8"/>
            <color indexed="81"/>
            <rFont val="Tahoma"/>
            <family val="2"/>
          </rPr>
          <t xml:space="preserve">
Annual operations and maintenance cost for the measure in dollars.  Must be incremental cost over the baseline alternative.  May be positive, negative or zero.  
Dollars must be denominated in the same year as 'Input Cost Reference Year' input on the ProData page. 
O&amp;M costs are entered as positive values.    Negative values represent O&amp;M savings compared to the baseline alternative. 
Example:  Annualized maintenance cost for a heat pump heating system compared to a baseline electric resistance  heating system.
</t>
        </r>
      </text>
    </comment>
    <comment ref="H4"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I4"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J4"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K4"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L4"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M4"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N4"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O4"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P4" authorId="0">
      <text>
        <r>
          <rPr>
            <b/>
            <sz val="8"/>
            <color indexed="81"/>
            <rFont val="Tahoma"/>
            <family val="2"/>
          </rPr>
          <t xml:space="preserve"> :</t>
        </r>
        <r>
          <rPr>
            <sz val="8"/>
            <color indexed="81"/>
            <rFont val="Tahoma"/>
            <family val="2"/>
          </rPr>
          <t xml:space="preserve">
Annual gas savings, or increases, in therms.</t>
        </r>
      </text>
    </comment>
    <comment ref="Q4"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J116" authorId="0">
      <text>
        <r>
          <rPr>
            <b/>
            <sz val="8"/>
            <color indexed="81"/>
            <rFont val="Tahoma"/>
            <family val="2"/>
          </rPr>
          <t xml:space="preserve"> :ProCost</t>
        </r>
        <r>
          <rPr>
            <sz val="8"/>
            <color indexed="81"/>
            <rFont val="Tahoma"/>
            <family val="2"/>
          </rPr>
          <t xml:space="preserve">
Periodic replacement costs and savings of the measure.
These are costs and savings that occur periodically, but at different periods than annually.  
Can be positive or negative.  Periodic replacement costs for both the measure and the baseline measure should be included if applicable. 
ProCost can analyze these costs in two ways dependent on the 'Repeat Periodic Replacement'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per fixture must be replaced at years 6 and 11.  Lamp and labor costs, expressed as positive costs, are entered as a cost and the period would be entered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P116" authorId="0">
      <text>
        <r>
          <rPr>
            <b/>
            <sz val="8"/>
            <color indexed="81"/>
            <rFont val="Tahoma"/>
            <family val="2"/>
          </rPr>
          <t xml:space="preserve"> :ProCost</t>
        </r>
        <r>
          <rPr>
            <sz val="8"/>
            <color indexed="81"/>
            <rFont val="Tahoma"/>
            <family val="2"/>
          </rPr>
          <t xml:space="preserve">
If the measure has gas savings for increases, enter the annual savings and shape of the savings here.
Example:  Clothes washer saves electric motor and dryer energy and gas water heat.  </t>
        </r>
      </text>
    </comment>
    <comment ref="B117"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C117"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D117"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E117" authorId="0">
      <text>
        <r>
          <rPr>
            <b/>
            <sz val="8"/>
            <color indexed="81"/>
            <rFont val="Tahoma"/>
            <family val="2"/>
          </rPr>
          <t xml:space="preserve"> :ProCost</t>
        </r>
        <r>
          <rPr>
            <sz val="8"/>
            <color indexed="81"/>
            <rFont val="Tahoma"/>
            <family val="2"/>
          </rPr>
          <t xml:space="preserve">
Physical life of the measure in years.  Must be &gt;=1.</t>
        </r>
      </text>
    </comment>
    <comment ref="F117"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G117" authorId="0">
      <text>
        <r>
          <rPr>
            <b/>
            <sz val="8"/>
            <color indexed="81"/>
            <rFont val="Tahoma"/>
            <family val="2"/>
          </rPr>
          <t xml:space="preserve"> :ProCost</t>
        </r>
        <r>
          <rPr>
            <sz val="8"/>
            <color indexed="81"/>
            <rFont val="Tahoma"/>
            <family val="2"/>
          </rPr>
          <t xml:space="preserve">
Annual operations and maintenance cost for the measure in dollars.  Must be incremental cost over the baseline alternative.  May be positive, negative or zero.  
Dollars must be denominated in the same year as 'Input Cost Reference Year' input on the ProData page. 
O&amp;M costs are entered as positive values.    Negative values represent O&amp;M savings compared to the baseline alternative. 
Example:  Annualized maintenance cost for a heat pump heating system compared to a baseline electric resistance  heating system.
</t>
        </r>
      </text>
    </comment>
    <comment ref="H11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I117"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J117"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K117"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L117"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M117"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N117"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O117"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P117" authorId="0">
      <text>
        <r>
          <rPr>
            <b/>
            <sz val="8"/>
            <color indexed="81"/>
            <rFont val="Tahoma"/>
            <family val="2"/>
          </rPr>
          <t xml:space="preserve"> :</t>
        </r>
        <r>
          <rPr>
            <sz val="8"/>
            <color indexed="81"/>
            <rFont val="Tahoma"/>
            <family val="2"/>
          </rPr>
          <t xml:space="preserve">
Annual gas savings, or increases, in therms.</t>
        </r>
      </text>
    </comment>
    <comment ref="Q11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List>
</comments>
</file>

<file path=xl/comments3.xml><?xml version="1.0" encoding="utf-8"?>
<comments xmlns="http://schemas.openxmlformats.org/spreadsheetml/2006/main">
  <authors>
    <author xml:space="preserve"> </author>
  </authors>
  <commentList>
    <comment ref="J3" authorId="0">
      <text>
        <r>
          <rPr>
            <b/>
            <sz val="8"/>
            <color indexed="81"/>
            <rFont val="Tahoma"/>
            <family val="2"/>
          </rPr>
          <t xml:space="preserve"> :ProCost</t>
        </r>
        <r>
          <rPr>
            <sz val="8"/>
            <color indexed="81"/>
            <rFont val="Tahoma"/>
            <family val="2"/>
          </rPr>
          <t xml:space="preserve">
Periodic replacement costs and savings of the measure.
These are costs and savings that occur periodically, but at different periods than annually.  
Can be positive or negative.  Periodic replacement costs for both the measure and the baseline measure should be included if applicable. 
ProCost can analyze these costs in two ways dependent on the 'Repeat Periodic Replacement'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per fixture must be replaced at years 6 and 11.  Lamp and labor costs, expressed as positive costs, are entered as a cost and the period would be entered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P3" authorId="0">
      <text>
        <r>
          <rPr>
            <b/>
            <sz val="8"/>
            <color indexed="81"/>
            <rFont val="Tahoma"/>
            <family val="2"/>
          </rPr>
          <t xml:space="preserve"> :ProCost</t>
        </r>
        <r>
          <rPr>
            <sz val="8"/>
            <color indexed="81"/>
            <rFont val="Tahoma"/>
            <family val="2"/>
          </rPr>
          <t xml:space="preserve">
If the measure has gas savings for increases, enter the annual savings and shape of the savings here.
Example:  Clothes washer saves electric motor and dryer energy and gas water heat.  </t>
        </r>
      </text>
    </comment>
    <comment ref="B4"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C4"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D4"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E4" authorId="0">
      <text>
        <r>
          <rPr>
            <b/>
            <sz val="8"/>
            <color indexed="81"/>
            <rFont val="Tahoma"/>
            <family val="2"/>
          </rPr>
          <t xml:space="preserve"> :ProCost</t>
        </r>
        <r>
          <rPr>
            <sz val="8"/>
            <color indexed="81"/>
            <rFont val="Tahoma"/>
            <family val="2"/>
          </rPr>
          <t xml:space="preserve">
Physical life of the measure in years.  Must be &gt;=1.</t>
        </r>
      </text>
    </comment>
    <comment ref="F4"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G4" authorId="0">
      <text>
        <r>
          <rPr>
            <b/>
            <sz val="8"/>
            <color indexed="81"/>
            <rFont val="Tahoma"/>
            <family val="2"/>
          </rPr>
          <t xml:space="preserve"> :ProCost</t>
        </r>
        <r>
          <rPr>
            <sz val="8"/>
            <color indexed="81"/>
            <rFont val="Tahoma"/>
            <family val="2"/>
          </rPr>
          <t xml:space="preserve">
Annual operations and maintenance cost for the measure in dollars.  Must be incremental cost over the baseline alternative.  May be positive, negative or zero.  
Dollars must be denominated in the same year as 'Input Cost Reference Year' input on the ProData page. 
O&amp;M costs are entered as positive values.    Negative values represent O&amp;M savings compared to the baseline alternative. 
Example:  Annualized maintenance cost for a heat pump heating system compared to a baseline electric resistance  heating system.
</t>
        </r>
      </text>
    </comment>
    <comment ref="H4"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I4"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J4"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K4"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L4"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M4"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N4"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O4"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P4" authorId="0">
      <text>
        <r>
          <rPr>
            <b/>
            <sz val="8"/>
            <color indexed="81"/>
            <rFont val="Tahoma"/>
            <family val="2"/>
          </rPr>
          <t xml:space="preserve"> :</t>
        </r>
        <r>
          <rPr>
            <sz val="8"/>
            <color indexed="81"/>
            <rFont val="Tahoma"/>
            <family val="2"/>
          </rPr>
          <t xml:space="preserve">
Annual gas savings, or increases, in therms.</t>
        </r>
      </text>
    </comment>
    <comment ref="Q4"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List>
</comments>
</file>

<file path=xl/comments4.xml><?xml version="1.0" encoding="utf-8"?>
<comments xmlns="http://schemas.openxmlformats.org/spreadsheetml/2006/main">
  <authors>
    <author xml:space="preserve"> </author>
  </authors>
  <commentList>
    <comment ref="I6" authorId="0">
      <text>
        <r>
          <rPr>
            <b/>
            <sz val="8"/>
            <color indexed="81"/>
            <rFont val="Tahoma"/>
            <family val="2"/>
          </rPr>
          <t xml:space="preserve"> :ProCost</t>
        </r>
        <r>
          <rPr>
            <sz val="8"/>
            <color indexed="81"/>
            <rFont val="Tahoma"/>
            <family val="2"/>
          </rPr>
          <t xml:space="preserve">
Periodic replacement costs and savings of the measure.
These are costs and savings that occur periodically, but at different periods than annually.  
Can be positive or negative.  Periodic replacement costs for both the measure and the baseline measure should be included if applicable. 
ProCost can analyze these costs in two ways dependent on the 'Repeat Periodic Replacement'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per fixture must be replaced at years 6 and 11.  Lamp and labor costs, expressed as positive costs, are entered as a cost and the period would be entered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O6" authorId="0">
      <text>
        <r>
          <rPr>
            <b/>
            <sz val="8"/>
            <color indexed="81"/>
            <rFont val="Tahoma"/>
            <family val="2"/>
          </rPr>
          <t xml:space="preserve"> :ProCost</t>
        </r>
        <r>
          <rPr>
            <sz val="8"/>
            <color indexed="81"/>
            <rFont val="Tahoma"/>
            <family val="2"/>
          </rPr>
          <t xml:space="preserve">
If the measure has gas savings for increases, enter the annual savings and shape of the savings here.
Example:  Clothes washer saves electric motor and dryer energy and gas water heat.  </t>
        </r>
      </text>
    </comment>
    <comment ref="A7"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B7"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C7"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D7" authorId="0">
      <text>
        <r>
          <rPr>
            <b/>
            <sz val="8"/>
            <color indexed="81"/>
            <rFont val="Tahoma"/>
            <family val="2"/>
          </rPr>
          <t xml:space="preserve"> :ProCost</t>
        </r>
        <r>
          <rPr>
            <sz val="8"/>
            <color indexed="81"/>
            <rFont val="Tahoma"/>
            <family val="2"/>
          </rPr>
          <t xml:space="preserve">
Physical life of the measure in years.  Must be &gt;=1.</t>
        </r>
      </text>
    </comment>
    <comment ref="E7"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F7" authorId="0">
      <text>
        <r>
          <rPr>
            <b/>
            <sz val="8"/>
            <color indexed="81"/>
            <rFont val="Tahoma"/>
            <family val="2"/>
          </rPr>
          <t xml:space="preserve"> :ProCost</t>
        </r>
        <r>
          <rPr>
            <sz val="8"/>
            <color indexed="81"/>
            <rFont val="Tahoma"/>
            <family val="2"/>
          </rPr>
          <t xml:space="preserve">
Annual operations and maintenance cost for the measure in dollars.  Must be incremental cost over the baseline alternative.  May be positive, negative or zero.  
Dollars must be denominated in the same year as 'Input Cost Reference Year' input on the ProData page. 
O&amp;M costs are entered as positive values.    Negative values represent O&amp;M savings compared to the baseline alternative. 
Example:  Annualized maintenance cost for a heat pump heating system compared to a baseline electric resistance  heating system.
</t>
        </r>
      </text>
    </comment>
    <comment ref="G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H7"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I7"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J7"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K7"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L7"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M7"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N7"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O7" authorId="0">
      <text>
        <r>
          <rPr>
            <b/>
            <sz val="8"/>
            <color indexed="81"/>
            <rFont val="Tahoma"/>
            <family val="2"/>
          </rPr>
          <t xml:space="preserve"> :</t>
        </r>
        <r>
          <rPr>
            <sz val="8"/>
            <color indexed="81"/>
            <rFont val="Tahoma"/>
            <family val="2"/>
          </rPr>
          <t xml:space="preserve">
Annual gas savings, or increases, in therms.</t>
        </r>
      </text>
    </comment>
    <comment ref="P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List>
</comments>
</file>

<file path=xl/comments5.xml><?xml version="1.0" encoding="utf-8"?>
<comments xmlns="http://schemas.openxmlformats.org/spreadsheetml/2006/main">
  <authors>
    <author>Tina Jayaweera</author>
  </authors>
  <commentList>
    <comment ref="G1" authorId="0">
      <text>
        <r>
          <rPr>
            <b/>
            <sz val="9"/>
            <color indexed="81"/>
            <rFont val="Tahoma"/>
            <family val="2"/>
          </rPr>
          <t>Tina Jayaweera:</t>
        </r>
        <r>
          <rPr>
            <sz val="9"/>
            <color indexed="81"/>
            <rFont val="Tahoma"/>
            <family val="2"/>
          </rPr>
          <t xml:space="preserve">
from SIW v2_2</t>
        </r>
      </text>
    </comment>
  </commentList>
</comments>
</file>

<file path=xl/comments6.xml><?xml version="1.0" encoding="utf-8"?>
<comments xmlns="http://schemas.openxmlformats.org/spreadsheetml/2006/main">
  <authors>
    <author>Hadley</author>
  </authors>
  <commentList>
    <comment ref="F1" authorId="0">
      <text>
        <r>
          <rPr>
            <b/>
            <sz val="9"/>
            <color indexed="81"/>
            <rFont val="Tahoma"/>
            <family val="2"/>
          </rPr>
          <t>Hadley:</t>
        </r>
        <r>
          <rPr>
            <sz val="9"/>
            <color indexed="81"/>
            <rFont val="Tahoma"/>
            <family val="2"/>
          </rPr>
          <t xml:space="preserve">
SEEM can be used to determine an effective "UATotal", which can then be used to determine heat pump size and furnace capacity.  This is an iterative process and takes at least one run of SEEM with "guesses" for the values for the initial input variables "Tons" and "Furnsize".</t>
        </r>
      </text>
    </comment>
    <comment ref="E2" authorId="0">
      <text>
        <r>
          <rPr>
            <b/>
            <sz val="9"/>
            <color indexed="81"/>
            <rFont val="Tahoma"/>
            <family val="2"/>
          </rPr>
          <t>Hadley:</t>
        </r>
        <r>
          <rPr>
            <sz val="9"/>
            <color indexed="81"/>
            <rFont val="Tahoma"/>
            <family val="2"/>
          </rPr>
          <t xml:space="preserve">
If Gas FAF is being modeled, override the equation in this column; change to "HP".  ("FAF" here will give the eFAF or Zonal adjustment factors, whereas "HP" here will give the HP or Gas FAF adjustment factors.)</t>
        </r>
      </text>
    </comment>
    <comment ref="S2" authorId="0">
      <text>
        <r>
          <rPr>
            <b/>
            <sz val="9"/>
            <color indexed="81"/>
            <rFont val="Tahoma"/>
            <family val="2"/>
          </rPr>
          <t>Hadley:</t>
        </r>
        <r>
          <rPr>
            <sz val="9"/>
            <color indexed="81"/>
            <rFont val="Tahoma"/>
            <family val="2"/>
          </rPr>
          <t xml:space="preserve">
Represents houses with good billing history (occupied, no supplemental fuel, etc.)</t>
        </r>
      </text>
    </comment>
    <comment ref="U2" authorId="0">
      <text>
        <r>
          <rPr>
            <b/>
            <sz val="9"/>
            <color indexed="81"/>
            <rFont val="Tahoma"/>
            <family val="2"/>
          </rPr>
          <t>Hadley:</t>
        </r>
        <r>
          <rPr>
            <sz val="9"/>
            <color indexed="81"/>
            <rFont val="Tahoma"/>
            <family val="2"/>
          </rPr>
          <t xml:space="preserve">
Represents average "electrically heated" house.</t>
        </r>
      </text>
    </comment>
  </commentList>
</comments>
</file>

<file path=xl/comments7.xml><?xml version="1.0" encoding="utf-8"?>
<comments xmlns="http://schemas.openxmlformats.org/spreadsheetml/2006/main">
  <authors>
    <author>Tom Eckman</author>
  </authors>
  <commentList>
    <comment ref="AK50" authorId="0">
      <text>
        <r>
          <rPr>
            <b/>
            <sz val="8"/>
            <color indexed="81"/>
            <rFont val="Tahoma"/>
            <family val="2"/>
          </rPr>
          <t>Tom Eckman:</t>
        </r>
        <r>
          <rPr>
            <sz val="8"/>
            <color indexed="81"/>
            <rFont val="Tahoma"/>
            <family val="2"/>
          </rPr>
          <t xml:space="preserve">
Retail box price from www.acdirect.com
05/20/08</t>
        </r>
      </text>
    </comment>
    <comment ref="AL50" authorId="0">
      <text>
        <r>
          <rPr>
            <b/>
            <sz val="8"/>
            <color indexed="81"/>
            <rFont val="Tahoma"/>
            <family val="2"/>
          </rPr>
          <t>Tom Eckman:</t>
        </r>
        <r>
          <rPr>
            <sz val="8"/>
            <color indexed="81"/>
            <rFont val="Tahoma"/>
            <family val="2"/>
          </rPr>
          <t xml:space="preserve">
Assumes 1.5x multiplier over retail cost =  installed cost</t>
        </r>
      </text>
    </comment>
  </commentList>
</comments>
</file>

<file path=xl/comments8.xml><?xml version="1.0" encoding="utf-8"?>
<comments xmlns="http://schemas.openxmlformats.org/spreadsheetml/2006/main">
  <authors>
    <author>Hadley</author>
  </authors>
  <commentList>
    <comment ref="N8" authorId="0">
      <text>
        <r>
          <rPr>
            <b/>
            <sz val="9"/>
            <color indexed="81"/>
            <rFont val="Tahoma"/>
            <family val="2"/>
          </rPr>
          <t>Hadley:</t>
        </r>
        <r>
          <rPr>
            <sz val="9"/>
            <color indexed="81"/>
            <rFont val="Tahoma"/>
            <family val="2"/>
          </rPr>
          <t xml:space="preserve">
(See DHP_Calibration document and DHP_SEEM_calibration workbook for background and methodology.)</t>
        </r>
      </text>
    </comment>
  </commentList>
</comments>
</file>

<file path=xl/comments9.xml><?xml version="1.0" encoding="utf-8"?>
<comments xmlns="http://schemas.openxmlformats.org/spreadsheetml/2006/main">
  <authors>
    <author>Adam Hadley</author>
  </authors>
  <commentList>
    <comment ref="B2" authorId="0">
      <text>
        <r>
          <rPr>
            <b/>
            <sz val="8"/>
            <color indexed="81"/>
            <rFont val="Tahoma"/>
            <family val="2"/>
          </rPr>
          <t>Adam Hadley:</t>
        </r>
        <r>
          <rPr>
            <sz val="8"/>
            <color indexed="81"/>
            <rFont val="Tahoma"/>
            <family val="2"/>
          </rPr>
          <t xml:space="preserve">
from 2005 NEEA Heat Pump Market Research report, table 25 (with duct losses)</t>
        </r>
      </text>
    </comment>
    <comment ref="D2" authorId="0">
      <text>
        <r>
          <rPr>
            <b/>
            <sz val="8"/>
            <color indexed="81"/>
            <rFont val="Tahoma"/>
            <family val="2"/>
          </rPr>
          <t>Adam Hadley:</t>
        </r>
        <r>
          <rPr>
            <sz val="8"/>
            <color indexed="81"/>
            <rFont val="Tahoma"/>
            <family val="2"/>
          </rPr>
          <t xml:space="preserve">
2005 NEEA Heat Pump Market Research Report states Bend and Yakima values assumed 70 degree delta T (0 degree design temp); Clark and Kitsap assumed 50 degree delta T (20 degree design temp).
It's assumed the authors used a house temperature of 70 degrees.</t>
        </r>
      </text>
    </comment>
    <comment ref="L2" authorId="0">
      <text>
        <r>
          <rPr>
            <b/>
            <sz val="8"/>
            <color indexed="81"/>
            <rFont val="Tahoma"/>
            <family val="2"/>
          </rPr>
          <t>Adam Hadley:</t>
        </r>
        <r>
          <rPr>
            <sz val="8"/>
            <color indexed="81"/>
            <rFont val="Tahoma"/>
            <family val="2"/>
          </rPr>
          <t xml:space="preserve">
based on a balance point worksheet (figure 1 from Ecotope's PSE report - July 2010).</t>
        </r>
      </text>
    </comment>
  </commentList>
</comments>
</file>

<file path=xl/sharedStrings.xml><?xml version="1.0" encoding="utf-8"?>
<sst xmlns="http://schemas.openxmlformats.org/spreadsheetml/2006/main" count="7022" uniqueCount="1906">
  <si>
    <t>Data Set Name</t>
  </si>
  <si>
    <t>Measure Index Name</t>
  </si>
  <si>
    <t>Costs must be denominated in the same year as 'Input Cost Reference Year' =</t>
  </si>
  <si>
    <t>Input Data</t>
  </si>
  <si>
    <t>Periodic Replacement Costs and Savings and Replacement Period</t>
  </si>
  <si>
    <t>Gas Inputs</t>
  </si>
  <si>
    <t>Category Name</t>
  </si>
  <si>
    <t>Measure Name</t>
  </si>
  <si>
    <t>Savings (kwh/yr)</t>
  </si>
  <si>
    <t>Life (yrs)</t>
  </si>
  <si>
    <t>Capital Cost</t>
  </si>
  <si>
    <t>Annual O&amp;M</t>
  </si>
  <si>
    <t>Shape Pointer</t>
  </si>
  <si>
    <t>Non-E Val ($/yr)</t>
  </si>
  <si>
    <t>Cost 1 ($)</t>
  </si>
  <si>
    <t xml:space="preserve">Period 1 </t>
  </si>
  <si>
    <t>Cost 2 ($)</t>
  </si>
  <si>
    <t>Period 2</t>
  </si>
  <si>
    <t>Cost 3 ($)</t>
  </si>
  <si>
    <t>Period 3</t>
  </si>
  <si>
    <t>Savings (therms/yr)</t>
  </si>
  <si>
    <t>Category</t>
  </si>
  <si>
    <t>Measure</t>
  </si>
  <si>
    <t>TRC B/C Ratio</t>
  </si>
  <si>
    <t>TRC Net Levelized Cost (Net of All Benefits) in mills/kWh</t>
  </si>
  <si>
    <t>First Cost</t>
  </si>
  <si>
    <t>Admin Cost</t>
  </si>
  <si>
    <t>First Year Program Cost</t>
  </si>
  <si>
    <t>PV Cost</t>
  </si>
  <si>
    <t>PV Benefits</t>
  </si>
  <si>
    <t>Unit Program Cost: First Year Program Cost in $/average annual kW saved</t>
  </si>
  <si>
    <t>Utility System Net Levelized Cost (Net of T&amp;D Capacity Benefits, Act Credit &amp; Risk-Mitigation) in mills/kWh</t>
  </si>
  <si>
    <t>Net Electric &amp; Gas System CO2 Avoided (Lifetime Tons)</t>
  </si>
  <si>
    <t>Jan</t>
  </si>
  <si>
    <t>Feb</t>
  </si>
  <si>
    <t>Mar</t>
  </si>
  <si>
    <t>Apr</t>
  </si>
  <si>
    <t>May</t>
  </si>
  <si>
    <t>Jun</t>
  </si>
  <si>
    <t>Jul</t>
  </si>
  <si>
    <t>Aug</t>
  </si>
  <si>
    <t>Sep</t>
  </si>
  <si>
    <t>Oct</t>
  </si>
  <si>
    <t>Nov</t>
  </si>
  <si>
    <t>Dec</t>
  </si>
  <si>
    <t>Shaped Savings Results; By Category and sorted by TRC BC ratio</t>
  </si>
  <si>
    <t>Busbar Savings</t>
  </si>
  <si>
    <t>Vintage</t>
  </si>
  <si>
    <t>Single Family</t>
  </si>
  <si>
    <t>Multifamily - Low Rise</t>
  </si>
  <si>
    <t>Multifamily - High Rise</t>
  </si>
  <si>
    <t>Manufactured</t>
  </si>
  <si>
    <t>New</t>
  </si>
  <si>
    <t>Methodology</t>
  </si>
  <si>
    <t>Measure Bundle</t>
  </si>
  <si>
    <t>Report Year</t>
  </si>
  <si>
    <t>REG_TOTAL_STOCK_# HOMES</t>
  </si>
  <si>
    <t>Total Regional Stock</t>
  </si>
  <si>
    <t>Applicability</t>
  </si>
  <si>
    <t>MAX</t>
  </si>
  <si>
    <t>Achievability =&gt;</t>
  </si>
  <si>
    <t>SUPPLY CURVE SAVINGS BY BUNDLE</t>
  </si>
  <si>
    <t>kWh per home</t>
  </si>
  <si>
    <t>lvlcost</t>
  </si>
  <si>
    <t>segment</t>
  </si>
  <si>
    <t>measure</t>
  </si>
  <si>
    <t>RECOMBINE MEASURE BUNDLES INTO SUPPLY CURVE CUMULATIVE</t>
  </si>
  <si>
    <t>Block 1: &lt;= 0 mills/kWh</t>
  </si>
  <si>
    <t>&gt;=-9999</t>
  </si>
  <si>
    <t>&lt;=0</t>
  </si>
  <si>
    <t>&gt;0</t>
  </si>
  <si>
    <t>&lt;=10</t>
  </si>
  <si>
    <t>Block 3: 10-20 mills/kWh</t>
  </si>
  <si>
    <t>&gt;10</t>
  </si>
  <si>
    <t>&lt;=20</t>
  </si>
  <si>
    <t>Block 4: 20-30 mills/kWh</t>
  </si>
  <si>
    <t>&gt;20</t>
  </si>
  <si>
    <t>&lt;=30</t>
  </si>
  <si>
    <t>Block 5: 30-40 mills/kWh</t>
  </si>
  <si>
    <t>&gt;30</t>
  </si>
  <si>
    <t>&lt;=40</t>
  </si>
  <si>
    <t>Block 6: 40-50 mills/kWh</t>
  </si>
  <si>
    <t>&gt;40</t>
  </si>
  <si>
    <t>&lt;=50</t>
  </si>
  <si>
    <t>Block 7: 50-60 mills/kWh</t>
  </si>
  <si>
    <t>&gt;50</t>
  </si>
  <si>
    <t>&lt;=60</t>
  </si>
  <si>
    <t>Block 8: 60-70 mills/kWh</t>
  </si>
  <si>
    <t>&gt;60</t>
  </si>
  <si>
    <t>&lt;=70</t>
  </si>
  <si>
    <t>Block 9: 70-80 mills/kWh</t>
  </si>
  <si>
    <t>&gt;70</t>
  </si>
  <si>
    <t>&lt;=80</t>
  </si>
  <si>
    <t>Block 10: 80-90 mills/kWh</t>
  </si>
  <si>
    <t>&gt;80</t>
  </si>
  <si>
    <t>&lt;=90</t>
  </si>
  <si>
    <t>Block 11: 90-100 mills/kWh</t>
  </si>
  <si>
    <t>&gt;90</t>
  </si>
  <si>
    <t>&lt;=100</t>
  </si>
  <si>
    <t>Block 12: 100-110 mills/kWh</t>
  </si>
  <si>
    <t>&gt;100</t>
  </si>
  <si>
    <t>&lt;=110</t>
  </si>
  <si>
    <t>Block 13: 110-120 mills/kWh</t>
  </si>
  <si>
    <t>&gt;110</t>
  </si>
  <si>
    <t>&lt;=120</t>
  </si>
  <si>
    <t>Block 14: 120-130 mills/kWh</t>
  </si>
  <si>
    <t>&gt;120</t>
  </si>
  <si>
    <t>&lt;=130</t>
  </si>
  <si>
    <t>Block 15: 130-140 mills/kWh</t>
  </si>
  <si>
    <t>&gt;130</t>
  </si>
  <si>
    <t>&lt;=140</t>
  </si>
  <si>
    <t>Block 16: 140-150 mills/kWh</t>
  </si>
  <si>
    <t>&gt;140</t>
  </si>
  <si>
    <t>&lt;=150</t>
  </si>
  <si>
    <t>Block 17: 150-160 mills/kWh</t>
  </si>
  <si>
    <t>&gt;150</t>
  </si>
  <si>
    <t>&lt;=160</t>
  </si>
  <si>
    <t>Block 18: 160-170 mills/kWh</t>
  </si>
  <si>
    <t>&gt;160</t>
  </si>
  <si>
    <t>&lt;=170</t>
  </si>
  <si>
    <t>Block 19: 170-180 mills/kWh</t>
  </si>
  <si>
    <t>&gt;170</t>
  </si>
  <si>
    <t>&lt;=180</t>
  </si>
  <si>
    <t>Block 20: 180-190 mills/kWh</t>
  </si>
  <si>
    <t>&gt;180</t>
  </si>
  <si>
    <t>&lt;=190</t>
  </si>
  <si>
    <t>Block 21: 190-200 mills/kWh</t>
  </si>
  <si>
    <t>&gt;190</t>
  </si>
  <si>
    <t>&lt;=200</t>
  </si>
  <si>
    <t>&gt;200</t>
  </si>
  <si>
    <t>&lt;=9999</t>
  </si>
  <si>
    <t>RECOMBINE MEASURE BUNDLES INTO SUPPLY CURVE INCREMENTAL</t>
  </si>
  <si>
    <t>Total per Year</t>
  </si>
  <si>
    <t>Total Cumulative</t>
  </si>
  <si>
    <t>New Homes only.  Also use this to calculate New Homes not addressed due to acheivability, and send that to the Retrofit pool.</t>
  </si>
  <si>
    <t># homes</t>
  </si>
  <si>
    <t>REG_TOTAL_STOCK_FLOOR</t>
  </si>
  <si>
    <t>SC_New</t>
  </si>
  <si>
    <t>CALCULATE # HOMES NOT ADDRESSED BY MEASURE AND ADD TO RETROFIT POOL</t>
  </si>
  <si>
    <t># HOMES RESIDUAL &amp; AVAILABLE TO NR/RETROFIT POOL</t>
  </si>
  <si>
    <t>APPLICABLE NEW STOCK MINUS TREATED</t>
  </si>
  <si>
    <t>Homes</t>
  </si>
  <si>
    <t>Total Residual to NR/Retro Pool</t>
  </si>
  <si>
    <t>='[7P Forecasts D1.xlsx]Res Forecast (Base Case)'!$D$5</t>
  </si>
  <si>
    <t>Measure Life</t>
  </si>
  <si>
    <t>Saturation</t>
  </si>
  <si>
    <t>Measure:</t>
  </si>
  <si>
    <t>Item</t>
  </si>
  <si>
    <t>Methods &amp; Sources</t>
  </si>
  <si>
    <t>Note</t>
  </si>
  <si>
    <t>7P Updates</t>
  </si>
  <si>
    <t>Measures Described</t>
  </si>
  <si>
    <t>Energy Savings Calculation Basis</t>
  </si>
  <si>
    <t>Applicable Stock</t>
  </si>
  <si>
    <t>Baseline Saturation</t>
  </si>
  <si>
    <t>Baseline HVAC Loads</t>
  </si>
  <si>
    <t>NA</t>
  </si>
  <si>
    <t>Permutations</t>
  </si>
  <si>
    <t>Costs</t>
  </si>
  <si>
    <t>Savings Shape</t>
  </si>
  <si>
    <t>Achievable Ramp Rate</t>
  </si>
  <si>
    <t>Retro or LO</t>
  </si>
  <si>
    <t>Early Retrofit Parameters</t>
  </si>
  <si>
    <t>R or L</t>
  </si>
  <si>
    <t>Savings 2
(kWh)</t>
  </si>
  <si>
    <t>Remaining
Life (yrs)</t>
  </si>
  <si>
    <t>Salvage Value ($)</t>
  </si>
  <si>
    <t>aMW</t>
  </si>
  <si>
    <t>Existing</t>
  </si>
  <si>
    <t>Total</t>
  </si>
  <si>
    <t>TRC Net Levelized Cost (Net of All Benefits)</t>
  </si>
  <si>
    <t>Block 22: 200-210 mills/kWh</t>
  </si>
  <si>
    <t>&lt;=210</t>
  </si>
  <si>
    <t>Block 23: 210-220 mills/kWh</t>
  </si>
  <si>
    <t>&gt;210</t>
  </si>
  <si>
    <t>&lt;=220</t>
  </si>
  <si>
    <t>Block 24: 220-230 mills/kWh</t>
  </si>
  <si>
    <t>&gt;220</t>
  </si>
  <si>
    <t>&lt;=230</t>
  </si>
  <si>
    <t>Block 25: 230-240 mills/kWh</t>
  </si>
  <si>
    <t>&gt;230</t>
  </si>
  <si>
    <t>&lt;=240</t>
  </si>
  <si>
    <t>Block 26: 240-250 mills/kWh</t>
  </si>
  <si>
    <t>&gt;240</t>
  </si>
  <si>
    <t>&lt;=250</t>
  </si>
  <si>
    <t>Block 27: 250-260 mills/kWh</t>
  </si>
  <si>
    <t>&gt;250</t>
  </si>
  <si>
    <t>&lt;=260</t>
  </si>
  <si>
    <t>Block 28: 260-270 mills/kWh</t>
  </si>
  <si>
    <t>&gt;260</t>
  </si>
  <si>
    <t>&lt;=270</t>
  </si>
  <si>
    <t>Block 29: 270-280 mills/kWh</t>
  </si>
  <si>
    <t>&gt;270</t>
  </si>
  <si>
    <t>&lt;=280</t>
  </si>
  <si>
    <t>Block 30: 280-290 mills/kWh</t>
  </si>
  <si>
    <t>&gt;280</t>
  </si>
  <si>
    <t>&lt;=290</t>
  </si>
  <si>
    <t>Block 31: 290-300 mills/kWh</t>
  </si>
  <si>
    <t>&gt;290</t>
  </si>
  <si>
    <t>&lt;=300</t>
  </si>
  <si>
    <t>Block 32: &gt; 300 mills/kWh</t>
  </si>
  <si>
    <t>&gt;300</t>
  </si>
  <si>
    <t>Savings Allocation by Category and Month for Segments 1</t>
  </si>
  <si>
    <t>Savings Allocation by Category and Month for Segments 2</t>
  </si>
  <si>
    <t>Wholesale KW</t>
  </si>
  <si>
    <t>Block 2: 0-10 mills/kWh</t>
  </si>
  <si>
    <t>WA</t>
  </si>
  <si>
    <t>Washington</t>
  </si>
  <si>
    <t>Idaho</t>
  </si>
  <si>
    <t>End Use:</t>
  </si>
  <si>
    <t>Ramp Rate</t>
  </si>
  <si>
    <t>Resource Type</t>
  </si>
  <si>
    <t>Measure Category</t>
  </si>
  <si>
    <t>Sector</t>
  </si>
  <si>
    <t>End Use</t>
  </si>
  <si>
    <t>kW per unit</t>
  </si>
  <si>
    <t>kWh per unit</t>
  </si>
  <si>
    <t>Residential</t>
  </si>
  <si>
    <t>Low</t>
  </si>
  <si>
    <t>20 years</t>
  </si>
  <si>
    <t>Ground Source Heat Pump</t>
  </si>
  <si>
    <t xml:space="preserve">Ground Source Heat Pump </t>
  </si>
  <si>
    <t>not in 6P</t>
  </si>
  <si>
    <t>Based on SEEM runs, used for RTF ResGSHP_v2_2</t>
  </si>
  <si>
    <t>Rural homes</t>
  </si>
  <si>
    <t>SEEM</t>
  </si>
  <si>
    <t>HZ/CZ</t>
  </si>
  <si>
    <t>ASHP</t>
  </si>
  <si>
    <t>using ASHP as proxy for shape</t>
  </si>
  <si>
    <t>RTF</t>
  </si>
  <si>
    <t>costs were all over the map, most of the variation is attributable to contractor experience, site conditions, federal 30% incentives, local utility incentives, house peak load</t>
  </si>
  <si>
    <t xml:space="preserve">Inside Heat Pump and Costs </t>
  </si>
  <si>
    <t>factor</t>
  </si>
  <si>
    <t>Ton</t>
  </si>
  <si>
    <t>Inside Piping, Pumps, Etc</t>
  </si>
  <si>
    <t>Total Costs</t>
  </si>
  <si>
    <t>Input from 2 seasoned Geo contractors</t>
  </si>
  <si>
    <t>Sean Hogan, Duval, WA, 425.844.2421</t>
  </si>
  <si>
    <t>1100/ton</t>
  </si>
  <si>
    <t>Paul Smith, Yakima, AirFX 509.225.3420</t>
  </si>
  <si>
    <t>1300/ton</t>
  </si>
  <si>
    <t>John Dibble, climate master Rep.</t>
  </si>
  <si>
    <t>Sean Dillon - water furnace Rep</t>
  </si>
  <si>
    <t>Experienced Contractor Costs to install a 3 ton geo system</t>
  </si>
  <si>
    <t>Inside Eqmt</t>
  </si>
  <si>
    <t>Contractor unit cost</t>
  </si>
  <si>
    <t>Qty</t>
  </si>
  <si>
    <t>Contractor Cost</t>
  </si>
  <si>
    <t>Markup</t>
  </si>
  <si>
    <t>Consumer Cost</t>
  </si>
  <si>
    <t>3 Ton Heat Pump</t>
  </si>
  <si>
    <t>doubles contractor prices</t>
  </si>
  <si>
    <t>Sheet metal work</t>
  </si>
  <si>
    <t>Non Pressurized Flow Center</t>
  </si>
  <si>
    <t>Mech Room Piping</t>
  </si>
  <si>
    <t>T-stat</t>
  </si>
  <si>
    <t xml:space="preserve">Electrical </t>
  </si>
  <si>
    <t>Outside equip</t>
  </si>
  <si>
    <t>Header Piping 1-1/4 100'</t>
  </si>
  <si>
    <t>Manifolds (2)</t>
  </si>
  <si>
    <t>Loop Pipe 3/4"</t>
  </si>
  <si>
    <t>Freeze Protect</t>
  </si>
  <si>
    <t>Outside Work</t>
  </si>
  <si>
    <t>Mobilization of Excavator</t>
  </si>
  <si>
    <t>Excavation (price/cu yd)</t>
  </si>
  <si>
    <t>Installation of Piping</t>
  </si>
  <si>
    <t>Piping Fusing</t>
  </si>
  <si>
    <t>Pressure Test</t>
  </si>
  <si>
    <t>Inspection</t>
  </si>
  <si>
    <t>Fill and Purge</t>
  </si>
  <si>
    <t>Backfill (price/cu yd)</t>
  </si>
  <si>
    <t>Sub-Total</t>
  </si>
  <si>
    <t>Total Price</t>
  </si>
  <si>
    <t>Inside Price</t>
  </si>
  <si>
    <t>Outside Price</t>
  </si>
  <si>
    <t>SEATTLE AREA</t>
  </si>
  <si>
    <t xml:space="preserve">PSE: Dennis Rominger </t>
  </si>
  <si>
    <t>Program Name</t>
  </si>
  <si>
    <t>Measure Paid Date</t>
  </si>
  <si>
    <t>Premise City</t>
  </si>
  <si>
    <t>Premise State</t>
  </si>
  <si>
    <t>Premise Zip Code</t>
  </si>
  <si>
    <t>Paid Grant Amt</t>
  </si>
  <si>
    <t>Total Cost</t>
  </si>
  <si>
    <t>Source</t>
  </si>
  <si>
    <t>Occupants</t>
  </si>
  <si>
    <t>Type of Home</t>
  </si>
  <si>
    <t>Foundation Type</t>
  </si>
  <si>
    <t>Heated Square Feet</t>
  </si>
  <si>
    <t>Year Built</t>
  </si>
  <si>
    <t>Contractor Name</t>
  </si>
  <si>
    <t>Residential Retrofit Rebates</t>
  </si>
  <si>
    <t>Geothermal Heat Pump</t>
  </si>
  <si>
    <t>CLE ELUM</t>
  </si>
  <si>
    <t>Rebate Form</t>
  </si>
  <si>
    <t>Crawl Space</t>
  </si>
  <si>
    <t>MERCER ISLAND</t>
  </si>
  <si>
    <t>Basement</t>
  </si>
  <si>
    <t>Bel-Red Heating &amp; AC</t>
  </si>
  <si>
    <t>BUCKLEY</t>
  </si>
  <si>
    <t>BAINBRIDGE ISLAND</t>
  </si>
  <si>
    <t>OLYMPIA</t>
  </si>
  <si>
    <t>SOG</t>
  </si>
  <si>
    <t>Sunset Air</t>
  </si>
  <si>
    <t>YELM</t>
  </si>
  <si>
    <t>Fax</t>
  </si>
  <si>
    <t xml:space="preserve">  </t>
  </si>
  <si>
    <t>Sullivan Heating &amp; Cooling</t>
  </si>
  <si>
    <t>RENTON</t>
  </si>
  <si>
    <t>Greenwood Heating &amp; AC</t>
  </si>
  <si>
    <t>BELLEVUE</t>
  </si>
  <si>
    <t>LACEY</t>
  </si>
  <si>
    <t>MAPLE VALLEY</t>
  </si>
  <si>
    <t>All Star Heating &amp; Air Conditioning</t>
  </si>
  <si>
    <t>TENINO</t>
  </si>
  <si>
    <t>SILVERDALE</t>
  </si>
  <si>
    <t>SEDRO WOOLLEY</t>
  </si>
  <si>
    <t>PORT TOWNSEND</t>
  </si>
  <si>
    <t>Absolute Air</t>
  </si>
  <si>
    <t>Self Install</t>
  </si>
  <si>
    <t>SUMNER</t>
  </si>
  <si>
    <t>KIRKLAND</t>
  </si>
  <si>
    <t xml:space="preserve">SEATTLE AREA - Vertical </t>
  </si>
  <si>
    <t>Sean Dillion Water Furnace Rep Seattle Market</t>
  </si>
  <si>
    <t>Here is some costs associated with going vertical loops for geothermal in Puget area. I will find out more on horizontal and heat pumps with desuperheater. Typically we look at 250’ per ton, so a 4 ton system would have 4 bores, at 250 deep. So 1000 at $ 16/ ft = 16000. Other drillers cost can vary from $12/ ft to $18/ ft depending on area and amount of bores. More bores, less per foot.</t>
  </si>
  <si>
    <t>Dealer # 1- Seattle Area</t>
  </si>
  <si>
    <t>Ground loops - between $8000-12000 for 2 - 6 ton horiz loops, complete.</t>
  </si>
  <si>
    <t>Vertical loops are 6000 - 8000 per ton, installed, complete to the building.</t>
  </si>
  <si>
    <t>Heat pumps - 10000 to 12000 installed (packaged)</t>
  </si>
  <si>
    <t>W-W units are 3000 - 4000 addl for the storage tank, pumps, controls, and plumbing, not counting the radiant system and controls.</t>
  </si>
  <si>
    <t>Desuperheater connection is 2000 - 3000 addl for connections and sometimes a preheat tank.</t>
  </si>
  <si>
    <t>Assume 1000 - 3000 more for mobilization and startup costs.</t>
  </si>
  <si>
    <t>we bid jobs at about $20/foot for vertical as the drillers were charging 15-16 and we added a mark up for 'management' fee.  If we are doing 250/ton that is $5,000 per ton.  The above costs above included the pipe, manifold and maybe the methanol mix. I think I remember Josh saying it was about 4-6K for the excavation and back fill for a 3-5 ton job...</t>
  </si>
  <si>
    <t>Dealer # 2 Portland area</t>
  </si>
  <si>
    <t>Outside Costs for Horizontal Loop installs with excavation included</t>
  </si>
  <si>
    <t>3 Ton loop 800’ per circuit, manifold welded in with supply and return stubbed up and under pressure at 100 psi    $8,700.00</t>
  </si>
  <si>
    <t>4 Ton loop 800’               “”””                                                                                                                                                                               $10,250.00</t>
  </si>
  <si>
    <t>5 Ton loop 800’                 “”””””                                                                                                                                                                         $11,880.00</t>
  </si>
  <si>
    <t>6 Ton loop 800’                   “””””””                                                                                                                                                                     $12,750.00</t>
  </si>
  <si>
    <t>Outside Cost for Vertical Loop installed with average distance excavation cost included</t>
  </si>
  <si>
    <t>2 Ton loop installed, 2 – 200’ wells with loop installed and grouted, manifold welded in with supply and return stubbed up and under pressure at 100 PSI $10,600.00</t>
  </si>
  <si>
    <t>3 Ton loop installed,3  - 200’ wells   “””””””                                                                                                                                                                                                              $14,000 to 17,655.00</t>
  </si>
  <si>
    <t>4 Ton loop installed, 4-  200’ wells      “”””””””                                                                                                                                                                                                         $18,700 to 22,900.00</t>
  </si>
  <si>
    <t>5 Ton loop installed, 5-  200’ wells        “”””””””                                                                                                                                                                                                       $23,200 to 26,200.00</t>
  </si>
  <si>
    <t>6 Ton loop installed, 6- 200’ wells          “”””””””                                                                                                                                                                                                      $27,000 to 31,000.00</t>
  </si>
  <si>
    <t>Waterfurnace retail cost for all inside work to include NDV (Envision Dual Compressor)  units with ECM blower and Flow center and hose kit, piping to wall and flush and fill</t>
  </si>
  <si>
    <t>3 ton system    $13,700.00</t>
  </si>
  <si>
    <t>4 ton system    $14,980.00</t>
  </si>
  <si>
    <t>5 ton system    $16,320.00</t>
  </si>
  <si>
    <t>6 ton system    $17,600.00</t>
  </si>
  <si>
    <t>On the Desuperheater option I never gave them a choice unless it just didn’t make sense for the application, But it would be   $1192.50 plus plumbing cost, which averaged $650.00 for the standard install.</t>
  </si>
  <si>
    <t xml:space="preserve">WF Dealer in Portland </t>
  </si>
  <si>
    <t>Inside</t>
  </si>
  <si>
    <t xml:space="preserve">Outside </t>
  </si>
  <si>
    <t>Cost/ton</t>
  </si>
  <si>
    <t>Sean Dillon</t>
  </si>
  <si>
    <t>3 ton</t>
  </si>
  <si>
    <t xml:space="preserve">Region Manager Dealer West </t>
  </si>
  <si>
    <t>4 ton</t>
  </si>
  <si>
    <t>o- 877-593-8029</t>
  </si>
  <si>
    <t>5 ton</t>
  </si>
  <si>
    <r>
      <t xml:space="preserve">c- </t>
    </r>
    <r>
      <rPr>
        <b/>
        <sz val="7.5"/>
        <rFont val="Arial"/>
        <family val="2"/>
      </rPr>
      <t>260-442-6581</t>
    </r>
  </si>
  <si>
    <t>6 ton</t>
  </si>
  <si>
    <r>
      <t xml:space="preserve">f- </t>
    </r>
    <r>
      <rPr>
        <b/>
        <sz val="7.5"/>
        <rFont val="Arial"/>
        <family val="2"/>
      </rPr>
      <t>877-700-7199</t>
    </r>
  </si>
  <si>
    <t>e- sean.dillon@waterfurnace.com</t>
  </si>
  <si>
    <t>w- dillon.waterfurnace.com</t>
  </si>
  <si>
    <t>www.waterfurnace.com</t>
  </si>
  <si>
    <t>MONTANA</t>
  </si>
  <si>
    <t>From Jim Maunder</t>
  </si>
  <si>
    <t>Member Name</t>
  </si>
  <si>
    <t>Street Address</t>
  </si>
  <si>
    <t>Geo-thermal Size</t>
  </si>
  <si>
    <t>System Cost</t>
  </si>
  <si>
    <t>New/Retorfit</t>
  </si>
  <si>
    <t>Cost</t>
  </si>
  <si>
    <t>Date Energized</t>
  </si>
  <si>
    <t>Stan Burk</t>
  </si>
  <si>
    <t>6 ton open loop</t>
  </si>
  <si>
    <t>retro</t>
  </si>
  <si>
    <t>Greg lee</t>
  </si>
  <si>
    <t>5 ton closed loop</t>
  </si>
  <si>
    <t>$24,15</t>
  </si>
  <si>
    <t>new</t>
  </si>
  <si>
    <t>Geo-Heat Pump Installed Cost from Ravalli, Lincoln Electric and Vigilante</t>
  </si>
  <si>
    <t>Repeat of data on left</t>
  </si>
  <si>
    <t>Utility</t>
  </si>
  <si>
    <t>Size</t>
  </si>
  <si>
    <t>Date</t>
  </si>
  <si>
    <t>Includes Excavation?</t>
  </si>
  <si>
    <t>Extras</t>
  </si>
  <si>
    <t>Installers if known</t>
  </si>
  <si>
    <t>Notes</t>
  </si>
  <si>
    <t>2006$</t>
  </si>
  <si>
    <t>Capacity</t>
  </si>
  <si>
    <t>Includes Excavation? (1=Yes)</t>
  </si>
  <si>
    <t>Size of Heat Pump</t>
  </si>
  <si>
    <t>Heat pump Cost</t>
  </si>
  <si>
    <t>Cost per ton no excavation</t>
  </si>
  <si>
    <t>Jim Maunder</t>
  </si>
  <si>
    <t>Vigilante Electric Co-op</t>
  </si>
  <si>
    <t>5 ton - closed loop</t>
  </si>
  <si>
    <t>No</t>
  </si>
  <si>
    <t>Climate Master, Genesis</t>
  </si>
  <si>
    <t>Energy Recon</t>
  </si>
  <si>
    <t>include Excavation</t>
  </si>
  <si>
    <t>Water Furnace, EO6O</t>
  </si>
  <si>
    <t>West Electric</t>
  </si>
  <si>
    <t>6 -ton open</t>
  </si>
  <si>
    <t>Water Furnace #EW060, water to water unit, EZ series 410A</t>
  </si>
  <si>
    <t>GPM</t>
  </si>
  <si>
    <t>Climate Master</t>
  </si>
  <si>
    <t>6-ton horizontal</t>
  </si>
  <si>
    <t>Climate Master #TTV038, horizontal unit</t>
  </si>
  <si>
    <t>4 ton - open loop (well)</t>
  </si>
  <si>
    <t>unknow</t>
  </si>
  <si>
    <t>N/A</t>
  </si>
  <si>
    <t>Air Source, new construction, 8.5 HSPF/14.5 SEER</t>
  </si>
  <si>
    <t>Excelaire</t>
  </si>
  <si>
    <t>4.5 and 3 ton closed loop</t>
  </si>
  <si>
    <t>Water Furnace Synergy 3 and SXW036 Water to Water</t>
  </si>
  <si>
    <t>4.5 &amp; 3 ton</t>
  </si>
  <si>
    <t>Air Source, retrofit 8.8 HSPF/17 SEER</t>
  </si>
  <si>
    <t>6 ton closed loop</t>
  </si>
  <si>
    <t>Hydron</t>
  </si>
  <si>
    <t>Tim Corrigan</t>
  </si>
  <si>
    <t>4 ton - closed loop</t>
  </si>
  <si>
    <t>Water Furnace - Premier</t>
  </si>
  <si>
    <t>Two, 6 ton closed loop (pond)</t>
  </si>
  <si>
    <t>Water Furnace</t>
  </si>
  <si>
    <t>2 - 6 ton</t>
  </si>
  <si>
    <t>Climate Master - Tranquility</t>
  </si>
  <si>
    <t>Two 3 ton open loop (well)</t>
  </si>
  <si>
    <t>Climate Master - Genesis</t>
  </si>
  <si>
    <t>2 - 3 ton</t>
  </si>
  <si>
    <t>4.5 ton - closed loop</t>
  </si>
  <si>
    <t>Hydron - Colony</t>
  </si>
  <si>
    <t>Brian Robles</t>
  </si>
  <si>
    <t>5 ton - open loop (well)</t>
  </si>
  <si>
    <t>Ravalli Electric Co-op</t>
  </si>
  <si>
    <t xml:space="preserve">Climate Master, desuperheater, </t>
  </si>
  <si>
    <t>Lincoln Electric</t>
  </si>
  <si>
    <t>4 - ton Slinky</t>
  </si>
  <si>
    <t>Humidifier, electronic air cleaner, desuperheater, all other house fans</t>
  </si>
  <si>
    <t>Slinky</t>
  </si>
  <si>
    <t>4 - ton Horizontal</t>
  </si>
  <si>
    <t>Humidifier, air exchanger, desuperheater, all other house fans</t>
  </si>
  <si>
    <t>Horizontal</t>
  </si>
  <si>
    <t>6 - ton Horizontal</t>
  </si>
  <si>
    <t>Humidifier, electronic air cleaner, air exchanger, all other house fans</t>
  </si>
  <si>
    <t>5 - ton Horizontal</t>
  </si>
  <si>
    <t>?</t>
  </si>
  <si>
    <t>no</t>
  </si>
  <si>
    <t>OTEC</t>
  </si>
  <si>
    <t>Yes</t>
  </si>
  <si>
    <t xml:space="preserve"> 3.5-Ton, all done by contractor</t>
  </si>
  <si>
    <t xml:space="preserve"> 6-Ton with new furnace and ductwork; 6 trenches 150’ each with header main line</t>
  </si>
  <si>
    <t xml:space="preserve"> 4-Ton, new construction, includes ductwork of 22 runs and two returns The ground was very rocky and took more labor for digging.</t>
  </si>
  <si>
    <t>3.5-Ton, all done by contractor</t>
  </si>
  <si>
    <t xml:space="preserve"> 5-Ton, new construction, customer did own trenching and backfilling</t>
  </si>
  <si>
    <t xml:space="preserve"> Cust. Did own trenching &amp; backfilling</t>
  </si>
  <si>
    <t xml:space="preserve"> 5-Ton system, customer did own trenching and backfilling</t>
  </si>
  <si>
    <t>Source:</t>
  </si>
  <si>
    <t xml:space="preserve">Mark Jerome </t>
  </si>
  <si>
    <t>541-391-0620</t>
  </si>
  <si>
    <t>Pacific Air Comfort</t>
  </si>
  <si>
    <t>Installed Cost</t>
  </si>
  <si>
    <t>Mid</t>
  </si>
  <si>
    <t>High</t>
  </si>
  <si>
    <t>GSHP Cost</t>
  </si>
  <si>
    <t>Loop</t>
  </si>
  <si>
    <t>Loop labor &amp; materials</t>
  </si>
  <si>
    <t>Commissiong &amp; Other</t>
  </si>
  <si>
    <t>Total Installed Cost</t>
  </si>
  <si>
    <t>GSHP Installed Cost/Ton</t>
  </si>
  <si>
    <t>Air Source</t>
  </si>
  <si>
    <t>GSHP Incremental Cost</t>
  </si>
  <si>
    <t>GSHP Incremental Cost/Ton</t>
  </si>
  <si>
    <t>Assumes 3-ton unit</t>
  </si>
  <si>
    <t>Year 2006$</t>
  </si>
  <si>
    <t>Unit Size (Tons)</t>
  </si>
  <si>
    <t>Base Air Source HP System Cost</t>
  </si>
  <si>
    <t>Total GeoHP System Cost</t>
  </si>
  <si>
    <t>Incremental Cost over Air Source HP</t>
  </si>
  <si>
    <t>Incremental Cost over FAF</t>
  </si>
  <si>
    <t>Incremental Cost over Zonal</t>
  </si>
  <si>
    <t>Energy Star Geothermal Heat Pump Key Product Criteria</t>
  </si>
  <si>
    <t>Specification</t>
  </si>
  <si>
    <t>Open Loop: &gt;=3.6 COP (H); &gt;=16.2 EER (C)*</t>
  </si>
  <si>
    <t>Closed Loop: &gt;=3.3 COP (H); &gt;=14.1 EER (C)*</t>
  </si>
  <si>
    <t>Direct Expansion (DX): &gt;=3.5 COP (H); &gt;=15 EER (C)*</t>
  </si>
  <si>
    <t>Product Type</t>
  </si>
  <si>
    <t>EER</t>
  </si>
  <si>
    <t>COP</t>
  </si>
  <si>
    <t>Closed Loop</t>
  </si>
  <si>
    <t>With integrated WH</t>
  </si>
  <si>
    <t>Open Loop</t>
  </si>
  <si>
    <t>DX</t>
  </si>
  <si>
    <t>Ecotope Cost Estimate</t>
  </si>
  <si>
    <t>Costs to install a 3 ton geo system</t>
  </si>
  <si>
    <t>Maunder</t>
  </si>
  <si>
    <t>MJ</t>
  </si>
  <si>
    <t>Ecotope</t>
  </si>
  <si>
    <t xml:space="preserve">Mid </t>
  </si>
  <si>
    <t>Cost estimate</t>
  </si>
  <si>
    <t>GSHP Inside Costs</t>
  </si>
  <si>
    <t>-</t>
  </si>
  <si>
    <t>Outside Loop</t>
  </si>
  <si>
    <t>Cx</t>
  </si>
  <si>
    <t xml:space="preserve">Total </t>
  </si>
  <si>
    <t>Cost/Ton</t>
  </si>
  <si>
    <t>From John Dibble (Climatemaster Regional Manager)</t>
  </si>
  <si>
    <t>These prices are not dealer cost but marked fairly close to what I think most dealers are selling at based on input from 2 dealers . The DHW ( domestic hot water generator with internal circ pump ) is priced separate from the units but the heat pump cost does include our standard 10 year all parts and 5 yr labor warranty. I cannot deduct that. I have also included the average consumer cost, PER TON, for horizontal ground loops installed for the coastal areas ( I-5 corridor from Seattle down to San Fancisco ) and east of the Cascades, Eastern Wa, Eastern Oregon, Idaho,  Montana etc.  The difference between those area cost is related to ground temps to OD air temps which changes the trench and pipe lengths.</t>
  </si>
  <si>
    <t>Call if you have any questions.....jd</t>
  </si>
  <si>
    <r>
      <t>Unit #</t>
    </r>
    <r>
      <rPr>
        <sz val="10"/>
        <color indexed="30"/>
        <rFont val="Tahoma"/>
        <family val="2"/>
      </rPr>
      <t xml:space="preserve">         </t>
    </r>
    <r>
      <rPr>
        <b/>
        <sz val="10"/>
        <color indexed="30"/>
        <rFont val="Tahoma"/>
        <family val="2"/>
      </rPr>
      <t>Unit size </t>
    </r>
    <r>
      <rPr>
        <sz val="10"/>
        <color indexed="30"/>
        <rFont val="Tahoma"/>
        <family val="2"/>
      </rPr>
      <t xml:space="preserve">             </t>
    </r>
    <r>
      <rPr>
        <b/>
        <sz val="10"/>
        <color indexed="30"/>
        <rFont val="Tahoma"/>
        <family val="2"/>
      </rPr>
      <t> Consumer Price</t>
    </r>
  </si>
  <si>
    <t>TSV024 ------   2 ton                        $5,089.</t>
  </si>
  <si>
    <t>TSV036 ------   3 ton                        $5,604.</t>
  </si>
  <si>
    <t>TSV048 ------   4 ton                        $6,689</t>
  </si>
  <si>
    <t>TSV060 ------   5 ton                        $7,498.</t>
  </si>
  <si>
    <t>TSV070 ------   6 ton                        $7,870.</t>
  </si>
  <si>
    <t>DHW    ------                                     $500.</t>
  </si>
  <si>
    <r>
      <t xml:space="preserve">                </t>
    </r>
    <r>
      <rPr>
        <b/>
        <sz val="10"/>
        <color indexed="30"/>
        <rFont val="Tahoma"/>
        <family val="2"/>
      </rPr>
      <t>                Ground Loop Installed Cost per Ton         </t>
    </r>
  </si>
  <si>
    <t>I-5  Corridor                     $950. to $1,050.  per ton</t>
  </si>
  <si>
    <t>East of the Cascades       $1,100. to $1,250.  per ton</t>
  </si>
  <si>
    <t>JOHN DIBBLE</t>
  </si>
  <si>
    <t>ClimateMaster Geothermal Heat Pumps</t>
  </si>
  <si>
    <t>Western District Manager</t>
  </si>
  <si>
    <t>525 S. Florence / PO Box 1613</t>
  </si>
  <si>
    <t>Sandpoint, ID. 83864</t>
  </si>
  <si>
    <t>Ph: 208-255-7660   Cell: 208-290-1101</t>
  </si>
  <si>
    <t>john_dibble@msn.com  www.climatemaster.com </t>
  </si>
  <si>
    <t>Air Fx Heating and AC.  Paul Smith 509.225.3420</t>
  </si>
  <si>
    <t>ton</t>
  </si>
  <si>
    <t>outside costs/ton</t>
  </si>
  <si>
    <t>Andres Morrison</t>
  </si>
  <si>
    <t>ecos</t>
  </si>
  <si>
    <t>Technical Program Manager</t>
  </si>
  <si>
    <t>309 SW 6th Avenue #1000</t>
  </si>
  <si>
    <t>Portland OR 97204</t>
  </si>
  <si>
    <t>T:  503 525-2700 x142</t>
  </si>
  <si>
    <t>F:  503 525-4800</t>
  </si>
  <si>
    <t>Geothermal  Questions</t>
  </si>
  <si>
    <t xml:space="preserve">Customer Name </t>
  </si>
  <si>
    <t>1. What influenced your decision to install a Geothermal unit?</t>
  </si>
  <si>
    <t xml:space="preserve">2. Did the utility rebate/fed/state tax credit influence the purchase? </t>
  </si>
  <si>
    <r>
      <t>3.</t>
    </r>
    <r>
      <rPr>
        <b/>
        <sz val="7"/>
        <rFont val="Times New Roman"/>
        <family val="1"/>
      </rPr>
      <t xml:space="preserve">       </t>
    </r>
    <r>
      <rPr>
        <b/>
        <sz val="11"/>
        <rFont val="Calibri"/>
        <family val="2"/>
      </rPr>
      <t>Were air ducts installed along with the system, or did your house already have a duct system to begin with?</t>
    </r>
  </si>
  <si>
    <t>4. Are you happy with your unit? Why did you choose this over other types of systems?</t>
  </si>
  <si>
    <r>
      <t>5.</t>
    </r>
    <r>
      <rPr>
        <b/>
        <sz val="7"/>
        <rFont val="Times New Roman"/>
        <family val="1"/>
      </rPr>
      <t xml:space="preserve">    </t>
    </r>
    <r>
      <rPr>
        <b/>
        <sz val="11"/>
        <rFont val="Calibri"/>
        <family val="2"/>
      </rPr>
      <t>How much research would you say you did before purchasing? None, some, extensive.</t>
    </r>
  </si>
  <si>
    <t>What was the total installation cost?</t>
  </si>
  <si>
    <t>Did this cost include the digging or trenching?</t>
  </si>
  <si>
    <t>Was the cost of the equipment separated from the labor? If so, what were these.</t>
  </si>
  <si>
    <t>Has the installation made a difference in your home? Comfort? Utility Bills?</t>
  </si>
  <si>
    <t>Andy Norbeck</t>
  </si>
  <si>
    <t>The builder talked them into getting a geothermal unit due to the house being so large.</t>
  </si>
  <si>
    <t>Yes - they got a $3000 rebate/credit.</t>
  </si>
  <si>
    <t>It was a brand new house so ducts were installed at the same time.</t>
  </si>
  <si>
    <t>Probably wouldn't make the same choice again due to having many issues with the system - did not elaborate.</t>
  </si>
  <si>
    <t>n/a</t>
  </si>
  <si>
    <t>It has made a difference in the utility bills.</t>
  </si>
  <si>
    <t>Bob Bragg</t>
  </si>
  <si>
    <t>Did it for the 30% tax credit but because it is a rental he didn't get the credit for the smaller home. For long term savings &amp; it seemed like the "right thing to do".</t>
  </si>
  <si>
    <t>He did get a $3000 rebate for each unit from the local utility provider</t>
  </si>
  <si>
    <t>Installed at the same time</t>
  </si>
  <si>
    <t>Yes - did not elaborate</t>
  </si>
  <si>
    <t>Some</t>
  </si>
  <si>
    <t>Approximately $24,000 for small home &amp; $33,000 for larger home</t>
  </si>
  <si>
    <t>Comfort is good &amp; utility bills are less</t>
  </si>
  <si>
    <t>Brad Schaff</t>
  </si>
  <si>
    <t xml:space="preserve">Looked for what was the most efficient system for green energy &amp; overall savings in the long term. </t>
  </si>
  <si>
    <t xml:space="preserve">It was an enticement but didn’t influence </t>
  </si>
  <si>
    <r>
      <t xml:space="preserve">The unit is great &amp; it seems to be efficient but thinks the contractor may have not done the correct calculations when they installed the ducts. He thinks that the duct work is being overworked. </t>
    </r>
    <r>
      <rPr>
        <b/>
        <sz val="11"/>
        <color indexed="8"/>
        <rFont val="Calibri"/>
        <family val="2"/>
      </rPr>
      <t>Offered to potentially set up a QA inspection and he REALLY wants that. Emailed Marcie &amp; Kelly</t>
    </r>
  </si>
  <si>
    <t>Some - talked to local contractors, people he knew had geothermal units, etc.</t>
  </si>
  <si>
    <t>Yes: about $19,000 for system &amp; the rest is labor.</t>
  </si>
  <si>
    <t>System has issues. Wants inspection if possible.</t>
  </si>
  <si>
    <t>C:  503 523-9149</t>
  </si>
  <si>
    <t>Byron Roberts</t>
  </si>
  <si>
    <t>Always tries new services on himself before he does it for clients. Wanted to make sure it was efficient as possible so that bills will be low for when he retires</t>
  </si>
  <si>
    <t>Somewhat - they were very "generous"</t>
  </si>
  <si>
    <t>New construction so installed at the same time.</t>
  </si>
  <si>
    <t>Yes but it is kind of noisy</t>
  </si>
  <si>
    <t>He is in construction so he did a lot of research</t>
  </si>
  <si>
    <t>Can't remember cost but says it was comparable to installing a regular HP after all the rebates/credits.</t>
  </si>
  <si>
    <t>Hard to define because it was a new home so nothing to compare it to but he says it is comfortable</t>
  </si>
  <si>
    <t>ecosconsulting.com</t>
  </si>
  <si>
    <t>Casey Bruegeman</t>
  </si>
  <si>
    <t>Cost efficiency in the long term</t>
  </si>
  <si>
    <t>Yes, definitely.</t>
  </si>
  <si>
    <t>Already had existing ducts</t>
  </si>
  <si>
    <t>Didn't want to answer questions about cost</t>
  </si>
  <si>
    <t>Ceth Eslick</t>
  </si>
  <si>
    <t>Had been hearing about how efficient they were but it wasn't possible until the tax credits &amp; rebates came along</t>
  </si>
  <si>
    <t>Yes - he wouldn't have been able to do the unit w/o the rebates</t>
  </si>
  <si>
    <t>Radiant floor thermal so no duct work - just tubing</t>
  </si>
  <si>
    <t>Yes, for the most part. Takes some getting use to but overall they are satisfied</t>
  </si>
  <si>
    <t>About $25,000</t>
  </si>
  <si>
    <t>Included laying tubing in the ground.</t>
  </si>
  <si>
    <t>No - all included</t>
  </si>
  <si>
    <t>New home so nothing to compare it to but he did say it is much nicer than their old home which had forced air electric.</t>
  </si>
  <si>
    <t>Making a World of Difference</t>
  </si>
  <si>
    <t>Charlene Launer</t>
  </si>
  <si>
    <t>Long term cost</t>
  </si>
  <si>
    <t xml:space="preserve">He was sort of poking fun at me &amp; teasing me the entire time - for some of the questions I couldn't get him to give a serious answer &amp; he actually spent most of his time talking about how he doesn't think they should pay a monthly utility bill due to the up front cost being so high &amp; it seemed like he was joking but he wanted me to give him a serious answer. </t>
  </si>
  <si>
    <t>Didn't want to talk about cost</t>
  </si>
  <si>
    <t>New home so nothing to compare it to but he said that the heating &amp; cooling has met their needs.</t>
  </si>
  <si>
    <t>Chris Berry</t>
  </si>
  <si>
    <t>Efficiency</t>
  </si>
  <si>
    <t>No - it was a nice bonus but it wasn't really incentive to do it.</t>
  </si>
  <si>
    <t>About $16,000</t>
  </si>
  <si>
    <t>No - he had a family member do it the digging/trenching.</t>
  </si>
  <si>
    <t xml:space="preserve">New home so no difference but they are satisfied with their utility bills. </t>
  </si>
  <si>
    <t>Chuck Hemphill</t>
  </si>
  <si>
    <t>Cost of propane (wanted to get off) &amp; furnace was due to be replaced. BPA had a rebate.</t>
  </si>
  <si>
    <t>Yes - both rebate &amp; tax credit.</t>
  </si>
  <si>
    <t>Already had a duct system but he had an extra one put in for returns which made a huge difference</t>
  </si>
  <si>
    <t>Yes. He would do it again, especially if he was building a new home.</t>
  </si>
  <si>
    <t>Yes.</t>
  </si>
  <si>
    <t>Yes. Runs warmer &amp; costs less than propane.</t>
  </si>
  <si>
    <t>Clark Winchester</t>
  </si>
  <si>
    <t xml:space="preserve">They had enough land to do it. Very interested in energy efficiency. </t>
  </si>
  <si>
    <t>Yes - rebates/tax credit made the cost on par with other options.</t>
  </si>
  <si>
    <t>New construction - radiant floor heat &amp; they have an air handler but no ducts (?)</t>
  </si>
  <si>
    <t>About $60,000</t>
  </si>
  <si>
    <t>Yes BUT they also put in an air handler, wood stove, radiant floor &amp; solar panels and the cost of everything was combined.</t>
  </si>
  <si>
    <t>Connie Farrel</t>
  </si>
  <si>
    <t>Tax Credit. No central heating at all, heated with a pellet stove &amp; wanted something more efficient. Primary reason: tax credit</t>
  </si>
  <si>
    <t>Yes - seems to work just fine</t>
  </si>
  <si>
    <t>Some - a friend is a contractor &amp; she talked mainly to him &amp; relied on his advice.</t>
  </si>
  <si>
    <t>About $18,000</t>
  </si>
  <si>
    <t>Yes. Utility bills are MUCH lower &amp; now entire home is heated instead of just one area.</t>
  </si>
  <si>
    <t>Cora Hoye</t>
  </si>
  <si>
    <t xml:space="preserve">Built a new home &amp; had propane which was very expensive &amp; she heard how the unit saves money. </t>
  </si>
  <si>
    <t>Rebates &amp; tax credit</t>
  </si>
  <si>
    <t>Yes - very much so.</t>
  </si>
  <si>
    <t>Extensive</t>
  </si>
  <si>
    <t>About $23,000</t>
  </si>
  <si>
    <t>No - her brother did the excavating</t>
  </si>
  <si>
    <t>Yes. Utility bills are MUCH lower.</t>
  </si>
  <si>
    <t>Dan &amp; Sue Rossler</t>
  </si>
  <si>
    <t xml:space="preserve">Had an inefficient baseboard system &amp; wanted something more efficient &amp; cost effective. They had the property to do it so they did. </t>
  </si>
  <si>
    <t>About $29,000</t>
  </si>
  <si>
    <t>Yes + duct work</t>
  </si>
  <si>
    <t>No.</t>
  </si>
  <si>
    <t>Only had one utility bill since it's been installed &amp; it is higher than before but she doesn't anticipate it being higher in the future (no reason given for that) - she is optimistic.</t>
  </si>
  <si>
    <t>Dave McMillan</t>
  </si>
  <si>
    <t>Main benefits: AC &amp; heat and in the long run it is more economical</t>
  </si>
  <si>
    <t>Installed at the same time - new construction</t>
  </si>
  <si>
    <t>Yes - it's been great. No problems.</t>
  </si>
  <si>
    <t>Some - was familiar with it because he is a contractor</t>
  </si>
  <si>
    <t>About $27,000</t>
  </si>
  <si>
    <t xml:space="preserve">Excavating was separate: about $3500. </t>
  </si>
  <si>
    <t>New construction so no comparison but utility bills have been low</t>
  </si>
  <si>
    <t>Dave &amp; Rita McNutt</t>
  </si>
  <si>
    <t>Energy savings in the long run</t>
  </si>
  <si>
    <t>Yes - very.</t>
  </si>
  <si>
    <t>Neither he nor his wife could remember full cost or even an approximate cost</t>
  </si>
  <si>
    <t>New construction so no comparison but very satisified with utility bills &amp; comfort</t>
  </si>
  <si>
    <t>Dennis Axness</t>
  </si>
  <si>
    <t>Some friends of theirs had it &amp; they had good things to say</t>
  </si>
  <si>
    <t>Already had ducts but some were replaced.</t>
  </si>
  <si>
    <t xml:space="preserve">Yes - very much so. </t>
  </si>
  <si>
    <t>Doesn't know - too much other work done that was included in the cost for him to figure out cost of the geothermal unit</t>
  </si>
  <si>
    <t>Yes - it has made a lot of difference in both comfort &amp; utility bills.</t>
  </si>
  <si>
    <t>Ed Maxwell</t>
  </si>
  <si>
    <t xml:space="preserve">Cost efficiency in the long term. </t>
  </si>
  <si>
    <t>No - just a nice bonus. Didn't know about it when he made his decision.</t>
  </si>
  <si>
    <t>Did not want to discuss cost.</t>
  </si>
  <si>
    <t>Cory Klein</t>
  </si>
  <si>
    <t>Geothermal unit was already installed when they bought the home but it failed - it was 18 years old. He had liked the performance &amp; the energy costs so he chose to replace with the same type of system</t>
  </si>
  <si>
    <t>No - it was just a nice bonus.</t>
  </si>
  <si>
    <t>Already had duct system - but they did replace them as they were in bad shape.</t>
  </si>
  <si>
    <t xml:space="preserve">Very happy. </t>
  </si>
  <si>
    <t xml:space="preserve">About $12,000 for the HP. About $6000 for duct work &amp; labor </t>
  </si>
  <si>
    <t>Yes. More efficient.</t>
  </si>
  <si>
    <t>Anthony &amp; Sandra Vest</t>
  </si>
  <si>
    <t>He is an engineer &amp; he analyzed it all &amp; decided to do it (</t>
  </si>
  <si>
    <t>Yes though it doesn't work great in extremely cold weather</t>
  </si>
  <si>
    <t>About $170,000</t>
  </si>
  <si>
    <t xml:space="preserve">Yes - he said it included "everything" &amp; when I questioned him further for specifics he just said "everything". </t>
  </si>
  <si>
    <t>Erick Kinas</t>
  </si>
  <si>
    <t>Higher efficiency. Rebates. Overall cost</t>
  </si>
  <si>
    <t>Yes. Comfort level is immensely better. Utility bills have also improved: they are only slightly lower but now whole home is uniform instead of just a few rooms being hot/cool for the same cost.</t>
  </si>
  <si>
    <t>Frank Knutson</t>
  </si>
  <si>
    <t xml:space="preserve">He is in the utility business &amp; wanted it for the efficiency. </t>
  </si>
  <si>
    <t>Yes but sometimes it gets so cold outside that he has trouble heating the home.</t>
  </si>
  <si>
    <t>About $32,000</t>
  </si>
  <si>
    <t xml:space="preserve">Maybe but he doesn't remember how much each was &amp; didn't have the paperwork nearby. </t>
  </si>
  <si>
    <t>New construction so nothing to compare it to but he is satisfied with the comfort as well as the utility bills.</t>
  </si>
  <si>
    <t>Frank &amp; Ellen Wesolovski</t>
  </si>
  <si>
    <t>Energy efficient in the long run.</t>
  </si>
  <si>
    <t>Yes - works great</t>
  </si>
  <si>
    <t>No - labor was $6000 &amp; equipment was $26,000</t>
  </si>
  <si>
    <t>Yes - compared to their other home that is equal size the utility bills are half.</t>
  </si>
  <si>
    <t>Gary Winters</t>
  </si>
  <si>
    <t>Contractor is a family friend &amp; convinced them that the unit would be very efficiency</t>
  </si>
  <si>
    <t>Yes. Utility bills are barely more than when they lived in an 800sf apartment</t>
  </si>
  <si>
    <t>Greg Shipley</t>
  </si>
  <si>
    <t>Energy efficiency &amp; cost effectiveness in the long run</t>
  </si>
  <si>
    <t>No - found out about rebate after the fact</t>
  </si>
  <si>
    <t>No duct work - radiant floor instead with air exchange system. Some duct work but strictly for air flow, not for heating or cooling.</t>
  </si>
  <si>
    <t>About $33,000</t>
  </si>
  <si>
    <t>Yes + radiant floor &amp; air exchanger (air exchanger was about $3000)</t>
  </si>
  <si>
    <t>Utility bills are really, really good &amp; comfort is great.</t>
  </si>
  <si>
    <t>Greg Lee</t>
  </si>
  <si>
    <t>He likes radiant heat &amp; he had a big field - he has water to water</t>
  </si>
  <si>
    <t>No duct work - just radiant floor</t>
  </si>
  <si>
    <t>Very happy (though later he said they are still building so he hasn’t moved in yet but he believes he will be satisfied with it)</t>
  </si>
  <si>
    <t>He is a builder so he did extensive research - he has been wanting to do this for a few years</t>
  </si>
  <si>
    <t>About $28,000</t>
  </si>
  <si>
    <t>No - lump sum</t>
  </si>
  <si>
    <t>Still under construction</t>
  </si>
  <si>
    <t>Greg Doggett</t>
  </si>
  <si>
    <t xml:space="preserve">Efficiency &amp; environmentally friendly. </t>
  </si>
  <si>
    <t xml:space="preserve">No but it helped. </t>
  </si>
  <si>
    <t>Radiant floor so no duct work</t>
  </si>
  <si>
    <t>Yes - it works just fine</t>
  </si>
  <si>
    <t>About $20,000</t>
  </si>
  <si>
    <t>Yes + radiant floor &amp; HRV system</t>
  </si>
  <si>
    <t>New home so no comparison but he is very happy with his unit</t>
  </si>
  <si>
    <t>Greg &amp; Alison Scott</t>
  </si>
  <si>
    <t>Cost efficiency in the long run &amp; wanted a "green" system.</t>
  </si>
  <si>
    <t>Yes - very much</t>
  </si>
  <si>
    <t>About $45,000</t>
  </si>
  <si>
    <t>Utility company increased their rates so bills have been higher but believes that w/o the unit they would be even higher.</t>
  </si>
  <si>
    <t>Jack Liebschutz</t>
  </si>
  <si>
    <t>Home already had a geothermal unit but it was very old. They liked it so they went the same system</t>
  </si>
  <si>
    <t>No - but they did help</t>
  </si>
  <si>
    <t>New ducts were installed because they requirements had changed.</t>
  </si>
  <si>
    <t>Yes - very much. The new one is a lot better, much quieter</t>
  </si>
  <si>
    <t>About $13,000</t>
  </si>
  <si>
    <t>Didn’t have to dig/trench since they were replacing old system</t>
  </si>
  <si>
    <t>Utility bills are better. Comfort is good.</t>
  </si>
  <si>
    <t>Jacob Elk</t>
  </si>
  <si>
    <t>He is the contractor so he knew a lot about them &amp; upgraded to save money</t>
  </si>
  <si>
    <t>Already had a duct system</t>
  </si>
  <si>
    <t>He was the contractor so labor was free - wasn't able to get cost of equipment from him.</t>
  </si>
  <si>
    <t>Lower utility bills</t>
  </si>
  <si>
    <t>James McJunkin</t>
  </si>
  <si>
    <t>Intrigued by the efficiency &amp; was paying high price on propane so wanted long term lower cost option.</t>
  </si>
  <si>
    <t xml:space="preserve">Yes. </t>
  </si>
  <si>
    <t>Air ducts were added at the same time.</t>
  </si>
  <si>
    <t>Digging was about $3200 (trench &amp; backfill). Overall materials was about $10,000. The rest was labor (about 6-7000)</t>
  </si>
  <si>
    <t>It is the most comfortable home he has ever lived in-most comfortable system he has every used. Utility bills are much, much lower.</t>
  </si>
  <si>
    <t>Jay &amp; Cynthia Preston</t>
  </si>
  <si>
    <t>Slightly but not a lot</t>
  </si>
  <si>
    <t>Yes - there are a few things to figure out still as he is a new user. There have been a few issues but Ground Source Systems has come out and taken care of them.</t>
  </si>
  <si>
    <t>He had a bad experience with the local utility (Mission Valley Power) because he got "took" pretty bad by a contractor who claimed he knew what he was doing &amp; the utility said that the the contractor was fine but it turned out he wasn't qualified &amp; the prestons had to pay for another contractor to come do it all over again correctly. They spent close to $40,000 for basically 2 systems even though they only need (&amp; have) one. The same thing happened to the neighbor with the same contractor. The 1st contractor was in Colton, MT - he couldn't remember the name, something like ST Contracting. But he went out of business &amp; is long gone</t>
  </si>
  <si>
    <t>$6-7,000 to excavate &amp; the rest was equipment</t>
  </si>
  <si>
    <t>New home so no comparison but they are happy with the comfort &amp; utility bills.</t>
  </si>
  <si>
    <t>Incremental Costs</t>
  </si>
  <si>
    <t>Incremental Cost</t>
  </si>
  <si>
    <t>ASHP -&gt; GSHP</t>
  </si>
  <si>
    <t>FAF w/o CAC -&gt; GSHP</t>
  </si>
  <si>
    <t>FAF w/CAC -&gt; GSHP</t>
  </si>
  <si>
    <t>Baseline</t>
  </si>
  <si>
    <t>RunLabel</t>
  </si>
  <si>
    <t>Climate</t>
  </si>
  <si>
    <t>Heat Save</t>
  </si>
  <si>
    <t>Cool Save</t>
  </si>
  <si>
    <t>DHW Save</t>
  </si>
  <si>
    <t>Tot Sav</t>
  </si>
  <si>
    <t>Heat + Cool</t>
  </si>
  <si>
    <t>DHW Cost</t>
  </si>
  <si>
    <t>Match Cost Label</t>
  </si>
  <si>
    <t>2010 $'s</t>
  </si>
  <si>
    <t>NWHZ1CZ1_1568n_20gshp_des0</t>
  </si>
  <si>
    <t>HZ1CZ1_</t>
  </si>
  <si>
    <t>NWHZ1CZ1_1568n_</t>
  </si>
  <si>
    <t>NWHZ1CZ2_1568n_20gshp_des0</t>
  </si>
  <si>
    <t>HZ1CZ2_</t>
  </si>
  <si>
    <t>WxHZ1CZ1_1568e_</t>
  </si>
  <si>
    <t>NWHZ1CZ3_1568n_20gshp_des0</t>
  </si>
  <si>
    <t>HZ1CZ3_</t>
  </si>
  <si>
    <t>NWHZ2CZ1_1568n_</t>
  </si>
  <si>
    <t>WxHZ1CZ1_1568e_20gshp_des0</t>
  </si>
  <si>
    <t>WxHZ2CZ1_1568e_</t>
  </si>
  <si>
    <t>WxHZ1CZ2_1568e_20gshp_des0</t>
  </si>
  <si>
    <t>NWHZ3CZ1_1568n_</t>
  </si>
  <si>
    <t>WxHZ1CZ3_1568e_20gshp_des0</t>
  </si>
  <si>
    <t>WxHZ3CZ1_1568e_</t>
  </si>
  <si>
    <t>NWHZ2CZ1_1568n_20gshp_des0</t>
  </si>
  <si>
    <t>HZ2CZ1_</t>
  </si>
  <si>
    <t>NWHZ1CZ1_2200n_</t>
  </si>
  <si>
    <t>NWHZ2CZ2_1568n_20gshp_des0</t>
  </si>
  <si>
    <t>HZ2CZ2_</t>
  </si>
  <si>
    <t>WxHZ1CZ1_2200e_</t>
  </si>
  <si>
    <t>NWHZ2CZ3_1568n_20gshp_des0</t>
  </si>
  <si>
    <t>HZ2CZ3_</t>
  </si>
  <si>
    <t>NWHZ2CZ1_2200n_</t>
  </si>
  <si>
    <t>WxHZ2CZ1_1568e_20gshp_des0</t>
  </si>
  <si>
    <t>WxHZ2CZ1_2200e_</t>
  </si>
  <si>
    <t>WxHZ2CZ2_1568e_20gshp_des0</t>
  </si>
  <si>
    <t>NWHZ3CZ1_2200n_</t>
  </si>
  <si>
    <t>WxHZ2CZ3_1568e_20gshp_des0</t>
  </si>
  <si>
    <t>WxHZ3CZ1_2200e_</t>
  </si>
  <si>
    <t>NWHZ3CZ1_1568n_20gshp_des0</t>
  </si>
  <si>
    <t>HZ3CZ1_</t>
  </si>
  <si>
    <t>NWHZ1CZ1_2688n_</t>
  </si>
  <si>
    <t>NWHZ3CZ2_1568n_20gshp_des0</t>
  </si>
  <si>
    <t>HZ3CZ2_</t>
  </si>
  <si>
    <t>WxHZ1CZ1_2688e_</t>
  </si>
  <si>
    <t>NWHZ3CZ3_1568n_20gshp_des0</t>
  </si>
  <si>
    <t>HZ3CZ3_</t>
  </si>
  <si>
    <t>NWHZ2CZ1_2688n_</t>
  </si>
  <si>
    <t>WxHZ3CZ1_1568e_20gshp_des0</t>
  </si>
  <si>
    <t>WxHZ2CZ1_2688e_</t>
  </si>
  <si>
    <t>WxHZ3CZ2_1568e_20gshp_des0</t>
  </si>
  <si>
    <t>NWHZ3CZ1_2688n_</t>
  </si>
  <si>
    <t>WxHZ3CZ3_1568e_20gshp_des0</t>
  </si>
  <si>
    <t>WxHZ3CZ1_2688e_</t>
  </si>
  <si>
    <t>NWHZ1CZ1_2200n_25gshp_des0</t>
  </si>
  <si>
    <t>NWHZ1CZ1_5000n_</t>
  </si>
  <si>
    <t>NWHZ1CZ2_2200n_25gshp_des0</t>
  </si>
  <si>
    <t>WxHZ1CZ1_5000e_</t>
  </si>
  <si>
    <t>NWHZ1CZ3_2200n_25gshp_des0</t>
  </si>
  <si>
    <t>NWHZ2CZ1_5000n_</t>
  </si>
  <si>
    <t>WxHZ1CZ1_2200e_30gshp_des0</t>
  </si>
  <si>
    <t>WxHZ2CZ1_5000e_</t>
  </si>
  <si>
    <t>WxHZ1CZ2_2200e_30gshp_des0</t>
  </si>
  <si>
    <t>NWHZ3CZ1_5000n_</t>
  </si>
  <si>
    <t>WxHZ1CZ3_2200e_30gshp_des0</t>
  </si>
  <si>
    <t>WxHZ3CZ1_5000e_</t>
  </si>
  <si>
    <t>NWHZ2CZ1_2200n_25gshp_des0</t>
  </si>
  <si>
    <t>NWHZ2CZ2_2200n_25gshp_des0</t>
  </si>
  <si>
    <t>NWHZ2CZ3_2200n_25gshp_des0</t>
  </si>
  <si>
    <t>WxHZ2CZ1_2200e_30gshp_des0</t>
  </si>
  <si>
    <t>WxHZ2CZ2_2200e_30gshp_des0</t>
  </si>
  <si>
    <t>WxHZ2CZ3_2200e_30gshp_des0</t>
  </si>
  <si>
    <t>NWHZ3CZ1_2200n_25gshp_des0</t>
  </si>
  <si>
    <t>NWHZ3CZ2_2200n_25gshp_des0</t>
  </si>
  <si>
    <t>NWHZ3CZ3_2200n_25gshp_des0</t>
  </si>
  <si>
    <t>WxHZ3CZ1_2200e_30gshp_des0</t>
  </si>
  <si>
    <t>WxHZ3CZ2_2200e_30gshp_des0</t>
  </si>
  <si>
    <t>WxHZ3CZ3_2200e_30gshp_des0</t>
  </si>
  <si>
    <t>NWHZ1CZ1_2688n_25gshp_des0</t>
  </si>
  <si>
    <t>NWHZ1CZ2_2688n_25gshp_des0</t>
  </si>
  <si>
    <t>NWHZ1CZ3_2688n_25gshp_des0</t>
  </si>
  <si>
    <t>WxHZ1CZ1_2688e_25gshp_des0</t>
  </si>
  <si>
    <t>WxHZ1CZ2_2688e_25gshp_des0</t>
  </si>
  <si>
    <t>WxHZ1CZ3_2688e_25gshp_des0</t>
  </si>
  <si>
    <t>NWHZ2CZ1_2688n_25gshp_des0</t>
  </si>
  <si>
    <t>NWHZ2CZ2_2688n_25gshp_des0</t>
  </si>
  <si>
    <t>NWHZ2CZ3_2688n_25gshp_des0</t>
  </si>
  <si>
    <t>WxHZ2CZ1_2688e_25gshp_des0</t>
  </si>
  <si>
    <t>WxHZ2CZ2_2688e_25gshp_des0</t>
  </si>
  <si>
    <t>WxHZ2CZ3_2688e_25gshp_des0</t>
  </si>
  <si>
    <t>NWHZ3CZ1_2688n_25gshp_des0</t>
  </si>
  <si>
    <t>NWHZ3CZ2_2688n_25gshp_des0</t>
  </si>
  <si>
    <t>NWHZ3CZ3_2688n_25gshp_des0</t>
  </si>
  <si>
    <t>WxHZ3CZ1_2688e_25gshp_des0</t>
  </si>
  <si>
    <t>WxHZ3CZ2_2688e_25gshp_des0</t>
  </si>
  <si>
    <t>WxHZ3CZ3_2688e_25gshp_des0</t>
  </si>
  <si>
    <t>NWHZ1CZ1_5000n_35gshp_des0</t>
  </si>
  <si>
    <t>NWHZ1CZ2_5000n_35gshp_des0</t>
  </si>
  <si>
    <t>NWHZ1CZ3_5000n_35gshp_des0</t>
  </si>
  <si>
    <t>WxHZ1CZ1_5000e_40gshp_des0</t>
  </si>
  <si>
    <t>WxHZ1CZ2_5000e_40gshp_des0</t>
  </si>
  <si>
    <t>WxHZ1CZ3_5000e_40gshp_des0</t>
  </si>
  <si>
    <t>NWHZ2CZ1_5000n_35gshp_des0</t>
  </si>
  <si>
    <t>NWHZ2CZ2_5000n_35gshp_des0</t>
  </si>
  <si>
    <t>NWHZ2CZ3_5000n_35gshp_des0</t>
  </si>
  <si>
    <t>WxHZ2CZ1_5000e_40gshp_des0</t>
  </si>
  <si>
    <t>WxHZ2CZ2_5000e_40gshp_des0</t>
  </si>
  <si>
    <t>WxHZ2CZ3_5000e_40gshp_des0</t>
  </si>
  <si>
    <t>NWHZ3CZ1_5000n_35gshp_des0</t>
  </si>
  <si>
    <t>NWHZ3CZ2_5000n_35gshp_des0</t>
  </si>
  <si>
    <t>NWHZ3CZ3_5000n_35gshp_des0</t>
  </si>
  <si>
    <t>WxHZ3CZ1_5000e_40gshp_des0</t>
  </si>
  <si>
    <t>WxHZ3CZ2_5000e_40gshp_des0</t>
  </si>
  <si>
    <t>WxHZ3CZ3_5000e_40gshp_des0</t>
  </si>
  <si>
    <t>NWHZ1CZ1_1568n_20gshp_des1</t>
  </si>
  <si>
    <t>NWHZ1CZ2_1568n_20gshp_des1</t>
  </si>
  <si>
    <t>NWHZ1CZ3_1568n_20gshp_des1</t>
  </si>
  <si>
    <t>WxHZ1CZ1_1568e_20gshp_des1</t>
  </si>
  <si>
    <t>WxHZ1CZ2_1568e_20gshp_des1</t>
  </si>
  <si>
    <t>WxHZ1CZ3_1568e_20gshp_des1</t>
  </si>
  <si>
    <t>NWHZ2CZ1_1568n_20gshp_des1</t>
  </si>
  <si>
    <t>NWHZ2CZ2_1568n_20gshp_des1</t>
  </si>
  <si>
    <t>NWHZ2CZ3_1568n_20gshp_des1</t>
  </si>
  <si>
    <t>WxHZ2CZ1_1568e_20gshp_des1</t>
  </si>
  <si>
    <t>WxHZ2CZ2_1568e_20gshp_des1</t>
  </si>
  <si>
    <t>WxHZ2CZ3_1568e_20gshp_des1</t>
  </si>
  <si>
    <t>NWHZ3CZ1_1568n_20gshp_des1</t>
  </si>
  <si>
    <t>NWHZ3CZ2_1568n_20gshp_des1</t>
  </si>
  <si>
    <t>NWHZ3CZ3_1568n_20gshp_des1</t>
  </si>
  <si>
    <t>WxHZ3CZ1_1568e_20gshp_des1</t>
  </si>
  <si>
    <t>WxHZ3CZ2_1568e_20gshp_des1</t>
  </si>
  <si>
    <t>WxHZ3CZ3_1568e_20gshp_des1</t>
  </si>
  <si>
    <t>NWHZ1CZ1_2200n_25gshp_des1</t>
  </si>
  <si>
    <t>NWHZ1CZ2_2200n_25gshp_des1</t>
  </si>
  <si>
    <t>NWHZ1CZ3_2200n_25gshp_des1</t>
  </si>
  <si>
    <t>WxHZ1CZ1_2200e_30gshp_des1</t>
  </si>
  <si>
    <t>WxHZ1CZ2_2200e_30gshp_des1</t>
  </si>
  <si>
    <t>WxHZ1CZ3_2200e_30gshp_des1</t>
  </si>
  <si>
    <t>NWHZ2CZ1_2200n_25gshp_des1</t>
  </si>
  <si>
    <t>NWHZ2CZ2_2200n_25gshp_des1</t>
  </si>
  <si>
    <t>NWHZ2CZ3_2200n_25gshp_des1</t>
  </si>
  <si>
    <t>WxHZ2CZ1_2200e_30gshp_des1</t>
  </si>
  <si>
    <t>WxHZ2CZ2_2200e_30gshp_des1</t>
  </si>
  <si>
    <t>WxHZ2CZ3_2200e_30gshp_des1</t>
  </si>
  <si>
    <t>NWHZ3CZ1_2200n_25gshp_des1</t>
  </si>
  <si>
    <t>NWHZ3CZ2_2200n_25gshp_des1</t>
  </si>
  <si>
    <t>NWHZ3CZ3_2200n_25gshp_des1</t>
  </si>
  <si>
    <t>WxHZ3CZ1_2200e_30gshp_des1</t>
  </si>
  <si>
    <t>WxHZ3CZ2_2200e_30gshp_des1</t>
  </si>
  <si>
    <t>WxHZ3CZ3_2200e_30gshp_des1</t>
  </si>
  <si>
    <t>NWHZ1CZ1_2688n_25gshp_des1</t>
  </si>
  <si>
    <t>NWHZ1CZ2_2688n_25gshp_des1</t>
  </si>
  <si>
    <t>NWHZ1CZ3_2688n_25gshp_des1</t>
  </si>
  <si>
    <t>WxHZ1CZ1_2688e_25gshp_des1</t>
  </si>
  <si>
    <t>WxHZ1CZ2_2688e_25gshp_des1</t>
  </si>
  <si>
    <t>WxHZ1CZ3_2688e_25gshp_des1</t>
  </si>
  <si>
    <t>NWHZ2CZ1_2688n_25gshp_des1</t>
  </si>
  <si>
    <t>NWHZ2CZ2_2688n_25gshp_des1</t>
  </si>
  <si>
    <t>NWHZ2CZ3_2688n_25gshp_des1</t>
  </si>
  <si>
    <t>WxHZ2CZ1_2688e_25gshp_des1</t>
  </si>
  <si>
    <t>WxHZ2CZ2_2688e_25gshp_des1</t>
  </si>
  <si>
    <t>WxHZ2CZ3_2688e_25gshp_des1</t>
  </si>
  <si>
    <t>NWHZ3CZ1_2688n_25gshp_des1</t>
  </si>
  <si>
    <t>NWHZ3CZ2_2688n_25gshp_des1</t>
  </si>
  <si>
    <t>NWHZ3CZ3_2688n_25gshp_des1</t>
  </si>
  <si>
    <t>WxHZ3CZ1_2688e_25gshp_des1</t>
  </si>
  <si>
    <t>WxHZ3CZ2_2688e_25gshp_des1</t>
  </si>
  <si>
    <t>WxHZ3CZ3_2688e_25gshp_des1</t>
  </si>
  <si>
    <t>NWHZ1CZ1_5000n_35gshp_des1</t>
  </si>
  <si>
    <t>NWHZ1CZ2_5000n_35gshp_des1</t>
  </si>
  <si>
    <t>NWHZ1CZ3_5000n_35gshp_des1</t>
  </si>
  <si>
    <t>WxHZ1CZ1_5000e_40gshp_des1</t>
  </si>
  <si>
    <t>WxHZ1CZ2_5000e_40gshp_des1</t>
  </si>
  <si>
    <t>WxHZ1CZ3_5000e_40gshp_des1</t>
  </si>
  <si>
    <t>NWHZ2CZ1_5000n_35gshp_des1</t>
  </si>
  <si>
    <t>NWHZ2CZ2_5000n_35gshp_des1</t>
  </si>
  <si>
    <t>NWHZ2CZ3_5000n_35gshp_des1</t>
  </si>
  <si>
    <t>WxHZ2CZ1_5000e_40gshp_des1</t>
  </si>
  <si>
    <t>WxHZ2CZ2_5000e_40gshp_des1</t>
  </si>
  <si>
    <t>WxHZ2CZ3_5000e_40gshp_des1</t>
  </si>
  <si>
    <t>NWHZ3CZ1_5000n_35gshp_des1</t>
  </si>
  <si>
    <t>NWHZ3CZ2_5000n_35gshp_des1</t>
  </si>
  <si>
    <t>NWHZ3CZ3_5000n_35gshp_des1</t>
  </si>
  <si>
    <t>WxHZ3CZ1_5000e_40gshp_des1</t>
  </si>
  <si>
    <t>WxHZ3CZ2_5000e_40gshp_des1</t>
  </si>
  <si>
    <t>WxHZ3CZ3_5000e_40gshp_des1</t>
  </si>
  <si>
    <t>prototype</t>
  </si>
  <si>
    <t>weight</t>
  </si>
  <si>
    <t>new/retro</t>
  </si>
  <si>
    <t>DHW</t>
  </si>
  <si>
    <t>size</t>
  </si>
  <si>
    <t>climate</t>
  </si>
  <si>
    <t>Space Cost</t>
  </si>
  <si>
    <t>n</t>
  </si>
  <si>
    <t>des0</t>
  </si>
  <si>
    <t>nwproto</t>
  </si>
  <si>
    <t>HZ1CZ1</t>
  </si>
  <si>
    <t>HZ1CZ2</t>
  </si>
  <si>
    <t>HZ1CZ3</t>
  </si>
  <si>
    <t>HZ2CZ1</t>
  </si>
  <si>
    <t>HZ2CZ2</t>
  </si>
  <si>
    <t>HZ2CZ3</t>
  </si>
  <si>
    <t>HZ3CZ1</t>
  </si>
  <si>
    <t>HZ3CZ2</t>
  </si>
  <si>
    <t>HZ3CZ3</t>
  </si>
  <si>
    <t>&gt;4000</t>
  </si>
  <si>
    <t>des1</t>
  </si>
  <si>
    <t>e</t>
  </si>
  <si>
    <t>heat</t>
  </si>
  <si>
    <t>cool</t>
  </si>
  <si>
    <t>dhw</t>
  </si>
  <si>
    <t>ResCACPNW</t>
  </si>
  <si>
    <t>ResDHW</t>
  </si>
  <si>
    <t>ResSpHtHPZ3</t>
  </si>
  <si>
    <t>Only consider upgrade from ASHP</t>
  </si>
  <si>
    <t>Urban/Rural</t>
  </si>
  <si>
    <t>Montana</t>
  </si>
  <si>
    <t>Oregon</t>
  </si>
  <si>
    <t>From 2010 US Census</t>
  </si>
  <si>
    <t>TOTAL</t>
  </si>
  <si>
    <t>%</t>
  </si>
  <si>
    <t>Only include w/ desuperheater as it has lower levelized cost (from RTF)</t>
  </si>
  <si>
    <t>NR</t>
  </si>
  <si>
    <t>GSHP</t>
  </si>
  <si>
    <t>='[7P Forecasts D2.xlsx]Res Forecast (Base Case)'!$D$5</t>
  </si>
  <si>
    <t xml:space="preserve">Methodology:  For the Natural Replacement case.  Start with 2015 Stock decayed over time for demolition and retirement.  Add the New stock not addressed by the New Building Programs.  Then apply natural turnover rate based on measure life. The rate is the annual fraction of the stock that is replaced in any year.  Also apply the achievable penetration rate by year and the measure applicability factor.  Achievable penetration includes program ramp up.  The applicability factor represents the portion of the available stock that the measure applies to which is 100percent minus the baseline fraction that is doing the measure absent program.  The product is the annual available # of homes.  Number of homes times savings per home for aMW potential available by year for each type.  Turnover Rate, Achievable Penetration Rate and Applicability Factor are looked up from ResMaster.  Savings available for the retrofit measure apply only to the non-NR residual # of homes at the 20th year.  </t>
  </si>
  <si>
    <t># Homes FOR EXISTING STOCK</t>
  </si>
  <si>
    <t># Homes NOT TREATED FROM NEW STOCK AND THUS AVAILABLE FOR NR POOL FROM SC-NEW</t>
  </si>
  <si>
    <t>ONLY INCLUDE AFTER ONE EUL</t>
  </si>
  <si>
    <t>New Stock into NR/Retro Pool</t>
  </si>
  <si>
    <t>EXISTING STOCK AVAILABLE TO NR/RETROFIT POOL</t>
  </si>
  <si>
    <t>APPLY MEASURE APPLICABILITY, SATURATION TURNOVER RATE FOR MAX ANNUAL # UNITS</t>
  </si>
  <si>
    <t>Turnover Rate</t>
  </si>
  <si>
    <t>INCREMENTAL ACHIEVABILITY</t>
  </si>
  <si>
    <t>Cumulative</t>
  </si>
  <si>
    <t>Urban Pop</t>
  </si>
  <si>
    <t>Rural Pop</t>
  </si>
  <si>
    <t>Home Size</t>
  </si>
  <si>
    <t>&lt;4000sqft</t>
  </si>
  <si>
    <t>&gt;4000sqft</t>
  </si>
  <si>
    <t>from RBSA Sfducttesting table</t>
  </si>
  <si>
    <t>Heating Zone 1 - Cooling Zone 1</t>
  </si>
  <si>
    <t>Heating Zone 1 - Cooling Zone 2</t>
  </si>
  <si>
    <t>Heating Zone 1 - Cooling Zone 3</t>
  </si>
  <si>
    <t>Heating Zone 2 - Cooling Zone 1</t>
  </si>
  <si>
    <t>Heating Zone 2 - Cooling Zone 2</t>
  </si>
  <si>
    <t>Heating Zone 2 - Cooling Zone 3</t>
  </si>
  <si>
    <t>Heating Zone 3 - Cooling Zone 1</t>
  </si>
  <si>
    <t>Heating Zone 3 - Cooling Zone 2</t>
  </si>
  <si>
    <t>Heating Zone 3 - Cooling Zone 3</t>
  </si>
  <si>
    <t>Estimate savings at regional level</t>
  </si>
  <si>
    <t>climate zone</t>
  </si>
  <si>
    <t xml:space="preserve">Ground Source Heat Pump Upgrade from Air Source Heat Pump - With Desuperheater - New House less than 4000 square feet </t>
  </si>
  <si>
    <t xml:space="preserve">Ground Source Heat Pump Upgrade from Air Source Heat Pump - With Desuperheater - New House 4000 square feet or greater </t>
  </si>
  <si>
    <t xml:space="preserve">Ground Source Heat Pump Upgrade from Air Source Heat Pump - With Desuperheater - Existing House less than 4000 square feet </t>
  </si>
  <si>
    <t xml:space="preserve">Ground Source Heat Pump Upgrade from Air Source Heat Pump - With Desuperheater - Existing House 4000 square feet or greater </t>
  </si>
  <si>
    <t>Phase II NEB</t>
  </si>
  <si>
    <t>From RTF ResGSHP_v2_2, updated to SEEM 96: GSHP_SEEM96update</t>
  </si>
  <si>
    <t>Iterative SEEM Inputs</t>
  </si>
  <si>
    <t>Phase I Adjustment</t>
  </si>
  <si>
    <t>Phase II Adjustment</t>
  </si>
  <si>
    <t>Run Label</t>
  </si>
  <si>
    <t>SEEM Heating kWh/yr</t>
  </si>
  <si>
    <t>Uo</t>
  </si>
  <si>
    <t>Heating Zone</t>
  </si>
  <si>
    <t>Heating System</t>
  </si>
  <si>
    <t>UATotal</t>
  </si>
  <si>
    <t>Heating Load at 30degF (incl. duct losses)</t>
  </si>
  <si>
    <t>PTCS Nominal Heat Pump Size (tons)</t>
  </si>
  <si>
    <t>Standard Practice Nominal Heat Pump Size (tons)</t>
  </si>
  <si>
    <t>Furnace Capacity (kW)</t>
  </si>
  <si>
    <t>Adjustment Factor Equations</t>
  </si>
  <si>
    <t>Adjustment Factor</t>
  </si>
  <si>
    <t>Phase I Heating Energy Use (kWh/yr)</t>
  </si>
  <si>
    <t>Factor</t>
  </si>
  <si>
    <t>Phase II Electric Heating Energy Use (kWh/yr)</t>
  </si>
  <si>
    <t>Phase II Non-Electric Heat Use (kWh/yr)</t>
  </si>
  <si>
    <t>Below Middle Uo Break-point</t>
  </si>
  <si>
    <t>Below Upper Uo cutoff</t>
  </si>
  <si>
    <t>Upper Uo cut-off</t>
  </si>
  <si>
    <t>Below Lower Uo Cutoff</t>
  </si>
  <si>
    <t>Slope1</t>
  </si>
  <si>
    <t>Intercept1</t>
  </si>
  <si>
    <t>Slope2</t>
  </si>
  <si>
    <t>Intercept2</t>
  </si>
  <si>
    <t>Above Upper Uo Cutoff</t>
  </si>
  <si>
    <t>WxHZ1CZ1_2200e_30hp85_des0</t>
  </si>
  <si>
    <t>WxHZ2CZ1_2200e_30hp85_des0</t>
  </si>
  <si>
    <t>WxHZ3CZ1_2200e_30hp85_des0</t>
  </si>
  <si>
    <t>HSPF</t>
  </si>
  <si>
    <t>Useable Desup</t>
  </si>
  <si>
    <t>SEER</t>
  </si>
  <si>
    <t>CAC SEER</t>
  </si>
  <si>
    <t>UA</t>
  </si>
  <si>
    <t>Heat (kWh)</t>
  </si>
  <si>
    <t>Cool (kWh)</t>
  </si>
  <si>
    <t>Heat Save (kWh)</t>
  </si>
  <si>
    <t>Cool Save (kWh)</t>
  </si>
  <si>
    <t>Desup Save (kWh)</t>
  </si>
  <si>
    <t>Total Savings</t>
  </si>
  <si>
    <t>Base Cases. Air Source Heat Pump with PTCS Everything</t>
  </si>
  <si>
    <t>Measure Cases. Ground Source Heat Pump from ASHP with PTCS Everything.  No Desuperheating</t>
  </si>
  <si>
    <t>Measure Cases. Ground Source Heat Pump from ASHP with PTCS Everything.  Desuperheating Used</t>
  </si>
  <si>
    <t>incoolkwh</t>
  </si>
  <si>
    <t>(kWh)</t>
  </si>
  <si>
    <t>From SEEMoutput</t>
  </si>
  <si>
    <t>City</t>
  </si>
  <si>
    <t xml:space="preserve"> annual Desuperheat energy output from GSHP</t>
  </si>
  <si>
    <t>gshpdesupkWh</t>
  </si>
  <si>
    <t>These are the prototype heating loads, geo full load hours used for sizing via CLGS, costs for ASHP base and geo systems that feed the pro-cost runs</t>
  </si>
  <si>
    <t>LOOP COSTS</t>
  </si>
  <si>
    <t>INDOOR EQMT COSTS\</t>
  </si>
  <si>
    <t>pick a size</t>
  </si>
  <si>
    <t>roomheatkwh</t>
  </si>
  <si>
    <t>equipheatkwh</t>
  </si>
  <si>
    <t>sizing factor includes ducts</t>
  </si>
  <si>
    <t>btu/hr</t>
  </si>
  <si>
    <t>total heat pump runtime hours at 25 HPcntrl temp and no strip heat</t>
  </si>
  <si>
    <t>FLH_nominal</t>
  </si>
  <si>
    <t>FLH_Derated</t>
  </si>
  <si>
    <t xml:space="preserve">30 Deg Loop Temp Size </t>
  </si>
  <si>
    <t>Ft/ton of heat pump</t>
  </si>
  <si>
    <t>ft/ton of house load</t>
  </si>
  <si>
    <t>Heat Pump Size</t>
  </si>
  <si>
    <t>House Load w/duct efficiency</t>
  </si>
  <si>
    <t>House Load Tons</t>
  </si>
  <si>
    <t xml:space="preserve">5' deep </t>
  </si>
  <si>
    <t>8' deep</t>
  </si>
  <si>
    <t>Inside GSHP</t>
  </si>
  <si>
    <t>GSHP Costs</t>
  </si>
  <si>
    <t>ASHP Costs</t>
  </si>
  <si>
    <t>FAF Costs</t>
  </si>
  <si>
    <t>CAC Costs</t>
  </si>
  <si>
    <t>UA w/ducts</t>
  </si>
  <si>
    <t>HP Size</t>
  </si>
  <si>
    <t>HP Nom Calc size</t>
  </si>
  <si>
    <t>Nom Size</t>
  </si>
  <si>
    <t>Delta T</t>
  </si>
  <si>
    <t>Load</t>
  </si>
  <si>
    <t>Size Tons</t>
  </si>
  <si>
    <t>kwh</t>
  </si>
  <si>
    <t>Foot of Pipe</t>
  </si>
  <si>
    <t>Pipe @ 8' deep</t>
  </si>
  <si>
    <t>Pipe @ 10' deep</t>
  </si>
  <si>
    <t>5'  deep</t>
  </si>
  <si>
    <t>Nominal</t>
  </si>
  <si>
    <t>Btu/hr</t>
  </si>
  <si>
    <t>tons</t>
  </si>
  <si>
    <t>$ 5'</t>
  </si>
  <si>
    <t>$ 8'</t>
  </si>
  <si>
    <t>Total $</t>
  </si>
  <si>
    <t>5'</t>
  </si>
  <si>
    <t>8'</t>
  </si>
  <si>
    <t>NWHZ1CZ1_1568n_30hp85_des0</t>
  </si>
  <si>
    <t>Seattle</t>
  </si>
  <si>
    <t>WxHZ1CZ1_1568e_30hp85_des0</t>
  </si>
  <si>
    <t>NWHZ2CZ1_1568n_30hp85_des0</t>
  </si>
  <si>
    <t>spokane</t>
  </si>
  <si>
    <t>WxHZ2CZ1_1568e_30hp85_des0</t>
  </si>
  <si>
    <t>NWHZ3CZ1_1568n_30hp85_des0</t>
  </si>
  <si>
    <t>kalispell</t>
  </si>
  <si>
    <t>Ft of pipe per ton of house load</t>
  </si>
  <si>
    <t>WxHZ3CZ1_1568e_30hp85_des0</t>
  </si>
  <si>
    <t>depth</t>
  </si>
  <si>
    <t>NWHZ1CZ1_2200n_30hp85_des0</t>
  </si>
  <si>
    <t>HZ1</t>
  </si>
  <si>
    <t>HZ2</t>
  </si>
  <si>
    <t>HZ3</t>
  </si>
  <si>
    <t>NWHZ2CZ1_2200n_30hp85_des0</t>
  </si>
  <si>
    <t>NWHZ3CZ1_2200n_30hp85_des0</t>
  </si>
  <si>
    <t>NWHZ1CZ1_2688n_30hp85_des0</t>
  </si>
  <si>
    <t>WxHZ1CZ1_2688e_30hp85_des0</t>
  </si>
  <si>
    <t>NWHZ2CZ1_2688n_30hp85_des0</t>
  </si>
  <si>
    <t>WxHZ2CZ1_2688e_30hp85_des0</t>
  </si>
  <si>
    <t>NWHZ3CZ1_2688n_30hp85_des0</t>
  </si>
  <si>
    <t>WxHZ3CZ1_2688e_30hp85_des0</t>
  </si>
  <si>
    <t>NWHZ1CZ1_5000n_30hp85_des0</t>
  </si>
  <si>
    <t>WxHZ1CZ1_5000e_30hp85_des0</t>
  </si>
  <si>
    <t>NWHZ2CZ1_5000n_30hp85_des0</t>
  </si>
  <si>
    <t>WxHZ2CZ1_5000e_30hp85_des0</t>
  </si>
  <si>
    <t>House Size</t>
  </si>
  <si>
    <t>NWHZ3CZ1_5000n_30hp85_des0</t>
  </si>
  <si>
    <t>WxHZ3CZ1_5000e_30hp85_des0</t>
  </si>
  <si>
    <t>Total Design Heat Load (Btu/hr)</t>
  </si>
  <si>
    <t>total foot of pipe</t>
  </si>
  <si>
    <t>Ft of pipe per ton of peak house load</t>
  </si>
  <si>
    <t>Design Assumptions</t>
  </si>
  <si>
    <t>Heating</t>
  </si>
  <si>
    <t>Cooling</t>
  </si>
  <si>
    <t>Indoor Design Temp</t>
  </si>
  <si>
    <t>Balance Temp</t>
  </si>
  <si>
    <t>Max/min Entering Water Temp</t>
  </si>
  <si>
    <t>GSHP Indoor Unit</t>
  </si>
  <si>
    <t xml:space="preserve">ASHP* </t>
  </si>
  <si>
    <t xml:space="preserve">GSHP w/ Resistance(1) </t>
  </si>
  <si>
    <t xml:space="preserve">GSHP no backup(2) </t>
  </si>
  <si>
    <t>Incremental Cost (GSHP w/elec)</t>
  </si>
  <si>
    <t>Incremental Cost (GSHP no elec)</t>
  </si>
  <si>
    <t>Ground Properties:</t>
  </si>
  <si>
    <t>Thermal Conductivity</t>
  </si>
  <si>
    <t>Btu/hr/ft/F</t>
  </si>
  <si>
    <t>Thermal Diffusivity</t>
  </si>
  <si>
    <t>ft^2/hr</t>
  </si>
  <si>
    <t>Pipe O.C. Spacing</t>
  </si>
  <si>
    <t>feet</t>
  </si>
  <si>
    <t>Trench Depth</t>
  </si>
  <si>
    <t># of Trenches</t>
  </si>
  <si>
    <t>Trench OC Spacing</t>
  </si>
  <si>
    <t>Loop Depth</t>
  </si>
  <si>
    <t>Price (acdirect.com 5/20/08)</t>
  </si>
  <si>
    <t>Installed Cost
(1.5X multiplier)</t>
  </si>
  <si>
    <t>HZ3 alt.</t>
  </si>
  <si>
    <t>Ground Loop Sizing</t>
  </si>
  <si>
    <t>Loop Length/Ton peak heating load</t>
  </si>
  <si>
    <t>Tons</t>
  </si>
  <si>
    <r>
      <t xml:space="preserve">CAC Cost 
</t>
    </r>
    <r>
      <rPr>
        <sz val="8"/>
        <rFont val="Arial"/>
        <family val="2"/>
      </rPr>
      <t>(2010$'s - Mark Jerome bids)</t>
    </r>
  </si>
  <si>
    <t>From RTF: ResGSHP_v2_2</t>
  </si>
  <si>
    <t>2012 $'s</t>
  </si>
  <si>
    <t>R-All-HVAC-ASHP-All-All-E</t>
  </si>
  <si>
    <t>L</t>
  </si>
  <si>
    <t>Ground Source Heat Pump Upgrade from Air Source Heat Pump - With Desuperheater - New House 4000 square feet or greater</t>
  </si>
  <si>
    <t>Ground Source Heat Pump Upgrade from Air Source Heat Pump - With Desuperheater - Existing House 4000 square feet or greater</t>
  </si>
  <si>
    <t>Ground Source Heat Pump Upgrade from Air Source Heat Pump - With Desuperheater - Existing House less than 4000 square feet</t>
  </si>
  <si>
    <t>Ground Source Heat Pump Upgrade from Air Source Heat Pump - With Desuperheater - New House less than 4000 square feet</t>
  </si>
  <si>
    <t>ProCost Results</t>
  </si>
  <si>
    <t xml:space="preserve">Version:    </t>
  </si>
  <si>
    <t>ProCost 3.0 - Beta04</t>
  </si>
  <si>
    <t>Run Time:</t>
  </si>
  <si>
    <t>Regurgitation of ProData input parameters which were used for this run</t>
  </si>
  <si>
    <t>Run Parameters</t>
  </si>
  <si>
    <t>Marginal Cost &amp; Conservation Load Shape Parameters</t>
  </si>
  <si>
    <t>Sponsor Parameters</t>
  </si>
  <si>
    <t>Program Parameters</t>
  </si>
  <si>
    <t>Utility System Parameters</t>
  </si>
  <si>
    <t>Run Type</t>
  </si>
  <si>
    <t>Electric</t>
  </si>
  <si>
    <t>Marginal Costs and Savings Shape File</t>
  </si>
  <si>
    <t>\\nas2\Q\SeventhPlan\Conservation Analysis\Global EE Inputs\MC Files\MC_AND_LOADSHAPE_v3.0_24segment-7P-D9 - NewSegValues.xlsx</t>
  </si>
  <si>
    <t>6P MidC Final (with carbon)</t>
  </si>
  <si>
    <t>Customer</t>
  </si>
  <si>
    <t>Wholesale Elec</t>
  </si>
  <si>
    <t>Retail Elec</t>
  </si>
  <si>
    <t>Nat Gas</t>
  </si>
  <si>
    <t>Program Life (yrs)</t>
  </si>
  <si>
    <t>Gas</t>
  </si>
  <si>
    <t>Negative B/C Ratios</t>
  </si>
  <si>
    <t>Off</t>
  </si>
  <si>
    <t>Marginal Elec Avoided Cost Input Worksheet</t>
  </si>
  <si>
    <t>7P Mid</t>
  </si>
  <si>
    <t>Conservation Load Shapes</t>
  </si>
  <si>
    <t>Real After-Tax Cost of Capital</t>
  </si>
  <si>
    <t>Program Start Date</t>
  </si>
  <si>
    <t>Bulk System T&amp;D Loss Factor</t>
  </si>
  <si>
    <t>Admin Cost @ Category Level</t>
  </si>
  <si>
    <t>On</t>
  </si>
  <si>
    <t>Elec Savings Shape Input Worksheet</t>
  </si>
  <si>
    <t>GLSShapes</t>
  </si>
  <si>
    <t>6P_Gas_Final</t>
  </si>
  <si>
    <t>Financial Life (years)</t>
  </si>
  <si>
    <t>Present Value Time Zero</t>
  </si>
  <si>
    <t>Bulk System T&amp;D Credit ($/kw-yr)($/dailytherm-yr)</t>
  </si>
  <si>
    <t xml:space="preserve">Repeat Periodic Replacement </t>
  </si>
  <si>
    <t>Marginal Gas Avoided Cost Input Worksheet</t>
  </si>
  <si>
    <t>7P Gas</t>
  </si>
  <si>
    <t>Input Cost Reference Year</t>
  </si>
  <si>
    <t>Bulk System T&amp;D I2R Loss Component (%)</t>
  </si>
  <si>
    <t>Gas Savings Shape Input Worksheet</t>
  </si>
  <si>
    <t xml:space="preserve">Sponsor Share of Initial Capital Cost </t>
  </si>
  <si>
    <t>Real Discount Rate</t>
  </si>
  <si>
    <t>Local System Dist Loss Factor</t>
  </si>
  <si>
    <t>Run Type:</t>
  </si>
  <si>
    <t>Marginal Elec CO2 per kWh Input Worksheet</t>
  </si>
  <si>
    <t>CO2 lbs per kWh .95</t>
  </si>
  <si>
    <t>CO2 lbs per therm</t>
  </si>
  <si>
    <t>Sponsor Share of Annual O&amp;M</t>
  </si>
  <si>
    <t>Capital Real Escalation Rate</t>
  </si>
  <si>
    <t>Local System Dist Credit ($/kw-yr)($/dailytherm-yr)</t>
  </si>
  <si>
    <t>Negative B/C Ratios:</t>
  </si>
  <si>
    <t>False:  (Converts Negative B/C Ratios)</t>
  </si>
  <si>
    <t>Marginal Gas CO2 per therm Input Worksheet</t>
  </si>
  <si>
    <t>Zero Dollars per ton CO2</t>
  </si>
  <si>
    <t>Sponsor Share of Periodic Replacement Cost</t>
  </si>
  <si>
    <t>Admin Cost (as % of Initial Capital Cost)</t>
  </si>
  <si>
    <t>Local System Dist I2R Loss Component (%)</t>
  </si>
  <si>
    <t>Admin Cost / Category Level:</t>
  </si>
  <si>
    <t>True:  Admin Costs added at Category Results</t>
  </si>
  <si>
    <t>Marginal Avoided Cost CO2 Input Worksheet</t>
  </si>
  <si>
    <t>LineLossShapes</t>
  </si>
  <si>
    <t>Sponsor Share of Admin Cost</t>
  </si>
  <si>
    <t>Regional Act Conservation Credit (%)</t>
  </si>
  <si>
    <t>Risk-Mitigation Credit (mills/kWh)(mills/therm) - Retro.</t>
  </si>
  <si>
    <t>Periodic O&amp;M Treatment:</t>
  </si>
  <si>
    <t>True:  (Periodic O&amp;M Repeats over measure life)</t>
  </si>
  <si>
    <t>Line Loss Shape Input Worksheet</t>
  </si>
  <si>
    <t>Last Year of Non-Customer O&amp;M &amp; Period Replacement</t>
  </si>
  <si>
    <t>Report Annual Carbon Saved for Year</t>
  </si>
  <si>
    <t>Risk-Mitigation Credit (mills/kWh)(mills/therm) - Lost Op.</t>
  </si>
  <si>
    <t>Measure Results; Sorted in same order as input</t>
  </si>
  <si>
    <t>Total Results</t>
  </si>
  <si>
    <t>Measure Input Data</t>
  </si>
  <si>
    <t>Savings</t>
  </si>
  <si>
    <t>PV Capital</t>
  </si>
  <si>
    <t>PV Admin</t>
  </si>
  <si>
    <t>PV O&amp;M</t>
  </si>
  <si>
    <t>PV Periodic Repl.</t>
  </si>
  <si>
    <t>Total PV Capital, O&amp;M and Periodic Repl Costs</t>
  </si>
  <si>
    <t>PV Wholesale Electric Utility Costs &amp; Benefits</t>
  </si>
  <si>
    <t>PV Retail Electric Utility Costs &amp; Benefits</t>
  </si>
  <si>
    <t>PV Electric Utility System Costs &amp; Benefits</t>
  </si>
  <si>
    <t>Electric Utility System Economics</t>
  </si>
  <si>
    <t>Sponsor Levelized Cost (mills/kwh)</t>
  </si>
  <si>
    <t>PV Regional Costs &amp; Benefits</t>
  </si>
  <si>
    <t>TRC Economics</t>
  </si>
  <si>
    <t>Physical CO2</t>
  </si>
  <si>
    <t>PV Gas Utility System Costs &amp; Benefits</t>
  </si>
  <si>
    <t>Gas Utility System Economics</t>
  </si>
  <si>
    <t>Site Savings (kWh)</t>
  </si>
  <si>
    <t>Site Savings (therms)</t>
  </si>
  <si>
    <t>Capital Cost ($/unit)</t>
  </si>
  <si>
    <t>Annual O&amp;M Cost ($/unit)</t>
  </si>
  <si>
    <t>PV Per. Repl. Cost ($/unit)</t>
  </si>
  <si>
    <t>Load Shape (electric)</t>
  </si>
  <si>
    <t>Diversified Load Factor (electric)</t>
  </si>
  <si>
    <t>Wholesale Power Coincidence Factor (electric)</t>
  </si>
  <si>
    <t>Wholesale Electric Energy (kWh)</t>
  </si>
  <si>
    <t>Wholesale Electric Demand (kw)</t>
  </si>
  <si>
    <t>Retail Electric Demand (kW)</t>
  </si>
  <si>
    <t>Wholesale Gas Energy (therms/yr)</t>
  </si>
  <si>
    <t>Wholesale Gas Demand (therms/day)</t>
  </si>
  <si>
    <t>Retail Gas Demand (therms/day)</t>
  </si>
  <si>
    <t>Wholesale Electric</t>
  </si>
  <si>
    <t>Retail Electric</t>
  </si>
  <si>
    <t>Natural Gas</t>
  </si>
  <si>
    <t>Wholesale Utility System Energy</t>
  </si>
  <si>
    <t>Wholesale Utility System T&amp;D Def. Cap.</t>
  </si>
  <si>
    <t>Wholesale Utility System Act C-E Credit</t>
  </si>
  <si>
    <t>Wholesale Utility System Risk Mitigation Benefit</t>
  </si>
  <si>
    <t>Wholesale Utility System Total System Benefit</t>
  </si>
  <si>
    <t>Wholesale Utility System Total Non-Consumer Cost</t>
  </si>
  <si>
    <t>Wholesale Utility System B/C Ratio</t>
  </si>
  <si>
    <t>Retail Utility System Energy</t>
  </si>
  <si>
    <t>Retail Utility System T&amp;D Def. Cap.</t>
  </si>
  <si>
    <t>Retail Utility System Act C-E Credit</t>
  </si>
  <si>
    <t>Retail Utility System Risk Mitigation Benefit</t>
  </si>
  <si>
    <t>Retail Utility System Total System Benefit</t>
  </si>
  <si>
    <t>Retail Utility System Total Non-Consumer Cost</t>
  </si>
  <si>
    <t>Retail Utility System System B/C Ratio</t>
  </si>
  <si>
    <t>Utility System Energy</t>
  </si>
  <si>
    <t>Utility System T&amp;D Def. Cap.</t>
  </si>
  <si>
    <t>Utility System Act C-E Credit</t>
  </si>
  <si>
    <t>Utility System Total Risk Mitigation Benefit</t>
  </si>
  <si>
    <t>Utility System Total System Benefit</t>
  </si>
  <si>
    <t>Utility System Total Non-Consumer Cost</t>
  </si>
  <si>
    <t>Utility System Net Levelized Cost (Net of Elec T&amp;D Capacity Benefits, Act Credit &amp; Risk-Mitigation Benefit) in mills/kwh</t>
  </si>
  <si>
    <t>Utility System System B/C Ratio</t>
  </si>
  <si>
    <t>Wholesale Electric Levelized Cost</t>
  </si>
  <si>
    <t>Retail Electric Levelized Cost</t>
  </si>
  <si>
    <t>Natural Gas Levelized Cost</t>
  </si>
  <si>
    <t>Customer Levelized Cost</t>
  </si>
  <si>
    <t>Total Levelized Cost</t>
  </si>
  <si>
    <t>PV Regional Electric Energy</t>
  </si>
  <si>
    <t>PV Regional Gas Energy</t>
  </si>
  <si>
    <t>PV Regional Electric T&amp;D Def. Cap.</t>
  </si>
  <si>
    <t>PV Regional Gas T&amp;D Def. Cap.</t>
  </si>
  <si>
    <t>PV Regional Electric System CO2</t>
  </si>
  <si>
    <t>PV Regional Gas System CO2</t>
  </si>
  <si>
    <t>PV Regional Electric System Risk-Mitigation Benefit</t>
  </si>
  <si>
    <t>PV Regional Gas System Risk-Mitigation Benefit</t>
  </si>
  <si>
    <t>PV Regional Non-E Value</t>
  </si>
  <si>
    <t>PV Regional Act Credit</t>
  </si>
  <si>
    <t>PV Regional Capital Cost</t>
  </si>
  <si>
    <t>PV Regional Admin Cost</t>
  </si>
  <si>
    <t>PV Regional Annual O&amp;M Cost</t>
  </si>
  <si>
    <t>PV Regional Periodic Replacement Cost</t>
  </si>
  <si>
    <t>PV Total Regional Benefit</t>
  </si>
  <si>
    <t>PV Total Regional Cost</t>
  </si>
  <si>
    <t>Electric System CO2 Avoided (Lifetime Tons)</t>
  </si>
  <si>
    <t>Gas System CO2 Avoided (Lifetime Tons)</t>
  </si>
  <si>
    <t>Total System CO2 Avoided (Lifetime Tons)</t>
  </si>
  <si>
    <t>Electric System CO2 Avoided (Annual Tons in 2018)</t>
  </si>
  <si>
    <t>Gas System CO2 Avoided (Annual Tons in 2018)</t>
  </si>
  <si>
    <t>Total System CO2 Avoided (Annual Tons in 2018)</t>
  </si>
  <si>
    <t>Gas Site Savings (therms)</t>
  </si>
  <si>
    <t>Load Shape (gas)</t>
  </si>
  <si>
    <t>Diversitfied Load Factor (gas)</t>
  </si>
  <si>
    <t>Wholesale Coincidence Factor (gas)</t>
  </si>
  <si>
    <t>Total Gas Utility System Energy</t>
  </si>
  <si>
    <t>Gas Utility System T&amp;D Def. Cap.</t>
  </si>
  <si>
    <t>Gas Utility System Risk Mitigation Benefit</t>
  </si>
  <si>
    <t>Gas Utility System Total System Benefit</t>
  </si>
  <si>
    <t>Gas Utility System Total Non-Consumer Cost</t>
  </si>
  <si>
    <t>Gas Utility System Net Levelized Cost (Net of Gas T&amp;D Capacity Benefits &amp; Risk-Mitigation Benefits) in cents/therm</t>
  </si>
  <si>
    <t>Gas Utility System System B/C Ratio</t>
  </si>
  <si>
    <t>(na)</t>
  </si>
  <si>
    <t>Category Results; Sorted by TRC Levelized Cost</t>
  </si>
  <si>
    <t>Supply Curve Results; Categories sorted by TRC Net Levelized Cost</t>
  </si>
  <si>
    <t>Totals for Categories with Benefits Exceeding Costs.    Levelized cost is TRC Net Levelized Cost (Net of Benefits)</t>
  </si>
  <si>
    <t>Savings Allocation by Cost Bin and Month for Segments 1</t>
  </si>
  <si>
    <t>Savings Allocation by Cost Bin and Month for Segments 2</t>
  </si>
  <si>
    <t>Totals Basis</t>
  </si>
  <si>
    <t>Busbar Electric Savings in kWh</t>
  </si>
  <si>
    <t>Measures with B/C &gt; 1.00</t>
  </si>
  <si>
    <t>Categories with B/C &gt; 1.00</t>
  </si>
  <si>
    <t>Supply Curve Results:  By TRC Net Levelized Cost - Net of Benefits</t>
  </si>
  <si>
    <t>Block 2: &lt;= 10 mills/kWh</t>
  </si>
  <si>
    <t>Block 22: &gt; 200 mills/kWh</t>
  </si>
  <si>
    <t>greater</t>
  </si>
  <si>
    <t>re feet</t>
  </si>
  <si>
    <t xml:space="preserve">From: </t>
  </si>
  <si>
    <t>Res_DHP&amp;HPConversions_UpgradesFY09v1_1.xls</t>
  </si>
  <si>
    <t>Electric Furnace Cost</t>
  </si>
  <si>
    <t>CFM</t>
  </si>
  <si>
    <t>&lt;1200 sq. ft.</t>
  </si>
  <si>
    <t>1200 - 1800 sq.ft.</t>
  </si>
  <si>
    <t>1801 - 2600 sq.ft.</t>
  </si>
  <si>
    <t>2600 - 3200 sq.ft.</t>
  </si>
  <si>
    <t>updated from SEEM 93 to SEEM 96</t>
  </si>
  <si>
    <t>although GSHP could be installed in urban lots, more constraints on lot size and zoning, so conservatively use rural homes as proxy</t>
  </si>
  <si>
    <t>based on contractor interviews. Given wide variety in costs, not including fed tax incentive for 2016, as uncertainty is similar to this benefit</t>
  </si>
  <si>
    <t>1Slow</t>
  </si>
  <si>
    <t>slow adoption of technology</t>
  </si>
  <si>
    <t>weighted to region average</t>
  </si>
  <si>
    <t>NEB</t>
  </si>
  <si>
    <t>SEEM Single Family Calibration Factors</t>
  </si>
  <si>
    <t>Phase 1</t>
  </si>
  <si>
    <t>Equipment</t>
  </si>
  <si>
    <t>Middle Uo Break-point</t>
  </si>
  <si>
    <t>Lower Uo Cut-off</t>
  </si>
  <si>
    <t>Adjustment Factors</t>
  </si>
  <si>
    <t>Code</t>
  </si>
  <si>
    <t>1FUR</t>
  </si>
  <si>
    <t>eFAF or Zonal</t>
  </si>
  <si>
    <t>2FUR</t>
  </si>
  <si>
    <t>3FUR</t>
  </si>
  <si>
    <t>1DHP</t>
  </si>
  <si>
    <t>DHP</t>
  </si>
  <si>
    <t>DHP THETA</t>
  </si>
  <si>
    <t>2DHP</t>
  </si>
  <si>
    <t>3DHP</t>
  </si>
  <si>
    <t>1HP</t>
  </si>
  <si>
    <t>HP or Gas FAF</t>
  </si>
  <si>
    <t>2HP</t>
  </si>
  <si>
    <t>3HP</t>
  </si>
  <si>
    <t>Phase 2</t>
  </si>
  <si>
    <t>Electric Heating Adjustment</t>
  </si>
  <si>
    <t>Non-Electric Heat Adjustment</t>
  </si>
  <si>
    <t>eFAF, Zonal, HP, or Gas FAF</t>
  </si>
  <si>
    <t>*** Note the RTF has only approved calibration of single family houses with DHP heating systems in existing houses (not new).</t>
  </si>
  <si>
    <t>SEEM Manufactured Home Calibration Factors</t>
  </si>
  <si>
    <t>No additional calibration factors.</t>
  </si>
  <si>
    <t>SEEM Multifamily Calibration Factors</t>
  </si>
  <si>
    <t>Calibration History: RTF Decisions</t>
  </si>
  <si>
    <t>Strikeouts denote superseded decisions.</t>
  </si>
  <si>
    <t>RTF Decision Summary</t>
  </si>
  <si>
    <t>Housing Type</t>
  </si>
  <si>
    <t>T-stat Results</t>
  </si>
  <si>
    <t>Data Sources Used in Calibration</t>
  </si>
  <si>
    <t>SEEM 92 model is calibrated.</t>
  </si>
  <si>
    <r>
      <t xml:space="preserve">HP &amp; Gas FAF
</t>
    </r>
    <r>
      <rPr>
        <strike/>
        <sz val="12"/>
        <color rgb="FF000000"/>
        <rFont val="Calibri"/>
        <family val="2"/>
      </rPr>
      <t xml:space="preserve">70°F Day ; 64°F Night
</t>
    </r>
    <r>
      <rPr>
        <strike/>
        <u/>
        <sz val="12"/>
        <color rgb="FF000000"/>
        <rFont val="Calibri"/>
        <family val="2"/>
      </rPr>
      <t xml:space="preserve">Electric FAF and Zonal
</t>
    </r>
    <r>
      <rPr>
        <strike/>
        <sz val="12"/>
        <color rgb="FF000000"/>
        <rFont val="Calibri"/>
        <family val="2"/>
      </rPr>
      <t>66°F Day &amp; Night</t>
    </r>
  </si>
  <si>
    <t>1. Res New Const. Billing Analysis (RLW 2007)
2. SGC Metered Data
3. NEEA Heat Pump Study (2005)
Note: Very limited representation of Zones 2 &amp; 3</t>
  </si>
  <si>
    <t>SEEM 93 model is calibrated. 
(implicit decision)</t>
  </si>
  <si>
    <t>Single Family with GSHP</t>
  </si>
  <si>
    <t>70°F Day ; 64°F Night</t>
  </si>
  <si>
    <t>1. Missoula GSHP Study (1996)</t>
  </si>
  <si>
    <t>Use updated SEEM94 model</t>
  </si>
  <si>
    <t>Single Family, Manufactured Home</t>
  </si>
  <si>
    <t>Ecotope updated SEEM code to model the physics of the house infiltration, rather than rely on a constant stipulated infiltration rate input in previous versions of SEEM.</t>
  </si>
  <si>
    <t>SEEM 94 model is calibrated</t>
  </si>
  <si>
    <t>Manufactured Home</t>
  </si>
  <si>
    <t>69.4°F Day
61.6°F Night</t>
  </si>
  <si>
    <t>1. NEEM 2006
2. NEEA Heat Pump Study (2005)
3. MAP 1995
4. RCDP (manufactured homes)</t>
  </si>
  <si>
    <t>Multifamily</t>
  </si>
  <si>
    <r>
      <t xml:space="preserve">Walk-up and Corridor
</t>
    </r>
    <r>
      <rPr>
        <sz val="12"/>
        <color rgb="FF000000"/>
        <rFont val="Calibri"/>
        <family val="2"/>
      </rPr>
      <t>68°F Day&amp; Night</t>
    </r>
    <r>
      <rPr>
        <u/>
        <sz val="12"/>
        <color rgb="FF000000"/>
        <rFont val="Calibri"/>
        <family val="2"/>
      </rPr>
      <t xml:space="preserve">
Townhouses
</t>
    </r>
    <r>
      <rPr>
        <sz val="12"/>
        <color rgb="FF000000"/>
        <rFont val="Calibri"/>
        <family val="2"/>
      </rPr>
      <t>66°F Day &amp; Night</t>
    </r>
  </si>
  <si>
    <t>1. Multifamily MCS (SBW 1994)
2. MF Wx Impact Evaluation for PSE (SBW 2011)
3. New Multifamly Building Analysis (Ecotope 2009)
4. ARRA Verification for King County (Ecotope 2010)</t>
  </si>
  <si>
    <t>Single Family with Electric FAF, Electric Zonal, Gas FAF, or central Air Source Heat Pump</t>
  </si>
  <si>
    <t>Varies by heating system type and house Uo.</t>
  </si>
  <si>
    <t>RBSA Single Family.  (Audits and Billing History.)</t>
  </si>
  <si>
    <t>Off-Grid Adjustment</t>
  </si>
  <si>
    <t>SEEM 94 model is calibrated (implicit decision)</t>
  </si>
  <si>
    <t>Single Family with DHP</t>
  </si>
  <si>
    <t>Varies by house Uo.</t>
  </si>
  <si>
    <t>DHP Metering Study (n=93).</t>
  </si>
  <si>
    <t>69°F Day
64°F Night</t>
  </si>
  <si>
    <t>RBSA Single Family.  (Audits and Billing History.)  Note: This revises the May 2013 decision.</t>
  </si>
  <si>
    <t>Wood fuel credit</t>
  </si>
  <si>
    <t>SEEM Simulation Model  Version 0.96 build Feb  5 2015 17:24:29.    Date: 02/06/2015  Time: 09:54:24  File: \\nas2\Q\TJ\SEEM\SEEM96\seem_inputs.csv</t>
  </si>
  <si>
    <t>calc'd bldg UA</t>
  </si>
  <si>
    <t>balance_pt</t>
  </si>
  <si>
    <t xml:space="preserve"> HDD nws</t>
  </si>
  <si>
    <t xml:space="preserve"> CDD nws</t>
  </si>
  <si>
    <t xml:space="preserve"> site pressure</t>
  </si>
  <si>
    <t>Annual Average ACH</t>
  </si>
  <si>
    <t>Heating Average ACH</t>
  </si>
  <si>
    <t xml:space="preserve"> Design ACH</t>
  </si>
  <si>
    <t>annual house heating load</t>
  </si>
  <si>
    <t>annual ht equip output incl aux</t>
  </si>
  <si>
    <t>annual ht equip input incl aux</t>
  </si>
  <si>
    <t>annual elec strip ht</t>
  </si>
  <si>
    <t xml:space="preserve"> fan energy for ht mode</t>
  </si>
  <si>
    <t>annual fan hrs in ht mode</t>
  </si>
  <si>
    <t>annual house cooling load</t>
  </si>
  <si>
    <t xml:space="preserve"> annual cool equip output</t>
  </si>
  <si>
    <t>annual cooling equip input</t>
  </si>
  <si>
    <t>annual latent load</t>
  </si>
  <si>
    <t xml:space="preserve"> latent percent</t>
  </si>
  <si>
    <t xml:space="preserve"> hrs cool set pt not met within 1F</t>
  </si>
  <si>
    <t xml:space="preserve"> annual fan energy for cool mode</t>
  </si>
  <si>
    <t>annual fan hrs in cool mode</t>
  </si>
  <si>
    <t>max hse heat load</t>
  </si>
  <si>
    <t xml:space="preserve"> max ht equip load</t>
  </si>
  <si>
    <t>max ht equip input</t>
  </si>
  <si>
    <t xml:space="preserve"> max aux ht</t>
  </si>
  <si>
    <t>fan pwr and heat gen rate</t>
  </si>
  <si>
    <t>max hse cool load</t>
  </si>
  <si>
    <t xml:space="preserve"> max cool equip load</t>
  </si>
  <si>
    <t>max cool equip input</t>
  </si>
  <si>
    <t xml:space="preserve"> hrs heat set pt not met within 1F</t>
  </si>
  <si>
    <t xml:space="preserve"> annual GSHP loop pumping energy</t>
  </si>
  <si>
    <t xml:space="preserve"> Annual fan energy consumption</t>
  </si>
  <si>
    <t>Annual HPWH heat added</t>
  </si>
  <si>
    <t xml:space="preserve"> Annual useful HPWH heat added</t>
  </si>
  <si>
    <t xml:space="preserve"> Annual HPWH energy consumed</t>
  </si>
  <si>
    <t xml:space="preserve"> Ave temp of outlet water</t>
  </si>
  <si>
    <t xml:space="preserve"> label of your choice will be used in name of SEEM output file</t>
  </si>
  <si>
    <t>weather file name in weather directory</t>
  </si>
  <si>
    <t>1=print hourly output (.SEEM file) for each run. 0=do not print hourly output</t>
  </si>
  <si>
    <t>Month for an additional set of hourly output. Enter 0 for no additional output</t>
  </si>
  <si>
    <t>Day for an additional set of hourly output. Enter 0 for no additional output. Enter valid day (not February 30 or April 31 etc)</t>
  </si>
  <si>
    <t>heat setpoint, higher T</t>
  </si>
  <si>
    <t>heat setpoint, lower T</t>
  </si>
  <si>
    <t>cool setpoint, lower T</t>
  </si>
  <si>
    <t>cool setpoint, higher T</t>
  </si>
  <si>
    <t>non zero for schedule number, 0 ignore</t>
  </si>
  <si>
    <t>ave internal gains</t>
  </si>
  <si>
    <t>Use internal gains schedule?</t>
  </si>
  <si>
    <t>ave internal moisture gains</t>
  </si>
  <si>
    <t>Use internal moistuer gains schedule?</t>
  </si>
  <si>
    <t>type of equip: (YKC= HSPF 7.2/SEER 10.0) (YSA= HSPF 9.0/SEER 14.5) (HPA3= HSPF 8.0/SEER 13.0) (HCA3=HSPF7.9/SEER13) FYKC= (FUR + YKC cool) (FYSA= FUR + YSA cool) (FHPA= FUR + HPA cool) ( FHCA=FUR + HCA cool) FUR=electric furnace, no cooling.  For Gas Furnace, use FUR and apply AFUE to output. (DHP1=HSPF12 SEER25) (DHP2=HSPF10.6 SEER23) (DHP3=HSPF8.2 SEER16)</t>
  </si>
  <si>
    <t>Heat Pump size</t>
  </si>
  <si>
    <t>size of elec. Furn</t>
  </si>
  <si>
    <t>multiplier for rated CFM</t>
  </si>
  <si>
    <t>HP control strategy</t>
  </si>
  <si>
    <t>cutoff T for cntrl strategies</t>
  </si>
  <si>
    <t>1=perfect ducts, 0=imperf.</t>
  </si>
  <si>
    <t>loc. of supply ducts</t>
  </si>
  <si>
    <t>sup leak frac</t>
  </si>
  <si>
    <t>sup duct area</t>
  </si>
  <si>
    <t>sup duct R-value</t>
  </si>
  <si>
    <t>loc of return ducts</t>
  </si>
  <si>
    <t>ret leak frac</t>
  </si>
  <si>
    <t>ret duct area</t>
  </si>
  <si>
    <t>ret duct  R-value</t>
  </si>
  <si>
    <t>conditioned floor area</t>
  </si>
  <si>
    <t>Volume of house</t>
  </si>
  <si>
    <t>Area of floor exposed to outdoors, i.e., over garage or cantilever</t>
  </si>
  <si>
    <t>Ext. floor R-value</t>
  </si>
  <si>
    <t>Gross ext. wall area</t>
  </si>
  <si>
    <t>Wall Rvalue</t>
  </si>
  <si>
    <t>full ceiling area</t>
  </si>
  <si>
    <t>r-val of ceiling from room air to attic air</t>
  </si>
  <si>
    <t>roof solar absorptivity, recommend 0.85 to 0.98</t>
  </si>
  <si>
    <t>North window area</t>
  </si>
  <si>
    <t>East window area</t>
  </si>
  <si>
    <t>South window area</t>
  </si>
  <si>
    <t>West window area</t>
  </si>
  <si>
    <t>overall air-to-air u-val of window incl. frame, from NFRC</t>
  </si>
  <si>
    <t>solar ht gain coef incl frame from NFRC</t>
  </si>
  <si>
    <t>multiplies SHGC to account for both internal and external shading of window</t>
  </si>
  <si>
    <t>door area</t>
  </si>
  <si>
    <t>overall r-value for rough-out area</t>
  </si>
  <si>
    <t>1=crawl, 2=slab, 3=unheated basement, 4=heated basement</t>
  </si>
  <si>
    <t>footprint area, NOT conditioned floor area</t>
  </si>
  <si>
    <t>perimeter of footprint</t>
  </si>
  <si>
    <t>wood floor R-value</t>
  </si>
  <si>
    <t>R-value under slab (continuous)</t>
  </si>
  <si>
    <t>R-value of carpet, pad etc. on slab or wood floor</t>
  </si>
  <si>
    <t>H = horz insulation, V = vertical insulation to top of slab, N = no insulation</t>
  </si>
  <si>
    <t>Depth (V) or width (H) of perimeter slab insulation</t>
  </si>
  <si>
    <t>R-val of perimeter insulation</t>
  </si>
  <si>
    <t>Average soil conductivity</t>
  </si>
  <si>
    <t>Ave distance from finish grade to finish floor</t>
  </si>
  <si>
    <t>Wall R-value</t>
  </si>
  <si>
    <t>Average distance from finish grade to crawlspace floor</t>
  </si>
  <si>
    <t>wall R-value</t>
  </si>
  <si>
    <t>blower door CFM50</t>
  </si>
  <si>
    <t>Stack height</t>
  </si>
  <si>
    <t>fan type</t>
  </si>
  <si>
    <t>fan cfm</t>
  </si>
  <si>
    <t>schedule number for exhaust fan</t>
  </si>
  <si>
    <t>user entered values or default values for fan efficiency</t>
  </si>
  <si>
    <t xml:space="preserve"> fan efficiency in CFM/Watt</t>
  </si>
  <si>
    <t xml:space="preserve"> HRV efficiency as decimal percent</t>
  </si>
  <si>
    <t xml:space="preserve"> attic air change rate per hr</t>
  </si>
  <si>
    <t>crawl air change rate per hr</t>
  </si>
  <si>
    <t>HPWH</t>
  </si>
  <si>
    <t>tank size in gallons</t>
  </si>
  <si>
    <t>performance level</t>
  </si>
  <si>
    <t>water setpoint</t>
  </si>
  <si>
    <t>Is the water heater ducted to outside</t>
  </si>
  <si>
    <t>evaporator fan flow</t>
  </si>
  <si>
    <t>OUTPUT</t>
  </si>
  <si>
    <t>RUN PARAMETERS</t>
  </si>
  <si>
    <t>OCCUPANCY PARAMETERS</t>
  </si>
  <si>
    <t>EQUIPMENT PARAMETERS</t>
  </si>
  <si>
    <t>DUCT PARAMETERS</t>
  </si>
  <si>
    <t>ENVELOPE PARAMETERS</t>
  </si>
  <si>
    <t>FOUNDATION PARAMETERS</t>
  </si>
  <si>
    <t>INFILTRATION PARAMETERS</t>
  </si>
  <si>
    <t>HPWH Parameters</t>
  </si>
  <si>
    <t>Runlabel</t>
  </si>
  <si>
    <t>State</t>
  </si>
  <si>
    <t>wtype</t>
  </si>
  <si>
    <t>Balance Point</t>
  </si>
  <si>
    <t xml:space="preserve"> HDD65</t>
  </si>
  <si>
    <t>CDD65</t>
  </si>
  <si>
    <t>pressure</t>
  </si>
  <si>
    <t>ACHannual</t>
  </si>
  <si>
    <t>ACHheating</t>
  </si>
  <si>
    <t>ACHdesign</t>
  </si>
  <si>
    <t>inheatkwh</t>
  </si>
  <si>
    <t>auxheatkwh</t>
  </si>
  <si>
    <t>fanheatkwh</t>
  </si>
  <si>
    <t>fanheathrs</t>
  </si>
  <si>
    <t>roomcoolkwh</t>
  </si>
  <si>
    <t>equipcoolkwh</t>
  </si>
  <si>
    <t>qlatentkwh</t>
  </si>
  <si>
    <t>latentpct</t>
  </si>
  <si>
    <t>hrcoolsetpointmissed</t>
  </si>
  <si>
    <t>fancoolkwh</t>
  </si>
  <si>
    <t>fancoolhrs</t>
  </si>
  <si>
    <t>roomheatmax</t>
  </si>
  <si>
    <t>equipheatmax</t>
  </si>
  <si>
    <t>inheatmax</t>
  </si>
  <si>
    <t>qauxheatmax</t>
  </si>
  <si>
    <t>fanmax</t>
  </si>
  <si>
    <t>roomcoolmax</t>
  </si>
  <si>
    <t>equipcoolmax</t>
  </si>
  <si>
    <t>incoolmax</t>
  </si>
  <si>
    <t>hrheatsetptmissed</t>
  </si>
  <si>
    <t>gshplooppumpkWh</t>
  </si>
  <si>
    <t>VentFankWh</t>
  </si>
  <si>
    <t>HPWHadded</t>
  </si>
  <si>
    <t>HPWHuseful</t>
  </si>
  <si>
    <t>HPWHinput_e</t>
  </si>
  <si>
    <t>T_ave</t>
  </si>
  <si>
    <t xml:space="preserve"> RunLabel$</t>
  </si>
  <si>
    <t>Wname$</t>
  </si>
  <si>
    <t>HourlyOut</t>
  </si>
  <si>
    <t>OutputMonth</t>
  </si>
  <si>
    <t>OutputDay</t>
  </si>
  <si>
    <t>Theathi</t>
  </si>
  <si>
    <t>Theatlo</t>
  </si>
  <si>
    <t>Tcoollo</t>
  </si>
  <si>
    <t>Tcoolhi</t>
  </si>
  <si>
    <t>Tschedule</t>
  </si>
  <si>
    <t>QGains</t>
  </si>
  <si>
    <t>Qgainsschedule</t>
  </si>
  <si>
    <t>Wgains</t>
  </si>
  <si>
    <t>Wgainsschedule</t>
  </si>
  <si>
    <t>Equiptype$</t>
  </si>
  <si>
    <t>Furnsize</t>
  </si>
  <si>
    <t>CFMmult</t>
  </si>
  <si>
    <t>HPcntrl</t>
  </si>
  <si>
    <t>Tcntrl</t>
  </si>
  <si>
    <t>Perfect</t>
  </si>
  <si>
    <t>SDloc$</t>
  </si>
  <si>
    <t>SDleak</t>
  </si>
  <si>
    <t>SDArea</t>
  </si>
  <si>
    <t>SDRval</t>
  </si>
  <si>
    <t>RDloc$</t>
  </si>
  <si>
    <t>RDleak</t>
  </si>
  <si>
    <t>RDArea</t>
  </si>
  <si>
    <t>RDRval</t>
  </si>
  <si>
    <t>Afloorcon</t>
  </si>
  <si>
    <t>Volume</t>
  </si>
  <si>
    <t>Afloorext</t>
  </si>
  <si>
    <t>Rfloorext</t>
  </si>
  <si>
    <t>Aextwall</t>
  </si>
  <si>
    <t>Rextwall</t>
  </si>
  <si>
    <t>Aceiling</t>
  </si>
  <si>
    <t>Rceiling</t>
  </si>
  <si>
    <t>Absroof</t>
  </si>
  <si>
    <t>AwinN</t>
  </si>
  <si>
    <t>AwinE</t>
  </si>
  <si>
    <t>AwinS</t>
  </si>
  <si>
    <t>AwinW</t>
  </si>
  <si>
    <t>Uwindow</t>
  </si>
  <si>
    <t>SHGC</t>
  </si>
  <si>
    <t>Shading Factor</t>
  </si>
  <si>
    <t>Adoor</t>
  </si>
  <si>
    <t>Rdoor</t>
  </si>
  <si>
    <t>Foundtype</t>
  </si>
  <si>
    <t>Afootprint</t>
  </si>
  <si>
    <t>Pfootprint</t>
  </si>
  <si>
    <t>Rfloor</t>
  </si>
  <si>
    <t>Rslabins</t>
  </si>
  <si>
    <t>Rcarpet</t>
  </si>
  <si>
    <t>Edgetype$</t>
  </si>
  <si>
    <t>EdgeDepth</t>
  </si>
  <si>
    <t>RedgeIns</t>
  </si>
  <si>
    <t>Soilcond</t>
  </si>
  <si>
    <t>HeightAG</t>
  </si>
  <si>
    <t>RwallAG</t>
  </si>
  <si>
    <t>HeightBG</t>
  </si>
  <si>
    <t>RwallBG</t>
  </si>
  <si>
    <t>CFM50</t>
  </si>
  <si>
    <t>H</t>
  </si>
  <si>
    <t>FanType</t>
  </si>
  <si>
    <t>FanCFM</t>
  </si>
  <si>
    <t>FanSched</t>
  </si>
  <si>
    <t>FanEquip</t>
  </si>
  <si>
    <t>FanEff</t>
  </si>
  <si>
    <t>HRVEff</t>
  </si>
  <si>
    <t>achattic</t>
  </si>
  <si>
    <t>achcrawl</t>
  </si>
  <si>
    <t>HPWH_size</t>
  </si>
  <si>
    <t>HPWH_performance</t>
  </si>
  <si>
    <t>HPWH_setpoint</t>
  </si>
  <si>
    <t>ducted</t>
  </si>
  <si>
    <t>HPWH_fan</t>
  </si>
  <si>
    <t>(Btuh/F)</t>
  </si>
  <si>
    <t>(F)</t>
  </si>
  <si>
    <t>(atm)</t>
  </si>
  <si>
    <t>(1/hr)</t>
  </si>
  <si>
    <t>(hr)</t>
  </si>
  <si>
    <t>(%)</t>
  </si>
  <si>
    <t>(Btuh)</t>
  </si>
  <si>
    <t>(any)</t>
  </si>
  <si>
    <t>(City)</t>
  </si>
  <si>
    <t>(1 or 0)</t>
  </si>
  <si>
    <t>(0 to 12)</t>
  </si>
  <si>
    <t>(0 to 31)</t>
  </si>
  <si>
    <t>(0 to 5)</t>
  </si>
  <si>
    <t>(Btu/hr)</t>
  </si>
  <si>
    <t>(lb/hr)</t>
  </si>
  <si>
    <t>(YKC,YSA,HPA3,HCA3,FYKC,FYSA,FHPA,FHCA,FUR,DHP1,DHP2,DHP3)</t>
  </si>
  <si>
    <t>(tons)</t>
  </si>
  <si>
    <t>(Kw)</t>
  </si>
  <si>
    <t>(0.7 to 1.3)</t>
  </si>
  <si>
    <t>(0-3)</t>
  </si>
  <si>
    <t>(Crawl, Attic, Out, In)</t>
  </si>
  <si>
    <t>(0 to 1)</t>
  </si>
  <si>
    <t>(ft^2)</t>
  </si>
  <si>
    <t>(R-value)</t>
  </si>
  <si>
    <t>(ft^3)</t>
  </si>
  <si>
    <t>(U-value)</t>
  </si>
  <si>
    <t>(1, 2, 3, 4)</t>
  </si>
  <si>
    <t>(ft)</t>
  </si>
  <si>
    <t>(H, V, N)</t>
  </si>
  <si>
    <t>(R-Value)</t>
  </si>
  <si>
    <t>(Btu/ft-F-hr)</t>
  </si>
  <si>
    <t>(CFM)</t>
  </si>
  <si>
    <t>(Exhaust, Supply, HRV, or None)</t>
  </si>
  <si>
    <t>(USR,Estar,EstarNW,Standard)</t>
  </si>
  <si>
    <t>(CFM/W)</t>
  </si>
  <si>
    <t>(decimal percent)</t>
  </si>
  <si>
    <t>(gal)</t>
  </si>
  <si>
    <t>(1 or 2)</t>
  </si>
  <si>
    <t>NWHZ1CZ1_1568n_20hp85_des0</t>
  </si>
  <si>
    <t>NW</t>
  </si>
  <si>
    <t>NWHZ1CZ1_3</t>
  </si>
  <si>
    <t>YSA</t>
  </si>
  <si>
    <t>Crawl</t>
  </si>
  <si>
    <t>In</t>
  </si>
  <si>
    <t>N</t>
  </si>
  <si>
    <t>Exhaust</t>
  </si>
  <si>
    <t>Standard</t>
  </si>
  <si>
    <t>NWHZ1CZ2_1568n_20hp85_des0</t>
  </si>
  <si>
    <t>NWHZ1CZ2_3</t>
  </si>
  <si>
    <t>NWHZ1CZ3_1568n_20hp85_des0</t>
  </si>
  <si>
    <t>NWHZ1CZ3_3</t>
  </si>
  <si>
    <t>WxHZ1CZ1_1568e_20hp85_des0</t>
  </si>
  <si>
    <t>WxHZ1CZ2_1568e_20hp85_des0</t>
  </si>
  <si>
    <t>WxHZ1CZ3_1568e_20hp85_des0</t>
  </si>
  <si>
    <t>NWHZ2CZ1_1568n_20hp85_des0</t>
  </si>
  <si>
    <t>NWHZ2CZ1_3</t>
  </si>
  <si>
    <t>NWHZ2CZ2_1568n_20hp85_des0</t>
  </si>
  <si>
    <t>NWHZ2CZ2_3</t>
  </si>
  <si>
    <t>NWHZ2CZ3_1568n_20hp85_des0</t>
  </si>
  <si>
    <t>NWHZ2CZ3_3</t>
  </si>
  <si>
    <t>WxHZ2CZ1_1568e_20hp85_des0</t>
  </si>
  <si>
    <t>WxHZ2CZ2_1568e_20hp85_des0</t>
  </si>
  <si>
    <t>WxHZ2CZ3_1568e_20hp85_des0</t>
  </si>
  <si>
    <t>NWHZ3CZ1_1568n_20hp85_des0</t>
  </si>
  <si>
    <t>NWHZ3CZ1_3</t>
  </si>
  <si>
    <t>NWHZ3CZ2_1568n_20hp85_des0</t>
  </si>
  <si>
    <t>NWHZ3CZ2_3</t>
  </si>
  <si>
    <t>NWHZ3CZ3_1568n_20hp85_des0</t>
  </si>
  <si>
    <t>NWHZ3CZ3_3</t>
  </si>
  <si>
    <t>WxHZ3CZ1_1568e_20hp85_des0</t>
  </si>
  <si>
    <t>WxHZ3CZ2_1568e_20hp85_des0</t>
  </si>
  <si>
    <t>WxHZ3CZ3_1568e_20hp85_des0</t>
  </si>
  <si>
    <t>NWHZ1CZ1_2200n_25hp85_des0</t>
  </si>
  <si>
    <t>Attic</t>
  </si>
  <si>
    <t>NWHZ1CZ2_2200n_25hp85_des0</t>
  </si>
  <si>
    <t>NWHZ1CZ3_2200n_25hp85_des0</t>
  </si>
  <si>
    <t>WxHZ1CZ2_2200e_30hp85_des0</t>
  </si>
  <si>
    <t>WxHZ1CZ3_2200e_30hp85_des0</t>
  </si>
  <si>
    <t>NWHZ2CZ1_2200n_25hp85_des0</t>
  </si>
  <si>
    <t>NWHZ2CZ2_2200n_25hp85_des0</t>
  </si>
  <si>
    <t>NWHZ2CZ3_2200n_25hp85_des0</t>
  </si>
  <si>
    <t>WxHZ2CZ2_2200e_30hp85_des0</t>
  </si>
  <si>
    <t>WxHZ2CZ3_2200e_30hp85_des0</t>
  </si>
  <si>
    <t>NWHZ3CZ1_2200n_25hp85_des0</t>
  </si>
  <si>
    <t>NWHZ3CZ2_2200n_25hp85_des0</t>
  </si>
  <si>
    <t>NWHZ3CZ3_2200n_25hp85_des0</t>
  </si>
  <si>
    <t>WxHZ3CZ2_2200e_30hp85_des0</t>
  </si>
  <si>
    <t>WxHZ3CZ3_2200e_30hp85_des0</t>
  </si>
  <si>
    <t>NWHZ1CZ1_2688n_25hp85_des0</t>
  </si>
  <si>
    <t>NWHZ1CZ2_2688n_25hp85_des0</t>
  </si>
  <si>
    <t>NWHZ1CZ3_2688n_25hp85_des0</t>
  </si>
  <si>
    <t>WxHZ1CZ1_2688e_25hp85_des0</t>
  </si>
  <si>
    <t>WxHZ1CZ2_2688e_25hp85_des0</t>
  </si>
  <si>
    <t>WxHZ1CZ3_2688e_25hp85_des0</t>
  </si>
  <si>
    <t>NWHZ2CZ1_2688n_25hp85_des0</t>
  </si>
  <si>
    <t>NWHZ2CZ2_2688n_25hp85_des0</t>
  </si>
  <si>
    <t>NWHZ2CZ3_2688n_25hp85_des0</t>
  </si>
  <si>
    <t>WxHZ2CZ1_2688e_25hp85_des0</t>
  </si>
  <si>
    <t>WxHZ2CZ2_2688e_25hp85_des0</t>
  </si>
  <si>
    <t>WxHZ2CZ3_2688e_25hp85_des0</t>
  </si>
  <si>
    <t>NWHZ3CZ1_2688n_25hp85_des0</t>
  </si>
  <si>
    <t>NWHZ3CZ2_2688n_25hp85_des0</t>
  </si>
  <si>
    <t>NWHZ3CZ3_2688n_25hp85_des0</t>
  </si>
  <si>
    <t>WxHZ3CZ1_2688e_25hp85_des0</t>
  </si>
  <si>
    <t>WxHZ3CZ2_2688e_25hp85_des0</t>
  </si>
  <si>
    <t>WxHZ3CZ3_2688e_25hp85_des0</t>
  </si>
  <si>
    <t>NWHZ1CZ1_5000n_35hp85_des0</t>
  </si>
  <si>
    <t>NWHZ1CZ2_5000n_35hp85_des0</t>
  </si>
  <si>
    <t>NWHZ1CZ3_5000n_35hp85_des0</t>
  </si>
  <si>
    <t>WxHZ1CZ1_5000e_40hp85_des0</t>
  </si>
  <si>
    <t>WxHZ1CZ2_5000e_40hp85_des0</t>
  </si>
  <si>
    <t>WxHZ1CZ3_5000e_40hp85_des0</t>
  </si>
  <si>
    <t>NWHZ2CZ1_5000n_35hp85_des0</t>
  </si>
  <si>
    <t>NWHZ2CZ2_5000n_35hp85_des0</t>
  </si>
  <si>
    <t>NWHZ2CZ3_5000n_35hp85_des0</t>
  </si>
  <si>
    <t>WxHZ2CZ1_5000e_40hp85_des0</t>
  </si>
  <si>
    <t>WxHZ2CZ2_5000e_40hp85_des0</t>
  </si>
  <si>
    <t>WxHZ2CZ3_5000e_40hp85_des0</t>
  </si>
  <si>
    <t>NWHZ3CZ1_5000n_35hp85_des0</t>
  </si>
  <si>
    <t>NWHZ3CZ2_5000n_35hp85_des0</t>
  </si>
  <si>
    <t>NWHZ3CZ3_5000n_35hp85_des0</t>
  </si>
  <si>
    <t>WxHZ3CZ1_5000e_40hp85_des0</t>
  </si>
  <si>
    <t>WxHZ3CZ2_5000e_40hp85_des0</t>
  </si>
  <si>
    <t>WxHZ3CZ3_5000e_40hp85_des0</t>
  </si>
  <si>
    <t>GSHP20_32_150_nodesup</t>
  </si>
  <si>
    <t>GSHP20_32_150_desup</t>
  </si>
  <si>
    <t>NWHZ1CZ1_1568n_30gshp_des0</t>
  </si>
  <si>
    <t>WxHZ1CZ1_1568e_30gshp_des0</t>
  </si>
  <si>
    <t>NWHZ2CZ1_1568n_30gshp_des0</t>
  </si>
  <si>
    <t>WxHZ2CZ1_1568e_30gshp_des0</t>
  </si>
  <si>
    <t>NWHZ3CZ1_1568n_30gshp_des0</t>
  </si>
  <si>
    <t>WxHZ3CZ1_1568e_30gshp_des0</t>
  </si>
  <si>
    <t>NWHZ1CZ1_2200n_30gshp_des0</t>
  </si>
  <si>
    <t>NWHZ2CZ1_2200n_30gshp_des0</t>
  </si>
  <si>
    <t>NWHZ3CZ1_2200n_30gshp_des0</t>
  </si>
  <si>
    <t>NWHZ1CZ1_2688n_30gshp_des0</t>
  </si>
  <si>
    <t>WxHZ1CZ1_2688e_30gshp_des0</t>
  </si>
  <si>
    <t>NWHZ2CZ1_2688n_30gshp_des0</t>
  </si>
  <si>
    <t>WxHZ2CZ1_2688e_30gshp_des0</t>
  </si>
  <si>
    <t>NWHZ3CZ1_2688n_30gshp_des0</t>
  </si>
  <si>
    <t>WxHZ3CZ1_2688e_30gshp_des0</t>
  </si>
  <si>
    <t>NWHZ1CZ1_5000n_30gshp_des0</t>
  </si>
  <si>
    <t>WxHZ1CZ1_5000e_30gshp_des0</t>
  </si>
  <si>
    <t>NWHZ2CZ1_5000n_30gshp_des0</t>
  </si>
  <si>
    <t>WxHZ2CZ1_5000e_30gshp_des0</t>
  </si>
  <si>
    <t>NWHZ3CZ1_5000n_30gshp_des0</t>
  </si>
  <si>
    <t>WxHZ3CZ1_5000e_30gshp_des0</t>
  </si>
  <si>
    <t>NWHZ1CZ1_1568n_30gshp_des1</t>
  </si>
  <si>
    <t>WxHZ1CZ1_1568e_30gshp_des1</t>
  </si>
  <si>
    <t>NWHZ2CZ1_1568n_30gshp_des1</t>
  </si>
  <si>
    <t>WxHZ2CZ1_1568e_30gshp_des1</t>
  </si>
  <si>
    <t>NWHZ3CZ1_1568n_30gshp_des1</t>
  </si>
  <si>
    <t>WxHZ3CZ1_1568e_30gshp_des1</t>
  </si>
  <si>
    <t>NWHZ1CZ1_2200n_30gshp_des1</t>
  </si>
  <si>
    <t>NWHZ2CZ1_2200n_30gshp_des1</t>
  </si>
  <si>
    <t>NWHZ3CZ1_2200n_30gshp_des1</t>
  </si>
  <si>
    <t>NWHZ1CZ1_2688n_30gshp_des1</t>
  </si>
  <si>
    <t>WxHZ1CZ1_2688e_30gshp_des1</t>
  </si>
  <si>
    <t>NWHZ2CZ1_2688n_30gshp_des1</t>
  </si>
  <si>
    <t>WxHZ2CZ1_2688e_30gshp_des1</t>
  </si>
  <si>
    <t>NWHZ3CZ1_2688n_30gshp_des1</t>
  </si>
  <si>
    <t>WxHZ3CZ1_2688e_30gshp_des1</t>
  </si>
  <si>
    <t>NWHZ1CZ1_5000n_30gshp_des1</t>
  </si>
  <si>
    <t>WxHZ1CZ1_5000e_30gshp_des1</t>
  </si>
  <si>
    <t>NWHZ2CZ1_5000n_30gshp_des1</t>
  </si>
  <si>
    <t>WxHZ2CZ1_5000e_30gshp_des1</t>
  </si>
  <si>
    <t>NWHZ3CZ1_5000n_30gshp_des1</t>
  </si>
  <si>
    <t>WxHZ3CZ1_5000e_30gshp_des1</t>
  </si>
  <si>
    <t>Standard Practice Undersizing: Based on 2005 NEEA Heat Pump Market Research report, table 25 (with duct losses)</t>
  </si>
  <si>
    <t>ratio: 
nominal hp capacity
/
heat loss rate at design</t>
  </si>
  <si>
    <t>ratio:
heat loss rate at design
/
nominal hp capacity</t>
  </si>
  <si>
    <t>ratio: 
heat loss rate at 30
/
heat loss rate at design</t>
  </si>
  <si>
    <t>ratio:
hp capacity at 30
/
nominal hp capacity</t>
  </si>
  <si>
    <t>ratio: 
heat loss rate at 30
/
hp capacity at 30</t>
  </si>
  <si>
    <t>ratio: 
desired nominal hp capacity
/
nominal hp capacity installed</t>
  </si>
  <si>
    <t>undersized by</t>
  </si>
  <si>
    <t>nominal hp capacity (at 47)</t>
  </si>
  <si>
    <t>hp capacity at 30 deg</t>
  </si>
  <si>
    <t>Ratio:
hp capacity at 30
/
nominal hp capacity</t>
  </si>
  <si>
    <t>hp capacity at 30 deg (using Lennox)</t>
  </si>
  <si>
    <t>Bend</t>
  </si>
  <si>
    <t>5.0 ton</t>
  </si>
  <si>
    <t>Clark</t>
  </si>
  <si>
    <t>4.0 ton</t>
  </si>
  <si>
    <t>Kitsap</t>
  </si>
  <si>
    <t>3.5 ton</t>
  </si>
  <si>
    <t>Yakima</t>
  </si>
  <si>
    <t>3.0 ton</t>
  </si>
  <si>
    <t>average</t>
  </si>
  <si>
    <t>2.5 ton</t>
  </si>
  <si>
    <t>2.0 ton</t>
  </si>
  <si>
    <t>1.5 ton</t>
  </si>
  <si>
    <t>PTCS Sizing</t>
  </si>
  <si>
    <t>Design Temp (deg F)</t>
  </si>
  <si>
    <t>Heat Pump Balance Point</t>
  </si>
  <si>
    <t>degF</t>
  </si>
  <si>
    <t>From Lennox Balance Point Worksheet (normalized for generic nominal capacities)</t>
  </si>
  <si>
    <t>Capacity Equation (only applies between 25 and 35 deg)</t>
  </si>
  <si>
    <t>slope</t>
  </si>
  <si>
    <t>x ODT +</t>
  </si>
  <si>
    <t>intercept</t>
  </si>
  <si>
    <t>= Capacity</t>
  </si>
  <si>
    <t>ODT</t>
  </si>
  <si>
    <t>SUMMARY OUTPUT</t>
  </si>
  <si>
    <t>Regression Statistics</t>
  </si>
  <si>
    <t>Multiple R</t>
  </si>
  <si>
    <t>R Square</t>
  </si>
  <si>
    <t>Adjusted R Square</t>
  </si>
  <si>
    <t>Standard Error</t>
  </si>
  <si>
    <t>Observations</t>
  </si>
  <si>
    <t>ANOVA</t>
  </si>
  <si>
    <t>df</t>
  </si>
  <si>
    <t>SS</t>
  </si>
  <si>
    <t>MS</t>
  </si>
  <si>
    <t>F</t>
  </si>
  <si>
    <t>Significance F</t>
  </si>
  <si>
    <t>Regression</t>
  </si>
  <si>
    <t>Residual</t>
  </si>
  <si>
    <t>Coefficients</t>
  </si>
  <si>
    <t>t Stat</t>
  </si>
  <si>
    <t>P-value</t>
  </si>
  <si>
    <t>Lower 95%</t>
  </si>
  <si>
    <t>Upper 95%</t>
  </si>
  <si>
    <t>Lower 95.0%</t>
  </si>
  <si>
    <t>Upper 95.0%</t>
  </si>
  <si>
    <t>Intercept</t>
  </si>
  <si>
    <t>Tons = Intercept + Codt * ODT + Ccapacity * Capacity</t>
  </si>
  <si>
    <t>from:</t>
  </si>
  <si>
    <t>DHP_SEEM_Calibration_Phases I and II_8.12.2014_PROPOSED.xlsm</t>
  </si>
  <si>
    <t>from: SEEM_U0_ReCalibration_DEC2013_v5_FinalResults.xlsx</t>
  </si>
  <si>
    <t>Friday, 6 March , 2015 at 1:54 PM</t>
  </si>
  <si>
    <t>Total Max Potential (aMW)</t>
  </si>
</sst>
</file>

<file path=xl/styles.xml><?xml version="1.0" encoding="utf-8"?>
<styleSheet xmlns="http://schemas.openxmlformats.org/spreadsheetml/2006/main">
  <numFmts count="23">
    <numFmt numFmtId="5" formatCode="&quot;$&quot;#,##0_);\(&quot;$&quot;#,##0\)"/>
    <numFmt numFmtId="6" formatCode="&quot;$&quot;#,##0_);[Red]\(&quot;$&quot;#,##0\)"/>
    <numFmt numFmtId="41" formatCode="_(* #,##0_);_(* \(#,##0\);_(* &quot;-&quot;_);_(@_)"/>
    <numFmt numFmtId="44" formatCode="_(&quot;$&quot;* #,##0.00_);_(&quot;$&quot;* \(#,##0.00\);_(&quot;$&quot;* &quot;-&quot;??_);_(@_)"/>
    <numFmt numFmtId="43" formatCode="_(* #,##0.00_);_(* \(#,##0.00\);_(* &quot;-&quot;??_);_(@_)"/>
    <numFmt numFmtId="164" formatCode="0.0"/>
    <numFmt numFmtId="165" formatCode="0.00000000000000"/>
    <numFmt numFmtId="166" formatCode="0.000000"/>
    <numFmt numFmtId="167" formatCode="0.0000"/>
    <numFmt numFmtId="168" formatCode="_(&quot;$&quot;* #,##0_);_(&quot;$&quot;* \(#,##0\);_(&quot;$&quot;* &quot;-&quot;??_);_(@_)"/>
    <numFmt numFmtId="169" formatCode="m/d/\ h:mm"/>
    <numFmt numFmtId="170" formatCode="_(* #,##0.0_);_(* \(#,##0.0\);_(* &quot;-&quot;?_);_(@_)"/>
    <numFmt numFmtId="171" formatCode="_(* #,##0_);_(* \(#,##0\);_(* &quot;-&quot;??_);_(@_)"/>
    <numFmt numFmtId="172" formatCode="mmm\-yyyy"/>
    <numFmt numFmtId="173" formatCode="0.0%"/>
    <numFmt numFmtId="174" formatCode="&quot;$&quot;#,##0"/>
    <numFmt numFmtId="175" formatCode="_(* #,##0.0_);_(* \(#,##0.0\);_(* &quot;-&quot;??_);_(@_)"/>
    <numFmt numFmtId="176" formatCode="&quot;$&quot;#,##0.00"/>
    <numFmt numFmtId="177" formatCode="0.0;[Red]\-0.0"/>
    <numFmt numFmtId="178" formatCode="\ "/>
    <numFmt numFmtId="179" formatCode="0.000"/>
    <numFmt numFmtId="180" formatCode="[$-409]mmmm\,\ yyyy;@"/>
    <numFmt numFmtId="181" formatCode="_(&quot;$&quot;* #,##0.000_);_(&quot;$&quot;* \(#,##0.000\);_(&quot;$&quot;* &quot;-&quot;??_);_(@_)"/>
  </numFmts>
  <fonts count="101">
    <font>
      <sz val="10"/>
      <name val="Arial"/>
      <family val="2"/>
    </font>
    <font>
      <sz val="10"/>
      <color theme="1"/>
      <name val="Arial"/>
      <family val="2"/>
    </font>
    <font>
      <sz val="12"/>
      <name val="Arial"/>
      <family val="2"/>
    </font>
    <font>
      <b/>
      <i/>
      <sz val="10"/>
      <name val="Arial"/>
      <family val="2"/>
    </font>
    <font>
      <sz val="10"/>
      <name val="Arial"/>
      <family val="2"/>
    </font>
    <font>
      <b/>
      <sz val="10"/>
      <color rgb="FFFF0000"/>
      <name val="Arial"/>
      <family val="2"/>
    </font>
    <font>
      <b/>
      <sz val="10"/>
      <color indexed="9"/>
      <name val="Arial"/>
      <family val="2"/>
    </font>
    <font>
      <sz val="10"/>
      <color indexed="22"/>
      <name val="Arial"/>
      <family val="2"/>
    </font>
    <font>
      <sz val="10"/>
      <color indexed="12"/>
      <name val="Arial"/>
      <family val="2"/>
    </font>
    <font>
      <sz val="10"/>
      <color indexed="8"/>
      <name val="Arial"/>
      <family val="2"/>
    </font>
    <font>
      <b/>
      <sz val="10"/>
      <name val="Arial"/>
      <family val="2"/>
    </font>
    <font>
      <sz val="10"/>
      <color indexed="9"/>
      <name val="Arial"/>
      <family val="2"/>
    </font>
    <font>
      <b/>
      <sz val="8"/>
      <color indexed="81"/>
      <name val="Tahoma"/>
      <family val="2"/>
    </font>
    <font>
      <sz val="8"/>
      <color indexed="81"/>
      <name val="Tahoma"/>
      <family val="2"/>
    </font>
    <font>
      <sz val="12"/>
      <name val="Times New Roman"/>
      <family val="1"/>
    </font>
    <font>
      <b/>
      <sz val="12"/>
      <name val="Times New Roman"/>
      <family val="1"/>
    </font>
    <font>
      <b/>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u/>
      <sz val="10"/>
      <color theme="10"/>
      <name val="Arial"/>
      <family val="2"/>
    </font>
    <font>
      <b/>
      <sz val="14"/>
      <color theme="1"/>
      <name val="Calibri"/>
      <family val="2"/>
      <scheme val="minor"/>
    </font>
    <font>
      <sz val="11"/>
      <color indexed="8"/>
      <name val="Calibri"/>
      <family val="2"/>
    </font>
    <font>
      <sz val="11"/>
      <color indexed="63"/>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Times New Roman"/>
      <family val="1"/>
    </font>
    <font>
      <b/>
      <sz val="10"/>
      <color indexed="8"/>
      <name val="Arial"/>
      <family val="2"/>
    </font>
    <font>
      <i/>
      <sz val="11"/>
      <color indexed="23"/>
      <name val="Calibri"/>
      <family val="2"/>
    </font>
    <font>
      <sz val="11"/>
      <color indexed="17"/>
      <name val="Calibri"/>
      <family val="2"/>
    </font>
    <font>
      <b/>
      <sz val="15"/>
      <color indexed="56"/>
      <name val="Calibri"/>
      <family val="2"/>
    </font>
    <font>
      <b/>
      <sz val="15"/>
      <color indexed="62"/>
      <name val="Calibri"/>
      <family val="2"/>
    </font>
    <font>
      <b/>
      <sz val="13"/>
      <color indexed="62"/>
      <name val="Calibri"/>
      <family val="2"/>
    </font>
    <font>
      <b/>
      <sz val="11"/>
      <color indexed="56"/>
      <name val="Calibri"/>
      <family val="2"/>
    </font>
    <font>
      <b/>
      <sz val="11"/>
      <color indexed="62"/>
      <name val="Calibri"/>
      <family val="2"/>
    </font>
    <font>
      <u/>
      <sz val="10"/>
      <color indexed="12"/>
      <name val="Arial"/>
      <family val="2"/>
    </font>
    <font>
      <u/>
      <sz val="7"/>
      <color indexed="12"/>
      <name val="Arial"/>
      <family val="2"/>
    </font>
    <font>
      <u/>
      <sz val="10"/>
      <color indexed="12"/>
      <name val="Times New Roman"/>
      <family val="1"/>
    </font>
    <font>
      <u/>
      <sz val="11"/>
      <color theme="10"/>
      <name val="Calibri"/>
      <family val="2"/>
    </font>
    <font>
      <u/>
      <sz val="11"/>
      <color theme="10"/>
      <name val="Calibri"/>
      <family val="2"/>
      <scheme val="minor"/>
    </font>
    <font>
      <sz val="11"/>
      <color indexed="62"/>
      <name val="Calibri"/>
      <family val="2"/>
    </font>
    <font>
      <sz val="11"/>
      <color indexed="52"/>
      <name val="Calibri"/>
      <family val="2"/>
    </font>
    <font>
      <sz val="11"/>
      <color indexed="60"/>
      <name val="Calibri"/>
      <family val="2"/>
    </font>
    <font>
      <sz val="9"/>
      <name val="Arial"/>
      <family val="2"/>
    </font>
    <font>
      <sz val="12"/>
      <name val="Helv"/>
    </font>
    <font>
      <sz val="10"/>
      <name val="MS Sans Serif"/>
      <family val="2"/>
    </font>
    <font>
      <b/>
      <sz val="11"/>
      <color indexed="63"/>
      <name val="Calibri"/>
      <family val="2"/>
    </font>
    <font>
      <b/>
      <sz val="18"/>
      <color indexed="56"/>
      <name val="Cambria"/>
      <family val="2"/>
    </font>
    <font>
      <sz val="10"/>
      <name val="Helv"/>
    </font>
    <font>
      <sz val="10"/>
      <name val="Helv"/>
      <charset val="204"/>
    </font>
    <font>
      <b/>
      <sz val="18"/>
      <color indexed="62"/>
      <name val="Cambria"/>
      <family val="2"/>
    </font>
    <font>
      <b/>
      <sz val="11"/>
      <color indexed="8"/>
      <name val="Calibri"/>
      <family val="2"/>
    </font>
    <font>
      <sz val="11"/>
      <color indexed="10"/>
      <name val="Calibri"/>
      <family val="2"/>
    </font>
    <font>
      <sz val="10"/>
      <name val="굴림"/>
      <family val="3"/>
      <charset val="129"/>
    </font>
    <font>
      <b/>
      <sz val="9"/>
      <name val="Arial"/>
      <family val="2"/>
    </font>
    <font>
      <sz val="11"/>
      <color indexed="56"/>
      <name val="Calibri"/>
      <family val="2"/>
    </font>
    <font>
      <sz val="10.5"/>
      <name val="Consolas"/>
      <family val="3"/>
    </font>
    <font>
      <sz val="11"/>
      <name val="Calibri"/>
      <family val="2"/>
    </font>
    <font>
      <b/>
      <sz val="12"/>
      <name val="Calibri"/>
      <family val="2"/>
    </font>
    <font>
      <sz val="7.5"/>
      <name val="Arial"/>
      <family val="2"/>
    </font>
    <font>
      <b/>
      <sz val="7.5"/>
      <name val="Arial"/>
      <family val="2"/>
    </font>
    <font>
      <b/>
      <sz val="12"/>
      <color indexed="18"/>
      <name val="Calibri"/>
      <family val="2"/>
    </font>
    <font>
      <sz val="10"/>
      <color indexed="8"/>
      <name val="Verdana"/>
      <family val="2"/>
    </font>
    <font>
      <sz val="10"/>
      <name val="Tahoma"/>
      <family val="2"/>
    </font>
    <font>
      <b/>
      <sz val="10"/>
      <color indexed="30"/>
      <name val="Tahoma"/>
      <family val="2"/>
    </font>
    <font>
      <sz val="10"/>
      <color indexed="30"/>
      <name val="Tahoma"/>
      <family val="2"/>
    </font>
    <font>
      <b/>
      <sz val="10"/>
      <name val="Tahoma"/>
      <family val="2"/>
    </font>
    <font>
      <b/>
      <sz val="9"/>
      <color indexed="63"/>
      <name val="Verdana"/>
      <family val="2"/>
    </font>
    <font>
      <b/>
      <sz val="14"/>
      <color indexed="23"/>
      <name val="Verdana"/>
      <family val="2"/>
    </font>
    <font>
      <sz val="9"/>
      <color indexed="63"/>
      <name val="Verdana"/>
      <family val="2"/>
    </font>
    <font>
      <b/>
      <sz val="16"/>
      <color indexed="8"/>
      <name val="Calibri"/>
      <family val="2"/>
    </font>
    <font>
      <sz val="16"/>
      <color indexed="8"/>
      <name val="Calibri"/>
      <family val="2"/>
    </font>
    <font>
      <b/>
      <sz val="11"/>
      <name val="Calibri"/>
      <family val="2"/>
    </font>
    <font>
      <b/>
      <sz val="7"/>
      <name val="Times New Roman"/>
      <family val="1"/>
    </font>
    <font>
      <i/>
      <sz val="9"/>
      <color indexed="63"/>
      <name val="Verdana"/>
      <family val="2"/>
    </font>
    <font>
      <sz val="10"/>
      <color rgb="FF0070C0"/>
      <name val="Arial"/>
      <family val="2"/>
    </font>
    <font>
      <sz val="10"/>
      <color theme="5" tint="0.39997558519241921"/>
      <name val="Arial"/>
      <family val="2"/>
    </font>
    <font>
      <sz val="10"/>
      <color rgb="FF00B0F0"/>
      <name val="Arial"/>
      <family val="2"/>
    </font>
    <font>
      <sz val="10"/>
      <color theme="9" tint="-0.249977111117893"/>
      <name val="Arial"/>
      <family val="2"/>
    </font>
    <font>
      <sz val="11"/>
      <color theme="0" tint="-0.34998626667073579"/>
      <name val="Calibri"/>
      <family val="2"/>
      <scheme val="minor"/>
    </font>
    <font>
      <b/>
      <sz val="9"/>
      <color indexed="81"/>
      <name val="Tahoma"/>
      <family val="2"/>
    </font>
    <font>
      <sz val="9"/>
      <color indexed="81"/>
      <name val="Tahoma"/>
      <family val="2"/>
    </font>
    <font>
      <sz val="11"/>
      <color indexed="8"/>
      <name val="Lucida Console"/>
      <family val="3"/>
    </font>
    <font>
      <sz val="10"/>
      <color theme="9" tint="-0.499984740745262"/>
      <name val="Arial"/>
      <family val="2"/>
    </font>
    <font>
      <sz val="8"/>
      <name val="Arial"/>
      <family val="2"/>
    </font>
    <font>
      <sz val="10"/>
      <color indexed="10"/>
      <name val="Arial"/>
      <family val="2"/>
    </font>
    <font>
      <b/>
      <u/>
      <sz val="11"/>
      <color theme="1"/>
      <name val="Calibri"/>
      <family val="2"/>
      <scheme val="minor"/>
    </font>
    <font>
      <u/>
      <sz val="11"/>
      <color theme="1"/>
      <name val="Calibri"/>
      <family val="2"/>
      <scheme val="minor"/>
    </font>
    <font>
      <sz val="11"/>
      <color rgb="FFFF0000"/>
      <name val="Calibri"/>
      <family val="2"/>
      <scheme val="minor"/>
    </font>
    <font>
      <b/>
      <sz val="12"/>
      <color rgb="FF000000"/>
      <name val="Calibri"/>
      <family val="2"/>
    </font>
    <font>
      <strike/>
      <sz val="12"/>
      <color rgb="FF000000"/>
      <name val="Calibri"/>
      <family val="2"/>
    </font>
    <font>
      <strike/>
      <u/>
      <sz val="12"/>
      <color rgb="FF000000"/>
      <name val="Calibri"/>
      <family val="2"/>
    </font>
    <font>
      <sz val="12"/>
      <color rgb="FF000000"/>
      <name val="Calibri"/>
      <family val="2"/>
    </font>
    <font>
      <u/>
      <sz val="12"/>
      <color rgb="FF000000"/>
      <name val="Calibri"/>
      <family val="2"/>
    </font>
    <font>
      <strike/>
      <sz val="11"/>
      <color theme="1"/>
      <name val="Calibri"/>
      <family val="2"/>
      <scheme val="minor"/>
    </font>
    <font>
      <sz val="9"/>
      <color theme="1"/>
      <name val="Arial"/>
      <family val="2"/>
    </font>
    <font>
      <sz val="9"/>
      <color theme="1"/>
      <name val="Consolas"/>
      <family val="3"/>
    </font>
    <font>
      <sz val="11"/>
      <color theme="0" tint="-0.249977111117893"/>
      <name val="Calibri"/>
      <family val="2"/>
      <scheme val="minor"/>
    </font>
    <font>
      <i/>
      <sz val="11"/>
      <color theme="1"/>
      <name val="Calibri"/>
      <family val="2"/>
      <scheme val="minor"/>
    </font>
  </fonts>
  <fills count="75">
    <fill>
      <patternFill patternType="none"/>
    </fill>
    <fill>
      <patternFill patternType="gray125"/>
    </fill>
    <fill>
      <patternFill patternType="solid">
        <fgColor indexed="18"/>
        <bgColor indexed="64"/>
      </patternFill>
    </fill>
    <fill>
      <patternFill patternType="solid">
        <fgColor indexed="26"/>
        <bgColor indexed="64"/>
      </patternFill>
    </fill>
    <fill>
      <patternFill patternType="solid">
        <fgColor indexed="12"/>
        <bgColor indexed="64"/>
      </patternFill>
    </fill>
    <fill>
      <patternFill patternType="solid">
        <fgColor indexed="22"/>
        <bgColor indexed="64"/>
      </patternFill>
    </fill>
    <fill>
      <patternFill patternType="solid">
        <fgColor theme="4" tint="0.79998168889431442"/>
        <bgColor indexed="64"/>
      </patternFill>
    </fill>
    <fill>
      <patternFill patternType="solid">
        <fgColor indexed="57"/>
        <bgColor indexed="64"/>
      </patternFill>
    </fill>
    <fill>
      <patternFill patternType="solid">
        <fgColor indexed="47"/>
        <bgColor indexed="64"/>
      </patternFill>
    </fill>
    <fill>
      <patternFill patternType="solid">
        <fgColor indexed="44"/>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indexed="31"/>
      </patternFill>
    </fill>
    <fill>
      <patternFill patternType="solid">
        <fgColor indexed="9"/>
      </patternFill>
    </fill>
    <fill>
      <patternFill patternType="solid">
        <fgColor indexed="8"/>
      </patternFill>
    </fill>
    <fill>
      <patternFill patternType="solid">
        <fgColor indexed="45"/>
      </patternFill>
    </fill>
    <fill>
      <patternFill patternType="solid">
        <fgColor indexed="47"/>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29"/>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30"/>
        <bgColor indexed="30"/>
      </patternFill>
    </fill>
    <fill>
      <patternFill patternType="solid">
        <fgColor indexed="62"/>
      </patternFill>
    </fill>
    <fill>
      <patternFill patternType="solid">
        <fgColor indexed="45"/>
        <bgColor indexed="45"/>
      </patternFill>
    </fill>
    <fill>
      <patternFill patternType="solid">
        <fgColor indexed="29"/>
        <bgColor indexed="29"/>
      </patternFill>
    </fill>
    <fill>
      <patternFill patternType="solid">
        <fgColor indexed="10"/>
      </patternFill>
    </fill>
    <fill>
      <patternFill patternType="solid">
        <fgColor indexed="42"/>
        <bgColor indexed="42"/>
      </patternFill>
    </fill>
    <fill>
      <patternFill patternType="solid">
        <fgColor indexed="11"/>
        <bgColor indexed="11"/>
      </patternFill>
    </fill>
    <fill>
      <patternFill patternType="solid">
        <fgColor indexed="57"/>
      </patternFill>
    </fill>
    <fill>
      <patternFill patternType="solid">
        <fgColor indexed="46"/>
        <bgColor indexed="46"/>
      </patternFill>
    </fill>
    <fill>
      <patternFill patternType="solid">
        <fgColor indexed="36"/>
        <bgColor indexed="36"/>
      </patternFill>
    </fill>
    <fill>
      <patternFill patternType="solid">
        <fgColor indexed="54"/>
      </patternFill>
    </fill>
    <fill>
      <patternFill patternType="solid">
        <fgColor indexed="27"/>
        <bgColor indexed="27"/>
      </patternFill>
    </fill>
    <fill>
      <patternFill patternType="solid">
        <fgColor indexed="49"/>
        <bgColor indexed="49"/>
      </patternFill>
    </fill>
    <fill>
      <patternFill patternType="solid">
        <fgColor indexed="47"/>
        <bgColor indexed="47"/>
      </patternFill>
    </fill>
    <fill>
      <patternFill patternType="solid">
        <fgColor indexed="51"/>
        <bgColor indexed="51"/>
      </patternFill>
    </fill>
    <fill>
      <patternFill patternType="solid">
        <fgColor indexed="52"/>
        <bgColor indexed="52"/>
      </patternFill>
    </fill>
    <fill>
      <patternFill patternType="solid">
        <fgColor indexed="53"/>
      </patternFill>
    </fill>
    <fill>
      <patternFill patternType="solid">
        <fgColor indexed="55"/>
      </patternFill>
    </fill>
    <fill>
      <patternFill patternType="lightUp">
        <fgColor indexed="9"/>
        <bgColor indexed="49"/>
      </patternFill>
    </fill>
    <fill>
      <patternFill patternType="lightUp">
        <fgColor indexed="9"/>
        <bgColor indexed="10"/>
      </patternFill>
    </fill>
    <fill>
      <patternFill patternType="lightUp">
        <fgColor indexed="9"/>
        <bgColor indexed="57"/>
      </patternFill>
    </fill>
    <fill>
      <patternFill patternType="solid">
        <fgColor indexed="8"/>
        <bgColor indexed="64"/>
      </patternFill>
    </fill>
    <fill>
      <patternFill patternType="solid">
        <fgColor theme="3"/>
        <bgColor indexed="64"/>
      </patternFill>
    </fill>
    <fill>
      <patternFill patternType="solid">
        <fgColor theme="6" tint="0.59999389629810485"/>
        <bgColor indexed="64"/>
      </patternFill>
    </fill>
    <fill>
      <patternFill patternType="solid">
        <fgColor indexed="13"/>
        <bgColor indexed="64"/>
      </patternFill>
    </fill>
    <fill>
      <patternFill patternType="solid">
        <fgColor indexed="42"/>
        <bgColor indexed="64"/>
      </patternFill>
    </fill>
    <fill>
      <patternFill patternType="solid">
        <fgColor indexed="43"/>
        <bgColor indexed="64"/>
      </patternFill>
    </fill>
    <fill>
      <patternFill patternType="solid">
        <fgColor rgb="FFFFFF00"/>
        <bgColor indexed="64"/>
      </patternFill>
    </fill>
    <fill>
      <patternFill patternType="solid">
        <fgColor indexed="31"/>
        <bgColor indexed="64"/>
      </patternFill>
    </fill>
    <fill>
      <patternFill patternType="solid">
        <fgColor rgb="FF92D050"/>
        <bgColor indexed="64"/>
      </patternFill>
    </fill>
    <fill>
      <patternFill patternType="solid">
        <fgColor indexed="41"/>
        <bgColor indexed="64"/>
      </patternFill>
    </fill>
    <fill>
      <patternFill patternType="solid">
        <fgColor rgb="FF00B0F0"/>
        <bgColor indexed="64"/>
      </patternFill>
    </fill>
    <fill>
      <patternFill patternType="solid">
        <fgColor theme="8" tint="0.39997558519241921"/>
        <bgColor indexed="64"/>
      </patternFill>
    </fill>
    <fill>
      <patternFill patternType="solid">
        <fgColor theme="6" tint="0.39997558519241921"/>
        <bgColor indexed="64"/>
      </patternFill>
    </fill>
    <fill>
      <patternFill patternType="solid">
        <fgColor indexed="46"/>
        <bgColor indexed="64"/>
      </patternFill>
    </fill>
    <fill>
      <patternFill patternType="solid">
        <fgColor theme="9" tint="0.39997558519241921"/>
        <bgColor indexed="64"/>
      </patternFill>
    </fill>
    <fill>
      <patternFill patternType="solid">
        <fgColor indexed="60"/>
        <bgColor indexed="64"/>
      </patternFill>
    </fill>
    <fill>
      <patternFill patternType="solid">
        <fgColor theme="9" tint="-0.249977111117893"/>
        <bgColor indexed="64"/>
      </patternFill>
    </fill>
  </fills>
  <borders count="78">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style="thin">
        <color indexed="64"/>
      </top>
      <bottom style="thin">
        <color indexed="64"/>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top/>
      <bottom/>
      <diagonal/>
    </border>
    <border>
      <left style="thin">
        <color indexed="64"/>
      </left>
      <right/>
      <top/>
      <bottom/>
      <diagonal/>
    </border>
    <border>
      <left style="thick">
        <color indexed="17"/>
      </left>
      <right style="thick">
        <color indexed="17"/>
      </right>
      <top style="thick">
        <color indexed="17"/>
      </top>
      <bottom style="thick">
        <color indexed="17"/>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374">
    <xf numFmtId="0" fontId="0" fillId="0" borderId="0">
      <alignment readingOrder="1"/>
    </xf>
    <xf numFmtId="44" fontId="4" fillId="0" borderId="0" applyFont="0" applyFill="0" applyBorder="0" applyAlignment="0" applyProtection="0"/>
    <xf numFmtId="0" fontId="2" fillId="0" borderId="0"/>
    <xf numFmtId="0" fontId="4" fillId="0" borderId="0"/>
    <xf numFmtId="0" fontId="4" fillId="0" borderId="0"/>
    <xf numFmtId="0" fontId="4" fillId="9" borderId="0" applyNumberFormat="0" applyAlignment="0">
      <alignment horizontal="right"/>
    </xf>
    <xf numFmtId="0" fontId="4" fillId="8" borderId="0" applyNumberFormat="0" applyAlignment="0"/>
    <xf numFmtId="169" fontId="14" fillId="0" borderId="0"/>
    <xf numFmtId="0" fontId="15" fillId="0" borderId="0">
      <alignment horizontal="center" wrapText="1"/>
    </xf>
    <xf numFmtId="9" fontId="4" fillId="0" borderId="0" applyFont="0" applyFill="0" applyBorder="0" applyAlignment="0" applyProtection="0"/>
    <xf numFmtId="0" fontId="17" fillId="0" borderId="0"/>
    <xf numFmtId="9" fontId="17" fillId="0" borderId="0" applyFont="0" applyFill="0" applyBorder="0" applyAlignment="0" applyProtection="0"/>
    <xf numFmtId="43" fontId="17" fillId="0" borderId="0" applyFont="0" applyFill="0" applyBorder="0" applyAlignment="0" applyProtection="0"/>
    <xf numFmtId="0" fontId="4" fillId="0" borderId="0">
      <alignment readingOrder="1"/>
    </xf>
    <xf numFmtId="0" fontId="4" fillId="0" borderId="0">
      <alignment readingOrder="1"/>
    </xf>
    <xf numFmtId="0" fontId="4" fillId="0" borderId="0">
      <alignment readingOrder="1"/>
    </xf>
    <xf numFmtId="0" fontId="22" fillId="16" borderId="0" applyNumberFormat="0" applyBorder="0" applyAlignment="0" applyProtection="0"/>
    <xf numFmtId="0" fontId="22" fillId="17" borderId="0" applyNumberFormat="0" applyBorder="0" applyAlignment="0" applyProtection="0"/>
    <xf numFmtId="0" fontId="23" fillId="18" borderId="0" applyNumberFormat="0" applyBorder="0" applyAlignment="0" applyProtection="0"/>
    <xf numFmtId="0" fontId="22" fillId="19" borderId="0" applyNumberFormat="0" applyBorder="0" applyAlignment="0" applyProtection="0"/>
    <xf numFmtId="0" fontId="23" fillId="20" borderId="0" applyNumberFormat="0" applyBorder="0" applyAlignment="0" applyProtection="0"/>
    <xf numFmtId="0" fontId="22" fillId="21" borderId="0" applyNumberFormat="0" applyBorder="0" applyAlignment="0" applyProtection="0"/>
    <xf numFmtId="0" fontId="22" fillId="19" borderId="0" applyNumberFormat="0" applyBorder="0" applyAlignment="0" applyProtection="0"/>
    <xf numFmtId="0" fontId="23" fillId="22" borderId="0" applyNumberFormat="0" applyBorder="0" applyAlignment="0" applyProtection="0"/>
    <xf numFmtId="0" fontId="22" fillId="23" borderId="0" applyNumberFormat="0" applyBorder="0" applyAlignment="0" applyProtection="0"/>
    <xf numFmtId="0" fontId="22" fillId="17" borderId="0" applyNumberFormat="0" applyBorder="0" applyAlignment="0" applyProtection="0"/>
    <xf numFmtId="0" fontId="23" fillId="18" borderId="0" applyNumberFormat="0" applyBorder="0" applyAlignment="0" applyProtection="0"/>
    <xf numFmtId="0" fontId="22" fillId="24" borderId="0" applyNumberFormat="0" applyBorder="0" applyAlignment="0" applyProtection="0"/>
    <xf numFmtId="0" fontId="23" fillId="24" borderId="0" applyNumberFormat="0" applyBorder="0" applyAlignment="0" applyProtection="0"/>
    <xf numFmtId="0" fontId="22" fillId="20" borderId="0" applyNumberFormat="0" applyBorder="0" applyAlignment="0" applyProtection="0"/>
    <xf numFmtId="0" fontId="23" fillId="20" borderId="0" applyNumberFormat="0" applyBorder="0" applyAlignment="0" applyProtection="0"/>
    <xf numFmtId="0" fontId="22" fillId="25" borderId="0" applyNumberFormat="0" applyBorder="0" applyAlignment="0" applyProtection="0"/>
    <xf numFmtId="0" fontId="22" fillId="26" borderId="0" applyNumberFormat="0" applyBorder="0" applyAlignment="0" applyProtection="0"/>
    <xf numFmtId="0" fontId="23" fillId="26" borderId="0" applyNumberFormat="0" applyBorder="0" applyAlignment="0" applyProtection="0"/>
    <xf numFmtId="0" fontId="22" fillId="27" borderId="0" applyNumberFormat="0" applyBorder="0" applyAlignment="0" applyProtection="0"/>
    <xf numFmtId="0" fontId="22" fillId="19" borderId="0" applyNumberFormat="0" applyBorder="0" applyAlignment="0" applyProtection="0"/>
    <xf numFmtId="0" fontId="23" fillId="27" borderId="0" applyNumberFormat="0" applyBorder="0" applyAlignment="0" applyProtection="0"/>
    <xf numFmtId="0" fontId="22" fillId="28" borderId="0" applyNumberFormat="0" applyBorder="0" applyAlignment="0" applyProtection="0"/>
    <xf numFmtId="0" fontId="22" fillId="19" borderId="0" applyNumberFormat="0" applyBorder="0" applyAlignment="0" applyProtection="0"/>
    <xf numFmtId="0" fontId="23" fillId="29" borderId="0" applyNumberFormat="0" applyBorder="0" applyAlignment="0" applyProtection="0"/>
    <xf numFmtId="0" fontId="22" fillId="23" borderId="0" applyNumberFormat="0" applyBorder="0" applyAlignment="0" applyProtection="0"/>
    <xf numFmtId="0" fontId="22" fillId="26" borderId="0" applyNumberFormat="0" applyBorder="0" applyAlignment="0" applyProtection="0"/>
    <xf numFmtId="0" fontId="23" fillId="26" borderId="0" applyNumberFormat="0" applyBorder="0" applyAlignment="0" applyProtection="0"/>
    <xf numFmtId="0" fontId="22" fillId="25" borderId="0" applyNumberFormat="0" applyBorder="0" applyAlignment="0" applyProtection="0"/>
    <xf numFmtId="0" fontId="23" fillId="25" borderId="0" applyNumberFormat="0" applyBorder="0" applyAlignment="0" applyProtection="0"/>
    <xf numFmtId="0" fontId="22" fillId="30" borderId="0" applyNumberFormat="0" applyBorder="0" applyAlignment="0" applyProtection="0"/>
    <xf numFmtId="0" fontId="22" fillId="20" borderId="0" applyNumberFormat="0" applyBorder="0" applyAlignment="0" applyProtection="0"/>
    <xf numFmtId="0" fontId="23" fillId="20" borderId="0" applyNumberFormat="0" applyBorder="0" applyAlignment="0" applyProtection="0"/>
    <xf numFmtId="0" fontId="24" fillId="31"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27" borderId="0" applyNumberFormat="0" applyBorder="0" applyAlignment="0" applyProtection="0"/>
    <xf numFmtId="0" fontId="24" fillId="19" borderId="0" applyNumberFormat="0" applyBorder="0" applyAlignment="0" applyProtection="0"/>
    <xf numFmtId="0" fontId="24" fillId="27" borderId="0" applyNumberFormat="0" applyBorder="0" applyAlignment="0" applyProtection="0"/>
    <xf numFmtId="0" fontId="24" fillId="28" borderId="0" applyNumberFormat="0" applyBorder="0" applyAlignment="0" applyProtection="0"/>
    <xf numFmtId="0" fontId="24" fillId="19" borderId="0" applyNumberFormat="0" applyBorder="0" applyAlignment="0" applyProtection="0"/>
    <xf numFmtId="0" fontId="24" fillId="29" borderId="0" applyNumberFormat="0" applyBorder="0" applyAlignment="0" applyProtection="0"/>
    <xf numFmtId="0" fontId="24" fillId="33"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4"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9" fillId="35" borderId="0" applyNumberFormat="0" applyBorder="0" applyAlignment="0" applyProtection="0"/>
    <xf numFmtId="0" fontId="9" fillId="36" borderId="0" applyNumberFormat="0" applyBorder="0" applyAlignment="0" applyProtection="0"/>
    <xf numFmtId="0" fontId="11" fillId="37" borderId="0" applyNumberFormat="0" applyBorder="0" applyAlignment="0" applyProtection="0"/>
    <xf numFmtId="0" fontId="24" fillId="38"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9" fillId="39" borderId="0" applyNumberFormat="0" applyBorder="0" applyAlignment="0" applyProtection="0"/>
    <xf numFmtId="0" fontId="9" fillId="40" borderId="0" applyNumberFormat="0" applyBorder="0" applyAlignment="0" applyProtection="0"/>
    <xf numFmtId="0" fontId="11" fillId="40" borderId="0" applyNumberFormat="0" applyBorder="0" applyAlignment="0" applyProtection="0"/>
    <xf numFmtId="0" fontId="24" fillId="41" borderId="0" applyNumberFormat="0" applyBorder="0" applyAlignment="0" applyProtection="0"/>
    <xf numFmtId="0" fontId="24" fillId="41" borderId="0" applyNumberFormat="0" applyBorder="0" applyAlignment="0" applyProtection="0"/>
    <xf numFmtId="0" fontId="9" fillId="42" borderId="0" applyNumberFormat="0" applyBorder="0" applyAlignment="0" applyProtection="0"/>
    <xf numFmtId="0" fontId="9" fillId="43" borderId="0" applyNumberFormat="0" applyBorder="0" applyAlignment="0" applyProtection="0"/>
    <xf numFmtId="0" fontId="11" fillId="43" borderId="0" applyNumberFormat="0" applyBorder="0" applyAlignment="0" applyProtection="0"/>
    <xf numFmtId="0" fontId="24" fillId="44" borderId="0" applyNumberFormat="0" applyBorder="0" applyAlignment="0" applyProtection="0"/>
    <xf numFmtId="0" fontId="24" fillId="19" borderId="0" applyNumberFormat="0" applyBorder="0" applyAlignment="0" applyProtection="0"/>
    <xf numFmtId="0" fontId="24" fillId="44" borderId="0" applyNumberFormat="0" applyBorder="0" applyAlignment="0" applyProtection="0"/>
    <xf numFmtId="0" fontId="9" fillId="45" borderId="0" applyNumberFormat="0" applyBorder="0" applyAlignment="0" applyProtection="0"/>
    <xf numFmtId="0" fontId="9" fillId="45" borderId="0" applyNumberFormat="0" applyBorder="0" applyAlignment="0" applyProtection="0"/>
    <xf numFmtId="0" fontId="11" fillId="46" borderId="0" applyNumberFormat="0" applyBorder="0" applyAlignment="0" applyProtection="0"/>
    <xf numFmtId="0" fontId="24" fillId="33" borderId="0" applyNumberFormat="0" applyBorder="0" applyAlignment="0" applyProtection="0"/>
    <xf numFmtId="0" fontId="24" fillId="47" borderId="0" applyNumberFormat="0" applyBorder="0" applyAlignment="0" applyProtection="0"/>
    <xf numFmtId="0" fontId="24" fillId="47" borderId="0" applyNumberFormat="0" applyBorder="0" applyAlignment="0" applyProtection="0"/>
    <xf numFmtId="0" fontId="9" fillId="48" borderId="0" applyNumberFormat="0" applyBorder="0" applyAlignment="0" applyProtection="0"/>
    <xf numFmtId="0" fontId="9" fillId="36" borderId="0" applyNumberFormat="0" applyBorder="0" applyAlignment="0" applyProtection="0"/>
    <xf numFmtId="0" fontId="11" fillId="49"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9" fillId="50" borderId="0" applyNumberFormat="0" applyBorder="0" applyAlignment="0" applyProtection="0"/>
    <xf numFmtId="0" fontId="9" fillId="51" borderId="0" applyNumberFormat="0" applyBorder="0" applyAlignment="0" applyProtection="0"/>
    <xf numFmtId="0" fontId="11" fillId="52" borderId="0" applyNumberFormat="0" applyBorder="0" applyAlignment="0" applyProtection="0"/>
    <xf numFmtId="0" fontId="24" fillId="53" borderId="0" applyNumberFormat="0" applyBorder="0" applyAlignment="0" applyProtection="0"/>
    <xf numFmtId="0" fontId="24" fillId="53" borderId="0" applyNumberFormat="0" applyBorder="0" applyAlignment="0" applyProtection="0"/>
    <xf numFmtId="0" fontId="25" fillId="19" borderId="0" applyNumberFormat="0" applyBorder="0" applyAlignment="0" applyProtection="0"/>
    <xf numFmtId="0" fontId="25" fillId="23" borderId="0" applyNumberFormat="0" applyBorder="0" applyAlignment="0" applyProtection="0"/>
    <xf numFmtId="0" fontId="25" fillId="19" borderId="0" applyNumberFormat="0" applyBorder="0" applyAlignment="0" applyProtection="0"/>
    <xf numFmtId="0" fontId="26" fillId="26" borderId="17" applyNumberFormat="0" applyAlignment="0" applyProtection="0"/>
    <xf numFmtId="0" fontId="26" fillId="17" borderId="17" applyNumberFormat="0" applyAlignment="0" applyProtection="0"/>
    <xf numFmtId="0" fontId="26" fillId="17" borderId="17" applyNumberFormat="0" applyAlignment="0" applyProtection="0"/>
    <xf numFmtId="0" fontId="27" fillId="54" borderId="18" applyNumberFormat="0" applyAlignment="0" applyProtection="0"/>
    <xf numFmtId="0" fontId="27" fillId="54" borderId="18" applyNumberFormat="0" applyAlignment="0" applyProtection="0"/>
    <xf numFmtId="41" fontId="2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22"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4" fillId="9" borderId="0" applyNumberFormat="0" applyAlignment="0">
      <alignment horizontal="right"/>
    </xf>
    <xf numFmtId="0" fontId="4" fillId="9" borderId="0" applyNumberFormat="0" applyAlignment="0">
      <alignment horizontal="right"/>
    </xf>
    <xf numFmtId="0" fontId="4" fillId="9" borderId="0" applyNumberFormat="0" applyAlignment="0">
      <alignment horizontal="right"/>
    </xf>
    <xf numFmtId="0" fontId="4" fillId="9" borderId="0" applyNumberFormat="0" applyAlignment="0">
      <alignment horizontal="right"/>
    </xf>
    <xf numFmtId="0" fontId="4" fillId="9" borderId="0" applyNumberFormat="0" applyAlignment="0">
      <alignment horizontal="right"/>
    </xf>
    <xf numFmtId="0" fontId="29" fillId="55" borderId="0" applyNumberFormat="0" applyBorder="0" applyAlignment="0" applyProtection="0"/>
    <xf numFmtId="0" fontId="29" fillId="56" borderId="0" applyNumberFormat="0" applyBorder="0" applyAlignment="0" applyProtection="0"/>
    <xf numFmtId="0" fontId="29" fillId="57" borderId="0" applyNumberFormat="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21" borderId="0" applyNumberFormat="0" applyBorder="0" applyAlignment="0" applyProtection="0"/>
    <xf numFmtId="0" fontId="31" fillId="21" borderId="0" applyNumberFormat="0" applyBorder="0" applyAlignment="0" applyProtection="0"/>
    <xf numFmtId="0" fontId="32" fillId="0" borderId="19" applyNumberFormat="0" applyFill="0" applyAlignment="0" applyProtection="0"/>
    <xf numFmtId="0" fontId="33" fillId="0" borderId="20" applyNumberFormat="0" applyFill="0" applyAlignment="0" applyProtection="0"/>
    <xf numFmtId="0" fontId="33" fillId="0" borderId="20" applyNumberFormat="0" applyFill="0" applyAlignment="0" applyProtection="0"/>
    <xf numFmtId="0" fontId="6" fillId="58" borderId="21">
      <alignment horizontal="left"/>
    </xf>
    <xf numFmtId="0" fontId="34" fillId="0" borderId="22" applyNumberFormat="0" applyFill="0" applyAlignment="0" applyProtection="0"/>
    <xf numFmtId="0" fontId="35" fillId="0" borderId="23" applyNumberFormat="0" applyFill="0" applyAlignment="0" applyProtection="0"/>
    <xf numFmtId="0" fontId="36" fillId="0" borderId="24" applyNumberFormat="0" applyFill="0" applyAlignment="0" applyProtection="0"/>
    <xf numFmtId="0" fontId="36" fillId="0" borderId="24" applyNumberFormat="0" applyFill="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2" fillId="20" borderId="17" applyNumberFormat="0" applyAlignment="0" applyProtection="0"/>
    <xf numFmtId="0" fontId="42" fillId="20" borderId="17" applyNumberFormat="0" applyAlignment="0" applyProtection="0"/>
    <xf numFmtId="0" fontId="43" fillId="0" borderId="25" applyNumberFormat="0" applyFill="0" applyAlignment="0" applyProtection="0"/>
    <xf numFmtId="0" fontId="43" fillId="0" borderId="25" applyNumberFormat="0" applyFill="0" applyAlignment="0" applyProtection="0"/>
    <xf numFmtId="0" fontId="44" fillId="29" borderId="0" applyNumberFormat="0" applyBorder="0" applyAlignment="0" applyProtection="0"/>
    <xf numFmtId="0" fontId="44" fillId="29" borderId="0" applyNumberFormat="0" applyBorder="0" applyAlignment="0" applyProtection="0"/>
    <xf numFmtId="0" fontId="22" fillId="0" borderId="0"/>
    <xf numFmtId="0" fontId="4" fillId="0" borderId="0"/>
    <xf numFmtId="0" fontId="22" fillId="0" borderId="0"/>
    <xf numFmtId="0" fontId="22" fillId="0" borderId="0"/>
    <xf numFmtId="0" fontId="4" fillId="0" borderId="0"/>
    <xf numFmtId="0" fontId="4" fillId="0" borderId="0">
      <alignment readingOrder="1"/>
    </xf>
    <xf numFmtId="0" fontId="17" fillId="0" borderId="0"/>
    <xf numFmtId="0" fontId="17" fillId="0" borderId="0"/>
    <xf numFmtId="0" fontId="17" fillId="0" borderId="0"/>
    <xf numFmtId="0" fontId="1" fillId="0" borderId="0"/>
    <xf numFmtId="0" fontId="1" fillId="0" borderId="0"/>
    <xf numFmtId="0" fontId="17" fillId="0" borderId="0"/>
    <xf numFmtId="0" fontId="17" fillId="0" borderId="0"/>
    <xf numFmtId="0" fontId="1" fillId="0" borderId="0"/>
    <xf numFmtId="0" fontId="1" fillId="0" borderId="0"/>
    <xf numFmtId="0" fontId="17" fillId="0" borderId="0"/>
    <xf numFmtId="0" fontId="17" fillId="0" borderId="0"/>
    <xf numFmtId="0" fontId="17" fillId="0" borderId="0"/>
    <xf numFmtId="0" fontId="17" fillId="0" borderId="0"/>
    <xf numFmtId="0" fontId="4" fillId="0" borderId="0"/>
    <xf numFmtId="0" fontId="17" fillId="0" borderId="0"/>
    <xf numFmtId="0" fontId="17" fillId="0" borderId="0"/>
    <xf numFmtId="0" fontId="4" fillId="0" borderId="0">
      <alignment readingOrder="1"/>
    </xf>
    <xf numFmtId="0" fontId="17" fillId="0" borderId="0"/>
    <xf numFmtId="0" fontId="4" fillId="0" borderId="0"/>
    <xf numFmtId="0" fontId="4" fillId="0" borderId="0"/>
    <xf numFmtId="0" fontId="4" fillId="0" borderId="0"/>
    <xf numFmtId="0" fontId="4" fillId="0" borderId="0"/>
    <xf numFmtId="0" fontId="4" fillId="0" borderId="0"/>
    <xf numFmtId="0" fontId="4" fillId="0" borderId="0">
      <alignment readingOrder="1"/>
    </xf>
    <xf numFmtId="0" fontId="4" fillId="0" borderId="0"/>
    <xf numFmtId="0" fontId="22" fillId="0" borderId="0"/>
    <xf numFmtId="0" fontId="22" fillId="0" borderId="0"/>
    <xf numFmtId="0" fontId="17" fillId="0" borderId="0"/>
    <xf numFmtId="0" fontId="17" fillId="0" borderId="0"/>
    <xf numFmtId="0" fontId="17" fillId="0" borderId="0"/>
    <xf numFmtId="0" fontId="17" fillId="0" borderId="0"/>
    <xf numFmtId="0" fontId="4" fillId="0" borderId="0">
      <alignment readingOrder="1"/>
    </xf>
    <xf numFmtId="0" fontId="4" fillId="0" borderId="0">
      <alignment readingOrder="1"/>
    </xf>
    <xf numFmtId="0" fontId="4" fillId="0" borderId="0">
      <alignment readingOrder="1"/>
    </xf>
    <xf numFmtId="0" fontId="17" fillId="0" borderId="0"/>
    <xf numFmtId="0" fontId="17" fillId="0" borderId="0"/>
    <xf numFmtId="0" fontId="4" fillId="0" borderId="0">
      <alignment readingOrder="1"/>
    </xf>
    <xf numFmtId="0" fontId="22" fillId="0" borderId="0"/>
    <xf numFmtId="0" fontId="4" fillId="0" borderId="0">
      <alignment readingOrder="1"/>
    </xf>
    <xf numFmtId="0" fontId="17" fillId="0" borderId="0"/>
    <xf numFmtId="0" fontId="17" fillId="0" borderId="0"/>
    <xf numFmtId="0" fontId="4" fillId="0" borderId="0">
      <alignment readingOrder="1"/>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 fillId="0" borderId="0">
      <alignment readingOrder="1"/>
    </xf>
    <xf numFmtId="0" fontId="4" fillId="0" borderId="0"/>
    <xf numFmtId="0" fontId="45" fillId="0" borderId="0"/>
    <xf numFmtId="0" fontId="46" fillId="0" borderId="0"/>
    <xf numFmtId="0" fontId="46" fillId="0" borderId="0"/>
    <xf numFmtId="0" fontId="46" fillId="0" borderId="0"/>
    <xf numFmtId="0" fontId="4" fillId="0" borderId="0"/>
    <xf numFmtId="0" fontId="4" fillId="0" borderId="0"/>
    <xf numFmtId="0" fontId="4" fillId="0" borderId="0"/>
    <xf numFmtId="0" fontId="46" fillId="0" borderId="0"/>
    <xf numFmtId="0" fontId="46" fillId="0" borderId="0"/>
    <xf numFmtId="0" fontId="46" fillId="0" borderId="0"/>
    <xf numFmtId="0" fontId="4" fillId="0" borderId="0"/>
    <xf numFmtId="0" fontId="4" fillId="0" borderId="0"/>
    <xf numFmtId="0" fontId="4" fillId="0" borderId="0"/>
    <xf numFmtId="0" fontId="4" fillId="0" borderId="0"/>
    <xf numFmtId="0" fontId="4" fillId="0" borderId="0"/>
    <xf numFmtId="0" fontId="4" fillId="0" borderId="0">
      <alignment readingOrder="1"/>
    </xf>
    <xf numFmtId="0" fontId="4" fillId="0" borderId="0"/>
    <xf numFmtId="0" fontId="4" fillId="0" borderId="0"/>
    <xf numFmtId="0" fontId="22"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7" fillId="0" borderId="0"/>
    <xf numFmtId="0" fontId="22" fillId="0" borderId="0"/>
    <xf numFmtId="0" fontId="17" fillId="0" borderId="0"/>
    <xf numFmtId="0" fontId="4" fillId="0" borderId="0" applyNumberFormat="0" applyFill="0" applyBorder="0" applyAlignment="0" applyProtection="0"/>
    <xf numFmtId="0" fontId="17" fillId="0" borderId="0"/>
    <xf numFmtId="0" fontId="17" fillId="0" borderId="0"/>
    <xf numFmtId="0" fontId="28" fillId="0" borderId="0"/>
    <xf numFmtId="0" fontId="17" fillId="0" borderId="0"/>
    <xf numFmtId="0" fontId="17" fillId="0" borderId="0"/>
    <xf numFmtId="0" fontId="4" fillId="0" borderId="0">
      <alignment readingOrder="1"/>
    </xf>
    <xf numFmtId="0" fontId="17" fillId="0" borderId="0"/>
    <xf numFmtId="0" fontId="17" fillId="0" borderId="0"/>
    <xf numFmtId="0" fontId="17" fillId="0" borderId="0"/>
    <xf numFmtId="0" fontId="17" fillId="0" borderId="0"/>
    <xf numFmtId="0" fontId="17"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 fillId="0" borderId="0"/>
    <xf numFmtId="0" fontId="17" fillId="0" borderId="0"/>
    <xf numFmtId="0" fontId="17" fillId="0" borderId="0"/>
    <xf numFmtId="0" fontId="4" fillId="0" borderId="0"/>
    <xf numFmtId="0" fontId="22" fillId="0" borderId="0"/>
    <xf numFmtId="0" fontId="22" fillId="0" borderId="0"/>
    <xf numFmtId="0" fontId="17" fillId="0" borderId="0"/>
    <xf numFmtId="0" fontId="47" fillId="0" borderId="0"/>
    <xf numFmtId="0" fontId="22" fillId="0" borderId="0"/>
    <xf numFmtId="0" fontId="22" fillId="0" borderId="0"/>
    <xf numFmtId="0" fontId="22" fillId="0" borderId="0"/>
    <xf numFmtId="0" fontId="22" fillId="0" borderId="0"/>
    <xf numFmtId="0" fontId="4" fillId="0" borderId="0">
      <alignment readingOrder="1"/>
    </xf>
    <xf numFmtId="0" fontId="4" fillId="0" borderId="0">
      <alignment readingOrder="1"/>
    </xf>
    <xf numFmtId="0" fontId="4" fillId="0" borderId="0">
      <alignment readingOrder="1"/>
    </xf>
    <xf numFmtId="0" fontId="22" fillId="22" borderId="26" applyNumberFormat="0" applyFont="0" applyAlignment="0" applyProtection="0"/>
    <xf numFmtId="0" fontId="4" fillId="22" borderId="26" applyNumberFormat="0" applyFont="0" applyAlignment="0" applyProtection="0"/>
    <xf numFmtId="0" fontId="22" fillId="22" borderId="26" applyNumberFormat="0" applyFont="0" applyAlignment="0" applyProtection="0"/>
    <xf numFmtId="0" fontId="48" fillId="26" borderId="27" applyNumberFormat="0" applyAlignment="0" applyProtection="0"/>
    <xf numFmtId="0" fontId="48" fillId="17" borderId="27" applyNumberFormat="0" applyAlignment="0" applyProtection="0"/>
    <xf numFmtId="0" fontId="48" fillId="17" borderId="27" applyNumberFormat="0" applyAlignment="0" applyProtection="0"/>
    <xf numFmtId="9" fontId="2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0" fontId="49" fillId="0" borderId="0" applyNumberFormat="0" applyFill="0" applyBorder="0" applyAlignment="0" applyProtection="0"/>
    <xf numFmtId="0" fontId="50" fillId="0" borderId="0"/>
    <xf numFmtId="0" fontId="51" fillId="0" borderId="0"/>
    <xf numFmtId="172" fontId="4" fillId="0" borderId="0" applyFill="0" applyBorder="0" applyAlignment="0" applyProtection="0">
      <alignment wrapText="1"/>
    </xf>
    <xf numFmtId="0" fontId="49"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3" fillId="0" borderId="28" applyNumberFormat="0" applyFill="0" applyAlignment="0" applyProtection="0"/>
    <xf numFmtId="0" fontId="53" fillId="0" borderId="29" applyNumberFormat="0" applyFill="0" applyAlignment="0" applyProtection="0"/>
    <xf numFmtId="0" fontId="48" fillId="0" borderId="29" applyNumberFormat="0" applyFill="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5" fillId="0" borderId="0">
      <alignment vertical="center"/>
    </xf>
    <xf numFmtId="0" fontId="4" fillId="0" borderId="0"/>
    <xf numFmtId="0" fontId="4" fillId="0" borderId="0"/>
    <xf numFmtId="43" fontId="4" fillId="0" borderId="0" applyFont="0" applyFill="0" applyBorder="0" applyAlignment="0" applyProtection="0"/>
    <xf numFmtId="0" fontId="4" fillId="0" borderId="0"/>
    <xf numFmtId="0" fontId="4" fillId="0" borderId="0">
      <alignment readingOrder="1"/>
    </xf>
    <xf numFmtId="0" fontId="4" fillId="0" borderId="0"/>
    <xf numFmtId="0" fontId="97" fillId="0" borderId="0"/>
    <xf numFmtId="0" fontId="98" fillId="0" borderId="0" applyAlignment="0"/>
    <xf numFmtId="0" fontId="17" fillId="0" borderId="0"/>
    <xf numFmtId="9" fontId="17" fillId="0" borderId="0" applyFont="0" applyFill="0" applyBorder="0" applyAlignment="0" applyProtection="0"/>
    <xf numFmtId="43" fontId="17" fillId="0" borderId="0" applyFont="0" applyFill="0" applyBorder="0" applyAlignment="0" applyProtection="0"/>
  </cellStyleXfs>
  <cellXfs count="669">
    <xf numFmtId="0" fontId="0" fillId="0" borderId="0" xfId="0"/>
    <xf numFmtId="0" fontId="3" fillId="0" borderId="0" xfId="2" applyFont="1"/>
    <xf numFmtId="0" fontId="5" fillId="0" borderId="0" xfId="3" applyFont="1"/>
    <xf numFmtId="0" fontId="4" fillId="0" borderId="0" xfId="2" applyFont="1"/>
    <xf numFmtId="5" fontId="4" fillId="0" borderId="0" xfId="2" applyNumberFormat="1" applyFont="1"/>
    <xf numFmtId="164" fontId="4" fillId="0" borderId="0" xfId="2" applyNumberFormat="1" applyFont="1"/>
    <xf numFmtId="164" fontId="5" fillId="0" borderId="0" xfId="2" applyNumberFormat="1" applyFont="1"/>
    <xf numFmtId="0" fontId="4" fillId="0" borderId="0" xfId="2" applyFont="1" applyFill="1"/>
    <xf numFmtId="165" fontId="4" fillId="0" borderId="0" xfId="2" applyNumberFormat="1" applyFont="1"/>
    <xf numFmtId="0" fontId="0" fillId="0" borderId="0" xfId="0">
      <alignment readingOrder="1"/>
    </xf>
    <xf numFmtId="0" fontId="3" fillId="0" borderId="0" xfId="2" applyFont="1" applyAlignment="1">
      <alignment horizontal="left"/>
    </xf>
    <xf numFmtId="166" fontId="0" fillId="0" borderId="0" xfId="0" applyNumberFormat="1" applyAlignment="1">
      <alignment horizontal="center" readingOrder="1"/>
    </xf>
    <xf numFmtId="167" fontId="0" fillId="0" borderId="0" xfId="0" applyNumberFormat="1" applyAlignment="1">
      <alignment horizontal="center" readingOrder="1"/>
    </xf>
    <xf numFmtId="0" fontId="4" fillId="0" borderId="0" xfId="2" applyFont="1" applyAlignment="1">
      <alignment horizontal="center"/>
    </xf>
    <xf numFmtId="0" fontId="6" fillId="2" borderId="1" xfId="2" applyFont="1" applyFill="1" applyBorder="1" applyAlignment="1">
      <alignment horizontal="centerContinuous"/>
    </xf>
    <xf numFmtId="0" fontId="7" fillId="2" borderId="1" xfId="2" applyFont="1" applyFill="1" applyBorder="1" applyAlignment="1">
      <alignment horizontal="centerContinuous"/>
    </xf>
    <xf numFmtId="0" fontId="7" fillId="2" borderId="2" xfId="2" applyFont="1" applyFill="1" applyBorder="1" applyAlignment="1">
      <alignment horizontal="centerContinuous"/>
    </xf>
    <xf numFmtId="0" fontId="8" fillId="2" borderId="3" xfId="2" applyFont="1" applyFill="1" applyBorder="1" applyAlignment="1">
      <alignment horizontal="centerContinuous"/>
    </xf>
    <xf numFmtId="0" fontId="6" fillId="0" borderId="0" xfId="2" applyFont="1" applyFill="1" applyBorder="1" applyAlignment="1">
      <alignment horizontal="centerContinuous"/>
    </xf>
    <xf numFmtId="0" fontId="7" fillId="0" borderId="0" xfId="2" applyFont="1" applyFill="1" applyBorder="1" applyAlignment="1">
      <alignment horizontal="centerContinuous"/>
    </xf>
    <xf numFmtId="0" fontId="8" fillId="0" borderId="0" xfId="2" applyFont="1" applyFill="1" applyBorder="1" applyAlignment="1">
      <alignment horizontal="centerContinuous"/>
    </xf>
    <xf numFmtId="0" fontId="9" fillId="0" borderId="0" xfId="2" applyFont="1" applyFill="1" applyBorder="1" applyAlignment="1">
      <alignment horizontal="centerContinuous"/>
    </xf>
    <xf numFmtId="0" fontId="4" fillId="0" borderId="0" xfId="2" applyFont="1" applyFill="1" applyBorder="1"/>
    <xf numFmtId="0" fontId="9" fillId="5" borderId="5" xfId="2" applyFont="1" applyFill="1" applyBorder="1" applyAlignment="1">
      <alignment horizontal="center" wrapText="1"/>
    </xf>
    <xf numFmtId="0" fontId="9" fillId="5" borderId="5" xfId="0" applyFont="1" applyFill="1" applyBorder="1" applyAlignment="1">
      <alignment horizontal="center" wrapText="1"/>
    </xf>
    <xf numFmtId="0" fontId="9" fillId="0" borderId="0" xfId="2" applyFont="1" applyFill="1" applyBorder="1" applyAlignment="1">
      <alignment horizontal="center" wrapText="1"/>
    </xf>
    <xf numFmtId="0" fontId="4" fillId="6" borderId="0" xfId="4" applyFont="1" applyFill="1" applyBorder="1" applyAlignment="1">
      <alignment wrapText="1"/>
    </xf>
    <xf numFmtId="2" fontId="4" fillId="6" borderId="0" xfId="4" applyNumberFormat="1" applyFont="1" applyFill="1" applyBorder="1" applyAlignment="1">
      <alignment wrapText="1"/>
    </xf>
    <xf numFmtId="0" fontId="0" fillId="0" borderId="0" xfId="0" applyFill="1" applyBorder="1">
      <alignment readingOrder="1"/>
    </xf>
    <xf numFmtId="164" fontId="8" fillId="0" borderId="0" xfId="0" applyNumberFormat="1" applyFont="1" applyFill="1" applyBorder="1">
      <alignment readingOrder="1"/>
    </xf>
    <xf numFmtId="2" fontId="0" fillId="0" borderId="0" xfId="0" applyNumberFormat="1" applyFill="1" applyBorder="1">
      <alignment readingOrder="1"/>
    </xf>
    <xf numFmtId="0" fontId="11" fillId="0" borderId="0" xfId="0" applyFont="1" applyFill="1" applyBorder="1" applyAlignment="1">
      <alignment horizontal="center" wrapText="1" readingOrder="1"/>
    </xf>
    <xf numFmtId="0" fontId="11" fillId="7" borderId="6" xfId="0" applyFont="1" applyFill="1" applyBorder="1" applyAlignment="1">
      <alignment horizontal="left" readingOrder="1"/>
    </xf>
    <xf numFmtId="0" fontId="11" fillId="7" borderId="7" xfId="0" applyFont="1" applyFill="1" applyBorder="1" applyAlignment="1">
      <alignment horizontal="center" wrapText="1" readingOrder="1"/>
    </xf>
    <xf numFmtId="164" fontId="0" fillId="0" borderId="0" xfId="0" applyNumberFormat="1">
      <alignment readingOrder="1"/>
    </xf>
    <xf numFmtId="0" fontId="9" fillId="8" borderId="5" xfId="0" applyFont="1" applyFill="1" applyBorder="1" applyAlignment="1">
      <alignment horizontal="center" wrapText="1" readingOrder="1"/>
    </xf>
    <xf numFmtId="0" fontId="9" fillId="8" borderId="7" xfId="0" applyFont="1" applyFill="1" applyBorder="1" applyAlignment="1">
      <alignment horizontal="center" wrapText="1" readingOrder="1"/>
    </xf>
    <xf numFmtId="164" fontId="9" fillId="8" borderId="7" xfId="0" applyNumberFormat="1" applyFont="1" applyFill="1" applyBorder="1" applyAlignment="1">
      <alignment horizontal="center" wrapText="1" readingOrder="1"/>
    </xf>
    <xf numFmtId="164" fontId="9" fillId="9" borderId="8" xfId="0" applyNumberFormat="1" applyFont="1" applyFill="1" applyBorder="1" applyAlignment="1">
      <alignment horizontal="centerContinuous" wrapText="1" readingOrder="1"/>
    </xf>
    <xf numFmtId="1" fontId="0" fillId="0" borderId="0" xfId="0" applyNumberFormat="1">
      <alignment readingOrder="1"/>
    </xf>
    <xf numFmtId="0" fontId="9" fillId="9" borderId="5" xfId="0" applyFont="1" applyFill="1" applyBorder="1" applyAlignment="1">
      <alignment horizontal="center" wrapText="1" readingOrder="1"/>
    </xf>
    <xf numFmtId="0" fontId="9" fillId="9" borderId="7" xfId="0" applyFont="1" applyFill="1" applyBorder="1" applyAlignment="1">
      <alignment horizontal="center" wrapText="1" readingOrder="1"/>
    </xf>
    <xf numFmtId="164" fontId="9" fillId="9" borderId="7" xfId="0" applyNumberFormat="1" applyFont="1" applyFill="1" applyBorder="1" applyAlignment="1">
      <alignment horizontal="center" wrapText="1" readingOrder="1"/>
    </xf>
    <xf numFmtId="164" fontId="9" fillId="9" borderId="9" xfId="0" applyNumberFormat="1" applyFont="1" applyFill="1" applyBorder="1" applyAlignment="1">
      <alignment horizontal="centerContinuous" wrapText="1" readingOrder="1"/>
    </xf>
    <xf numFmtId="164" fontId="9" fillId="9" borderId="10" xfId="0" applyNumberFormat="1" applyFont="1" applyFill="1" applyBorder="1" applyAlignment="1">
      <alignment horizontal="centerContinuous" wrapText="1" readingOrder="1"/>
    </xf>
    <xf numFmtId="0" fontId="10" fillId="0" borderId="0" xfId="0" applyFont="1">
      <alignment readingOrder="1"/>
    </xf>
    <xf numFmtId="49" fontId="0" fillId="0" borderId="0" xfId="0" applyNumberFormat="1">
      <alignment readingOrder="1"/>
    </xf>
    <xf numFmtId="0" fontId="0" fillId="5" borderId="0" xfId="0" applyFill="1">
      <alignment readingOrder="1"/>
    </xf>
    <xf numFmtId="164" fontId="0" fillId="0" borderId="0" xfId="0" applyNumberFormat="1" applyAlignment="1">
      <alignment horizontal="center" readingOrder="1"/>
    </xf>
    <xf numFmtId="0" fontId="0" fillId="0" borderId="0" xfId="0" applyAlignment="1">
      <alignment horizontal="center" readingOrder="1"/>
    </xf>
    <xf numFmtId="0" fontId="0" fillId="0" borderId="0" xfId="0" applyFill="1" applyAlignment="1">
      <alignment horizontal="center" readingOrder="1"/>
    </xf>
    <xf numFmtId="170" fontId="0" fillId="0" borderId="0" xfId="0" applyNumberFormat="1">
      <alignment readingOrder="1"/>
    </xf>
    <xf numFmtId="0" fontId="0" fillId="12" borderId="0" xfId="0" applyFill="1">
      <alignment readingOrder="1"/>
    </xf>
    <xf numFmtId="0" fontId="0" fillId="0" borderId="0" xfId="0" applyFill="1">
      <alignment readingOrder="1"/>
    </xf>
    <xf numFmtId="0" fontId="0" fillId="0" borderId="0" xfId="0" quotePrefix="1" applyFill="1">
      <alignment readingOrder="1"/>
    </xf>
    <xf numFmtId="0" fontId="16" fillId="6" borderId="5" xfId="0" applyFont="1" applyFill="1" applyBorder="1"/>
    <xf numFmtId="9" fontId="4" fillId="13" borderId="0" xfId="9" applyFill="1" applyAlignment="1">
      <alignment horizontal="center" readingOrder="1"/>
    </xf>
    <xf numFmtId="1" fontId="0" fillId="10" borderId="0" xfId="0" applyNumberFormat="1" applyFill="1" applyAlignment="1">
      <alignment horizontal="center" readingOrder="1"/>
    </xf>
    <xf numFmtId="0" fontId="16" fillId="14" borderId="1" xfId="0" applyFont="1" applyFill="1" applyBorder="1"/>
    <xf numFmtId="0" fontId="16" fillId="14" borderId="4" xfId="0" applyFont="1" applyFill="1" applyBorder="1"/>
    <xf numFmtId="0" fontId="16" fillId="14" borderId="3" xfId="0" applyFont="1" applyFill="1" applyBorder="1"/>
    <xf numFmtId="0" fontId="16" fillId="14" borderId="11" xfId="0" applyFont="1" applyFill="1" applyBorder="1"/>
    <xf numFmtId="0" fontId="16" fillId="14" borderId="12" xfId="0" applyFont="1" applyFill="1" applyBorder="1"/>
    <xf numFmtId="0" fontId="16" fillId="14" borderId="13" xfId="0" applyFont="1" applyFill="1" applyBorder="1"/>
    <xf numFmtId="0" fontId="16" fillId="14" borderId="5" xfId="0" applyFont="1" applyFill="1" applyBorder="1"/>
    <xf numFmtId="0" fontId="16" fillId="13" borderId="5" xfId="0" applyFont="1" applyFill="1" applyBorder="1"/>
    <xf numFmtId="164" fontId="16" fillId="13" borderId="5" xfId="0" applyNumberFormat="1" applyFont="1" applyFill="1" applyBorder="1"/>
    <xf numFmtId="164" fontId="0" fillId="15" borderId="0" xfId="0" applyNumberFormat="1" applyFill="1" applyAlignment="1">
      <alignment horizontal="center" readingOrder="1"/>
    </xf>
    <xf numFmtId="9" fontId="16" fillId="14" borderId="5" xfId="9" applyFont="1" applyFill="1" applyBorder="1"/>
    <xf numFmtId="9" fontId="0" fillId="0" borderId="0" xfId="9" applyFont="1"/>
    <xf numFmtId="0" fontId="4" fillId="0" borderId="0" xfId="14">
      <alignment readingOrder="1"/>
    </xf>
    <xf numFmtId="0" fontId="21" fillId="11" borderId="14" xfId="0" applyFont="1" applyFill="1" applyBorder="1"/>
    <xf numFmtId="0" fontId="21" fillId="11" borderId="15" xfId="0" applyFont="1" applyFill="1" applyBorder="1"/>
    <xf numFmtId="0" fontId="21" fillId="11" borderId="8" xfId="0" applyFont="1" applyFill="1" applyBorder="1"/>
    <xf numFmtId="0" fontId="17" fillId="0" borderId="0" xfId="0" applyFont="1"/>
    <xf numFmtId="0" fontId="19" fillId="14" borderId="16" xfId="15" applyFont="1" applyFill="1" applyBorder="1" applyAlignment="1">
      <alignment horizontal="left" vertical="center" wrapText="1"/>
    </xf>
    <xf numFmtId="0" fontId="10" fillId="14" borderId="5" xfId="15" applyFont="1" applyFill="1" applyBorder="1" applyAlignment="1">
      <alignment horizontal="left" vertical="center" wrapText="1"/>
    </xf>
    <xf numFmtId="0" fontId="4" fillId="0" borderId="5" xfId="15" applyFont="1" applyFill="1" applyBorder="1" applyAlignment="1">
      <alignment horizontal="left" vertical="center" wrapText="1"/>
    </xf>
    <xf numFmtId="0" fontId="4" fillId="0" borderId="5" xfId="15" applyFont="1" applyBorder="1" applyAlignment="1">
      <alignment horizontal="left" vertical="center" wrapText="1" readingOrder="1"/>
    </xf>
    <xf numFmtId="0" fontId="4" fillId="0" borderId="5" xfId="15" applyNumberFormat="1" applyFont="1" applyBorder="1" applyAlignment="1">
      <alignment horizontal="left" vertical="center" wrapText="1" readingOrder="1"/>
    </xf>
    <xf numFmtId="0" fontId="19" fillId="14" borderId="5" xfId="15" applyFont="1" applyFill="1" applyBorder="1" applyAlignment="1">
      <alignment horizontal="left" vertical="center" wrapText="1"/>
    </xf>
    <xf numFmtId="0" fontId="18" fillId="0" borderId="5" xfId="15" applyFont="1" applyBorder="1" applyAlignment="1">
      <alignment horizontal="left" vertical="center" wrapText="1" readingOrder="1"/>
    </xf>
    <xf numFmtId="0" fontId="18" fillId="0" borderId="5" xfId="15" applyFont="1" applyBorder="1" applyAlignment="1">
      <alignment vertical="center" wrapText="1" readingOrder="1"/>
    </xf>
    <xf numFmtId="0" fontId="0" fillId="0" borderId="5" xfId="15" applyFont="1" applyBorder="1" applyAlignment="1">
      <alignment horizontal="left" vertical="center" wrapText="1" readingOrder="1"/>
    </xf>
    <xf numFmtId="0" fontId="7" fillId="59" borderId="7" xfId="2" applyFont="1" applyFill="1" applyBorder="1" applyAlignment="1">
      <alignment horizontal="center"/>
    </xf>
    <xf numFmtId="0" fontId="9" fillId="10" borderId="7" xfId="2" applyFont="1" applyFill="1" applyBorder="1" applyAlignment="1">
      <alignment horizontal="center" wrapText="1"/>
    </xf>
    <xf numFmtId="0" fontId="9" fillId="10" borderId="5" xfId="2" applyFont="1" applyFill="1" applyBorder="1" applyAlignment="1">
      <alignment horizontal="center" wrapText="1"/>
    </xf>
    <xf numFmtId="0" fontId="17" fillId="0" borderId="5" xfId="15" applyFont="1" applyFill="1" applyBorder="1" applyAlignment="1">
      <alignment horizontal="left" vertical="center" wrapText="1"/>
    </xf>
    <xf numFmtId="9" fontId="0" fillId="0" borderId="30" xfId="0" applyNumberFormat="1" applyBorder="1"/>
    <xf numFmtId="9" fontId="0" fillId="13" borderId="0" xfId="9" applyFont="1" applyFill="1" applyAlignment="1">
      <alignment horizontal="center" readingOrder="1"/>
    </xf>
    <xf numFmtId="0" fontId="0" fillId="14" borderId="0" xfId="0" applyFill="1">
      <alignment readingOrder="1"/>
    </xf>
    <xf numFmtId="0" fontId="0" fillId="14" borderId="0" xfId="0" applyFill="1" applyAlignment="1">
      <alignment vertical="center" wrapText="1" readingOrder="1"/>
    </xf>
    <xf numFmtId="2" fontId="0" fillId="10" borderId="0" xfId="0" applyNumberFormat="1" applyFill="1" applyAlignment="1">
      <alignment horizontal="center" readingOrder="1"/>
    </xf>
    <xf numFmtId="43" fontId="0" fillId="10" borderId="0" xfId="365" applyFont="1" applyFill="1" applyAlignment="1">
      <alignment horizontal="center" readingOrder="1"/>
    </xf>
    <xf numFmtId="0" fontId="4" fillId="0" borderId="0" xfId="311" applyFont="1"/>
    <xf numFmtId="0" fontId="4" fillId="0" borderId="5" xfId="311" applyFont="1" applyBorder="1" applyAlignment="1">
      <alignment horizontal="center"/>
    </xf>
    <xf numFmtId="0" fontId="4" fillId="0" borderId="5" xfId="311" applyFont="1" applyBorder="1" applyAlignment="1">
      <alignment horizontal="center" wrapText="1"/>
    </xf>
    <xf numFmtId="0" fontId="4" fillId="0" borderId="0" xfId="311" applyFont="1" applyFill="1" applyBorder="1" applyAlignment="1">
      <alignment horizontal="center" wrapText="1"/>
    </xf>
    <xf numFmtId="0" fontId="4" fillId="0" borderId="0" xfId="311" applyFont="1" applyBorder="1"/>
    <xf numFmtId="0" fontId="4" fillId="0" borderId="0" xfId="311" applyFont="1" applyBorder="1" applyAlignment="1">
      <alignment horizontal="center" wrapText="1"/>
    </xf>
    <xf numFmtId="0" fontId="4" fillId="0" borderId="0" xfId="311" applyFont="1" applyBorder="1" applyAlignment="1">
      <alignment horizontal="center"/>
    </xf>
    <xf numFmtId="174" fontId="4" fillId="0" borderId="5" xfId="311" applyNumberFormat="1" applyFont="1" applyBorder="1" applyAlignment="1">
      <alignment horizontal="center" wrapText="1"/>
    </xf>
    <xf numFmtId="174" fontId="4" fillId="0" borderId="0" xfId="311" applyNumberFormat="1" applyFont="1" applyFill="1" applyBorder="1" applyAlignment="1">
      <alignment horizontal="center" wrapText="1"/>
    </xf>
    <xf numFmtId="174" fontId="4" fillId="0" borderId="0" xfId="311" applyNumberFormat="1" applyFont="1" applyBorder="1" applyAlignment="1">
      <alignment horizontal="center" wrapText="1"/>
    </xf>
    <xf numFmtId="174" fontId="4" fillId="0" borderId="0" xfId="311" applyNumberFormat="1" applyFont="1" applyBorder="1" applyAlignment="1">
      <alignment horizontal="center"/>
    </xf>
    <xf numFmtId="174" fontId="4" fillId="0" borderId="0" xfId="311" applyNumberFormat="1" applyFont="1" applyBorder="1"/>
    <xf numFmtId="0" fontId="4" fillId="0" borderId="0" xfId="311" applyFont="1" applyAlignment="1">
      <alignment horizontal="center"/>
    </xf>
    <xf numFmtId="174" fontId="4" fillId="0" borderId="0" xfId="311" applyNumberFormat="1" applyFont="1" applyAlignment="1">
      <alignment horizontal="center"/>
    </xf>
    <xf numFmtId="0" fontId="4" fillId="0" borderId="0" xfId="366"/>
    <xf numFmtId="0" fontId="4" fillId="0" borderId="0" xfId="311" applyFont="1" applyAlignment="1">
      <alignment horizontal="right"/>
    </xf>
    <xf numFmtId="0" fontId="4" fillId="0" borderId="5" xfId="311" applyFont="1" applyBorder="1"/>
    <xf numFmtId="0" fontId="10" fillId="0" borderId="0" xfId="311" applyFont="1"/>
    <xf numFmtId="0" fontId="4" fillId="0" borderId="0" xfId="311" applyFont="1" applyFill="1" applyBorder="1" applyAlignment="1">
      <alignment horizontal="right"/>
    </xf>
    <xf numFmtId="0" fontId="4" fillId="0" borderId="5" xfId="311" applyFont="1" applyFill="1" applyBorder="1"/>
    <xf numFmtId="0" fontId="4" fillId="0" borderId="16" xfId="311" applyFont="1" applyFill="1" applyBorder="1"/>
    <xf numFmtId="0" fontId="4" fillId="0" borderId="0" xfId="311" applyFont="1" applyFill="1" applyBorder="1"/>
    <xf numFmtId="1" fontId="4" fillId="0" borderId="5" xfId="311" applyNumberFormat="1" applyFont="1" applyBorder="1"/>
    <xf numFmtId="1" fontId="4" fillId="0" borderId="7" xfId="311" applyNumberFormat="1" applyFont="1" applyBorder="1"/>
    <xf numFmtId="1" fontId="4" fillId="0" borderId="0" xfId="311" applyNumberFormat="1" applyFont="1"/>
    <xf numFmtId="1" fontId="10" fillId="0" borderId="0" xfId="311" applyNumberFormat="1" applyFont="1"/>
    <xf numFmtId="1" fontId="4" fillId="0" borderId="5" xfId="311" applyNumberFormat="1" applyFont="1" applyBorder="1" applyAlignment="1">
      <alignment horizontal="center"/>
    </xf>
    <xf numFmtId="174" fontId="4" fillId="0" borderId="0" xfId="311" applyNumberFormat="1" applyFont="1"/>
    <xf numFmtId="6" fontId="4" fillId="0" borderId="0" xfId="311" applyNumberFormat="1" applyFont="1"/>
    <xf numFmtId="0" fontId="17" fillId="0" borderId="0" xfId="239" applyFont="1" applyFill="1" applyAlignment="1"/>
    <xf numFmtId="0" fontId="56" fillId="0" borderId="39" xfId="311" applyFont="1" applyBorder="1" applyAlignment="1">
      <alignment horizontal="center" vertical="center" wrapText="1"/>
    </xf>
    <xf numFmtId="0" fontId="4" fillId="0" borderId="39" xfId="311" applyFont="1" applyBorder="1" applyAlignment="1">
      <alignment wrapText="1"/>
    </xf>
    <xf numFmtId="14" fontId="4" fillId="0" borderId="39" xfId="311" applyNumberFormat="1" applyFont="1" applyBorder="1" applyAlignment="1">
      <alignment wrapText="1"/>
    </xf>
    <xf numFmtId="0" fontId="4" fillId="0" borderId="39" xfId="311" applyFont="1" applyBorder="1" applyAlignment="1">
      <alignment horizontal="right" wrapText="1"/>
    </xf>
    <xf numFmtId="0" fontId="4" fillId="0" borderId="0" xfId="311" applyFont="1" applyFill="1" applyBorder="1" applyAlignment="1">
      <alignment wrapText="1"/>
    </xf>
    <xf numFmtId="0" fontId="57" fillId="0" borderId="0" xfId="311" applyFont="1"/>
    <xf numFmtId="0" fontId="35" fillId="0" borderId="0" xfId="311" applyFont="1"/>
    <xf numFmtId="0" fontId="58" fillId="0" borderId="0" xfId="311" applyFont="1"/>
    <xf numFmtId="0" fontId="59" fillId="0" borderId="0" xfId="311" applyFont="1"/>
    <xf numFmtId="0" fontId="60" fillId="0" borderId="0" xfId="311" applyFont="1"/>
    <xf numFmtId="0" fontId="61" fillId="0" borderId="0" xfId="311" applyFont="1"/>
    <xf numFmtId="0" fontId="37" fillId="0" borderId="0" xfId="178" applyFont="1" applyAlignment="1" applyProtection="1"/>
    <xf numFmtId="0" fontId="63" fillId="0" borderId="0" xfId="311" applyFont="1"/>
    <xf numFmtId="0" fontId="0" fillId="0" borderId="0" xfId="311" applyFont="1" applyFill="1" applyBorder="1" applyAlignment="1">
      <alignment wrapText="1"/>
    </xf>
    <xf numFmtId="0" fontId="10" fillId="0" borderId="0" xfId="311" applyFont="1" applyFill="1" applyBorder="1" applyAlignment="1">
      <alignment wrapText="1"/>
    </xf>
    <xf numFmtId="0" fontId="4" fillId="0" borderId="12" xfId="311" applyFont="1" applyBorder="1"/>
    <xf numFmtId="0" fontId="4" fillId="0" borderId="12" xfId="311" applyFont="1" applyBorder="1" applyAlignment="1">
      <alignment horizontal="center"/>
    </xf>
    <xf numFmtId="0" fontId="4" fillId="0" borderId="12" xfId="311" applyFont="1" applyFill="1" applyBorder="1"/>
    <xf numFmtId="16" fontId="4" fillId="0" borderId="0" xfId="311" applyNumberFormat="1" applyFont="1"/>
    <xf numFmtId="0" fontId="4" fillId="0" borderId="12" xfId="367" applyBorder="1" applyAlignment="1"/>
    <xf numFmtId="0" fontId="4" fillId="0" borderId="0" xfId="367"/>
    <xf numFmtId="0" fontId="10" fillId="63" borderId="5" xfId="367" applyFont="1" applyFill="1" applyBorder="1" applyAlignment="1">
      <alignment wrapText="1"/>
    </xf>
    <xf numFmtId="0" fontId="10" fillId="63" borderId="5" xfId="367" applyFont="1" applyFill="1" applyBorder="1" applyAlignment="1">
      <alignment horizontal="center" wrapText="1"/>
    </xf>
    <xf numFmtId="0" fontId="10" fillId="63" borderId="6" xfId="367" applyFont="1" applyFill="1" applyBorder="1" applyAlignment="1">
      <alignment horizontal="center" wrapText="1"/>
    </xf>
    <xf numFmtId="0" fontId="4" fillId="0" borderId="5" xfId="366" applyBorder="1" applyAlignment="1">
      <alignment horizontal="center" wrapText="1"/>
    </xf>
    <xf numFmtId="0" fontId="4" fillId="0" borderId="0" xfId="366" applyAlignment="1">
      <alignment horizontal="center" wrapText="1"/>
    </xf>
    <xf numFmtId="0" fontId="4" fillId="0" borderId="0" xfId="366" applyAlignment="1">
      <alignment horizontal="center"/>
    </xf>
    <xf numFmtId="0" fontId="10" fillId="0" borderId="0" xfId="366" applyFont="1"/>
    <xf numFmtId="0" fontId="4" fillId="0" borderId="5" xfId="367" applyFont="1" applyFill="1" applyBorder="1"/>
    <xf numFmtId="0" fontId="4" fillId="0" borderId="5" xfId="367" applyBorder="1"/>
    <xf numFmtId="14" fontId="4" fillId="0" borderId="5" xfId="367" applyNumberFormat="1" applyBorder="1" applyAlignment="1">
      <alignment horizontal="center"/>
    </xf>
    <xf numFmtId="5" fontId="4" fillId="0" borderId="5" xfId="150" applyNumberFormat="1" applyFont="1" applyBorder="1" applyAlignment="1">
      <alignment horizontal="center"/>
    </xf>
    <xf numFmtId="0" fontId="4" fillId="0" borderId="5" xfId="367" applyBorder="1" applyAlignment="1">
      <alignment horizontal="center"/>
    </xf>
    <xf numFmtId="0" fontId="4" fillId="0" borderId="6" xfId="367" applyBorder="1" applyAlignment="1">
      <alignment horizontal="center"/>
    </xf>
    <xf numFmtId="175" fontId="4" fillId="0" borderId="5" xfId="129" applyNumberFormat="1" applyFont="1" applyBorder="1"/>
    <xf numFmtId="5" fontId="4" fillId="0" borderId="5" xfId="367" applyNumberFormat="1" applyBorder="1"/>
    <xf numFmtId="175" fontId="4" fillId="0" borderId="0" xfId="366" applyNumberFormat="1"/>
    <xf numFmtId="5" fontId="4" fillId="0" borderId="0" xfId="366" applyNumberFormat="1"/>
    <xf numFmtId="44" fontId="0" fillId="0" borderId="12" xfId="150" applyFont="1" applyBorder="1" applyAlignment="1">
      <alignment horizontal="center"/>
    </xf>
    <xf numFmtId="0" fontId="4" fillId="0" borderId="12" xfId="311" applyFont="1" applyFill="1" applyBorder="1" applyAlignment="1">
      <alignment horizontal="center"/>
    </xf>
    <xf numFmtId="14" fontId="4" fillId="0" borderId="0" xfId="311" applyNumberFormat="1" applyFont="1" applyAlignment="1">
      <alignment horizontal="center"/>
    </xf>
    <xf numFmtId="44" fontId="0" fillId="0" borderId="0" xfId="150" applyFont="1" applyAlignment="1">
      <alignment horizontal="center"/>
    </xf>
    <xf numFmtId="0" fontId="4" fillId="0" borderId="5" xfId="367" applyFont="1" applyBorder="1"/>
    <xf numFmtId="0" fontId="4" fillId="0" borderId="5" xfId="367" applyFill="1" applyBorder="1"/>
    <xf numFmtId="14" fontId="4" fillId="0" borderId="5" xfId="367" applyNumberFormat="1" applyFill="1" applyBorder="1" applyAlignment="1">
      <alignment horizontal="center"/>
    </xf>
    <xf numFmtId="174" fontId="4" fillId="0" borderId="5" xfId="367" applyNumberFormat="1" applyFill="1" applyBorder="1" applyAlignment="1">
      <alignment horizontal="center"/>
    </xf>
    <xf numFmtId="0" fontId="4" fillId="0" borderId="5" xfId="367" applyFill="1" applyBorder="1" applyAlignment="1">
      <alignment horizontal="center"/>
    </xf>
    <xf numFmtId="0" fontId="4" fillId="0" borderId="6" xfId="367" applyFill="1" applyBorder="1" applyAlignment="1">
      <alignment horizontal="center"/>
    </xf>
    <xf numFmtId="0" fontId="4" fillId="0" borderId="0" xfId="367">
      <alignment readingOrder="1"/>
    </xf>
    <xf numFmtId="5" fontId="4" fillId="0" borderId="5" xfId="367" applyNumberFormat="1" applyFill="1" applyBorder="1"/>
    <xf numFmtId="0" fontId="4" fillId="8" borderId="5" xfId="367" applyFill="1" applyBorder="1" applyAlignment="1">
      <alignment horizontal="center"/>
    </xf>
    <xf numFmtId="0" fontId="64" fillId="0" borderId="0" xfId="366" applyFont="1"/>
    <xf numFmtId="0" fontId="10" fillId="0" borderId="5" xfId="366" applyFont="1" applyBorder="1"/>
    <xf numFmtId="0" fontId="10" fillId="0" borderId="5" xfId="366" applyFont="1" applyBorder="1" applyAlignment="1">
      <alignment horizontal="right"/>
    </xf>
    <xf numFmtId="0" fontId="4" fillId="0" borderId="5" xfId="366" applyBorder="1"/>
    <xf numFmtId="168" fontId="4" fillId="0" borderId="5" xfId="150" applyNumberFormat="1" applyFont="1" applyBorder="1"/>
    <xf numFmtId="0" fontId="4" fillId="0" borderId="5" xfId="366" applyFill="1" applyBorder="1"/>
    <xf numFmtId="168" fontId="4" fillId="0" borderId="5" xfId="366" applyNumberFormat="1" applyBorder="1"/>
    <xf numFmtId="0" fontId="4" fillId="61" borderId="5" xfId="366" applyFill="1" applyBorder="1"/>
    <xf numFmtId="168" fontId="4" fillId="61" borderId="5" xfId="366" applyNumberFormat="1" applyFill="1" applyBorder="1"/>
    <xf numFmtId="0" fontId="4" fillId="0" borderId="0" xfId="366" applyFont="1"/>
    <xf numFmtId="0" fontId="4" fillId="0" borderId="5" xfId="366" applyBorder="1" applyAlignment="1">
      <alignment horizontal="right" wrapText="1"/>
    </xf>
    <xf numFmtId="164" fontId="4" fillId="0" borderId="5" xfId="366" applyNumberFormat="1" applyBorder="1"/>
    <xf numFmtId="168" fontId="4" fillId="0" borderId="40" xfId="366" applyNumberFormat="1" applyFill="1" applyBorder="1"/>
    <xf numFmtId="0" fontId="9" fillId="0" borderId="0" xfId="366" applyFont="1"/>
    <xf numFmtId="0" fontId="10" fillId="0" borderId="5" xfId="366" applyFont="1" applyBorder="1" applyAlignment="1">
      <alignment horizontal="center"/>
    </xf>
    <xf numFmtId="0" fontId="10" fillId="0" borderId="5" xfId="367" applyFont="1" applyBorder="1" applyAlignment="1">
      <alignment horizontal="center" readingOrder="1"/>
    </xf>
    <xf numFmtId="174" fontId="4" fillId="0" borderId="5" xfId="366" applyNumberFormat="1" applyBorder="1" applyAlignment="1">
      <alignment horizontal="center"/>
    </xf>
    <xf numFmtId="174" fontId="4" fillId="0" borderId="5" xfId="311" applyNumberFormat="1" applyFont="1" applyBorder="1" applyAlignment="1">
      <alignment horizontal="center"/>
    </xf>
    <xf numFmtId="174" fontId="4" fillId="0" borderId="5" xfId="367" applyNumberFormat="1" applyBorder="1" applyAlignment="1">
      <alignment horizontal="center" readingOrder="1"/>
    </xf>
    <xf numFmtId="176" fontId="4" fillId="0" borderId="0" xfId="311" applyNumberFormat="1" applyFont="1"/>
    <xf numFmtId="0" fontId="4" fillId="0" borderId="0" xfId="366" applyFill="1"/>
    <xf numFmtId="174" fontId="0" fillId="0" borderId="5" xfId="129" applyNumberFormat="1" applyFont="1" applyBorder="1" applyAlignment="1">
      <alignment horizontal="center"/>
    </xf>
    <xf numFmtId="174" fontId="0" fillId="0" borderId="0" xfId="129" applyNumberFormat="1" applyFont="1" applyAlignment="1">
      <alignment horizontal="center"/>
    </xf>
    <xf numFmtId="174" fontId="4" fillId="0" borderId="5" xfId="129" applyNumberFormat="1" applyFont="1" applyBorder="1" applyAlignment="1">
      <alignment horizontal="center"/>
    </xf>
    <xf numFmtId="0" fontId="65" fillId="0" borderId="0" xfId="311" applyFont="1"/>
    <xf numFmtId="0" fontId="66" fillId="0" borderId="0" xfId="311" applyFont="1"/>
    <xf numFmtId="0" fontId="67" fillId="0" borderId="0" xfId="311" applyFont="1"/>
    <xf numFmtId="0" fontId="4" fillId="0" borderId="5" xfId="311" applyFont="1" applyFill="1" applyBorder="1" applyAlignment="1">
      <alignment horizontal="center" wrapText="1"/>
    </xf>
    <xf numFmtId="0" fontId="68" fillId="0" borderId="0" xfId="311" applyFont="1"/>
    <xf numFmtId="0" fontId="69" fillId="0" borderId="0" xfId="311" applyFont="1"/>
    <xf numFmtId="0" fontId="70" fillId="0" borderId="0" xfId="311" applyFont="1"/>
    <xf numFmtId="0" fontId="71" fillId="0" borderId="0" xfId="311" applyFont="1"/>
    <xf numFmtId="0" fontId="72" fillId="0" borderId="41" xfId="239" applyFont="1" applyFill="1" applyBorder="1" applyAlignment="1"/>
    <xf numFmtId="0" fontId="73" fillId="0" borderId="0" xfId="239" applyFont="1" applyFill="1" applyAlignment="1"/>
    <xf numFmtId="0" fontId="74" fillId="7" borderId="5" xfId="239" applyFont="1" applyFill="1" applyBorder="1" applyAlignment="1">
      <alignment wrapText="1"/>
    </xf>
    <xf numFmtId="0" fontId="74" fillId="65" borderId="7" xfId="239" applyFont="1" applyFill="1" applyBorder="1" applyAlignment="1">
      <alignment wrapText="1"/>
    </xf>
    <xf numFmtId="0" fontId="74" fillId="65" borderId="5" xfId="239" applyFont="1" applyFill="1" applyBorder="1" applyAlignment="1">
      <alignment wrapText="1"/>
    </xf>
    <xf numFmtId="0" fontId="53" fillId="65" borderId="5" xfId="239" applyFont="1" applyFill="1" applyBorder="1" applyAlignment="1">
      <alignment wrapText="1"/>
    </xf>
    <xf numFmtId="0" fontId="17" fillId="62" borderId="5" xfId="239" applyFont="1" applyFill="1" applyBorder="1" applyAlignment="1">
      <alignment wrapText="1"/>
    </xf>
    <xf numFmtId="0" fontId="17" fillId="0" borderId="0" xfId="239" applyFont="1" applyAlignment="1">
      <alignment wrapText="1"/>
    </xf>
    <xf numFmtId="6" fontId="17" fillId="0" borderId="0" xfId="239" applyNumberFormat="1" applyFont="1" applyAlignment="1">
      <alignment wrapText="1"/>
    </xf>
    <xf numFmtId="0" fontId="76" fillId="0" borderId="0" xfId="311" applyFont="1"/>
    <xf numFmtId="0" fontId="10" fillId="0" borderId="0" xfId="0" applyFont="1" applyAlignment="1">
      <alignment horizontal="right" readingOrder="1"/>
    </xf>
    <xf numFmtId="0" fontId="10" fillId="66" borderId="36" xfId="0" applyFont="1" applyFill="1" applyBorder="1">
      <alignment readingOrder="1"/>
    </xf>
    <xf numFmtId="0" fontId="10" fillId="66" borderId="37" xfId="0" applyFont="1" applyFill="1" applyBorder="1">
      <alignment readingOrder="1"/>
    </xf>
    <xf numFmtId="0" fontId="4" fillId="0" borderId="0" xfId="0" applyFont="1">
      <alignment readingOrder="1"/>
    </xf>
    <xf numFmtId="164" fontId="4" fillId="64" borderId="0" xfId="0" applyNumberFormat="1" applyFont="1" applyFill="1">
      <alignment readingOrder="1"/>
    </xf>
    <xf numFmtId="168" fontId="4" fillId="0" borderId="0" xfId="1" applyNumberFormat="1" applyFont="1" applyFill="1">
      <alignment readingOrder="1"/>
    </xf>
    <xf numFmtId="168" fontId="0" fillId="0" borderId="0" xfId="1" applyNumberFormat="1" applyFont="1">
      <alignment readingOrder="1"/>
    </xf>
    <xf numFmtId="174" fontId="0" fillId="0" borderId="32" xfId="0" applyNumberFormat="1" applyBorder="1">
      <alignment readingOrder="1"/>
    </xf>
    <xf numFmtId="174" fontId="0" fillId="0" borderId="33" xfId="0" applyNumberFormat="1" applyBorder="1">
      <alignment readingOrder="1"/>
    </xf>
    <xf numFmtId="174" fontId="0" fillId="0" borderId="0" xfId="0" applyNumberFormat="1">
      <alignment readingOrder="1"/>
    </xf>
    <xf numFmtId="0" fontId="77" fillId="0" borderId="0" xfId="0" applyFont="1">
      <alignment readingOrder="1"/>
    </xf>
    <xf numFmtId="1" fontId="77" fillId="0" borderId="0" xfId="0" applyNumberFormat="1" applyFont="1">
      <alignment readingOrder="1"/>
    </xf>
    <xf numFmtId="168" fontId="77" fillId="0" borderId="0" xfId="1" applyNumberFormat="1" applyFont="1" applyFill="1">
      <alignment readingOrder="1"/>
    </xf>
    <xf numFmtId="168" fontId="77" fillId="0" borderId="0" xfId="1" applyNumberFormat="1" applyFont="1">
      <alignment readingOrder="1"/>
    </xf>
    <xf numFmtId="0" fontId="78" fillId="0" borderId="0" xfId="0" applyFont="1">
      <alignment readingOrder="1"/>
    </xf>
    <xf numFmtId="1" fontId="78" fillId="0" borderId="0" xfId="0" applyNumberFormat="1" applyFont="1">
      <alignment readingOrder="1"/>
    </xf>
    <xf numFmtId="168" fontId="78" fillId="0" borderId="0" xfId="1" applyNumberFormat="1" applyFont="1">
      <alignment readingOrder="1"/>
    </xf>
    <xf numFmtId="164" fontId="77" fillId="0" borderId="0" xfId="0" applyNumberFormat="1" applyFont="1" applyFill="1">
      <alignment readingOrder="1"/>
    </xf>
    <xf numFmtId="0" fontId="4" fillId="66" borderId="45" xfId="0" applyFont="1" applyFill="1" applyBorder="1" applyAlignment="1">
      <alignment horizontal="left" readingOrder="1"/>
    </xf>
    <xf numFmtId="0" fontId="4" fillId="66" borderId="31" xfId="0" applyFont="1" applyFill="1" applyBorder="1" applyAlignment="1">
      <alignment horizontal="center" readingOrder="1"/>
    </xf>
    <xf numFmtId="0" fontId="0" fillId="0" borderId="38" xfId="0" applyBorder="1" applyAlignment="1">
      <alignment horizontal="left" readingOrder="1"/>
    </xf>
    <xf numFmtId="9" fontId="0" fillId="0" borderId="42" xfId="9" applyFont="1" applyBorder="1" applyAlignment="1">
      <alignment horizontal="center" readingOrder="1"/>
    </xf>
    <xf numFmtId="0" fontId="0" fillId="0" borderId="34" xfId="0" applyBorder="1" applyAlignment="1">
      <alignment horizontal="left" readingOrder="1"/>
    </xf>
    <xf numFmtId="9" fontId="0" fillId="0" borderId="35" xfId="9" applyFont="1" applyBorder="1" applyAlignment="1">
      <alignment horizontal="center" readingOrder="1"/>
    </xf>
    <xf numFmtId="0" fontId="0" fillId="0" borderId="36" xfId="0" applyBorder="1" applyAlignment="1">
      <alignment horizontal="left" readingOrder="1"/>
    </xf>
    <xf numFmtId="9" fontId="0" fillId="0" borderId="37" xfId="9" applyFont="1" applyBorder="1" applyAlignment="1">
      <alignment horizontal="center" readingOrder="1"/>
    </xf>
    <xf numFmtId="0" fontId="0" fillId="0" borderId="43" xfId="0" applyBorder="1" applyAlignment="1">
      <alignment horizontal="left" readingOrder="1"/>
    </xf>
    <xf numFmtId="9" fontId="0" fillId="0" borderId="44" xfId="9" applyFont="1" applyBorder="1" applyAlignment="1">
      <alignment horizontal="center" readingOrder="1"/>
    </xf>
    <xf numFmtId="0" fontId="4" fillId="0" borderId="0" xfId="0" applyFont="1" applyAlignment="1">
      <alignment wrapText="1" readingOrder="1"/>
    </xf>
    <xf numFmtId="0" fontId="0" fillId="0" borderId="0" xfId="0" applyAlignment="1">
      <alignment wrapText="1" readingOrder="1"/>
    </xf>
    <xf numFmtId="171" fontId="4" fillId="0" borderId="0" xfId="365" applyNumberFormat="1" applyFont="1">
      <alignment readingOrder="1"/>
    </xf>
    <xf numFmtId="168" fontId="4" fillId="0" borderId="0" xfId="1" applyNumberFormat="1" applyFont="1">
      <alignment readingOrder="1"/>
    </xf>
    <xf numFmtId="0" fontId="79" fillId="0" borderId="0" xfId="0" applyFont="1">
      <alignment readingOrder="1"/>
    </xf>
    <xf numFmtId="171" fontId="77" fillId="0" borderId="0" xfId="365" applyNumberFormat="1" applyFont="1">
      <alignment readingOrder="1"/>
    </xf>
    <xf numFmtId="0" fontId="80" fillId="0" borderId="0" xfId="0" applyFont="1">
      <alignment readingOrder="1"/>
    </xf>
    <xf numFmtId="171" fontId="80" fillId="0" borderId="0" xfId="365" applyNumberFormat="1" applyFont="1">
      <alignment readingOrder="1"/>
    </xf>
    <xf numFmtId="1" fontId="80" fillId="0" borderId="0" xfId="0" applyNumberFormat="1" applyFont="1">
      <alignment readingOrder="1"/>
    </xf>
    <xf numFmtId="168" fontId="80" fillId="0" borderId="0" xfId="1" applyNumberFormat="1" applyFont="1">
      <alignment readingOrder="1"/>
    </xf>
    <xf numFmtId="0" fontId="4" fillId="0" borderId="0" xfId="4" applyFont="1" applyBorder="1" applyAlignment="1">
      <alignment wrapText="1"/>
    </xf>
    <xf numFmtId="1" fontId="4" fillId="0" borderId="0" xfId="0" applyNumberFormat="1" applyFont="1">
      <alignment readingOrder="1"/>
    </xf>
    <xf numFmtId="0" fontId="4" fillId="0" borderId="0" xfId="0" applyFont="1"/>
    <xf numFmtId="0" fontId="0" fillId="0" borderId="0" xfId="0" applyFill="1" applyAlignment="1">
      <alignment vertical="center" wrapText="1" readingOrder="1"/>
    </xf>
    <xf numFmtId="9" fontId="10" fillId="63" borderId="0" xfId="0" applyNumberFormat="1" applyFont="1" applyFill="1">
      <alignment readingOrder="1"/>
    </xf>
    <xf numFmtId="0" fontId="0" fillId="63" borderId="0" xfId="0" applyFill="1">
      <alignment readingOrder="1"/>
    </xf>
    <xf numFmtId="1" fontId="0" fillId="63" borderId="0" xfId="0" applyNumberFormat="1" applyFill="1">
      <alignment readingOrder="1"/>
    </xf>
    <xf numFmtId="0" fontId="16" fillId="6" borderId="2" xfId="0" applyFont="1" applyFill="1" applyBorder="1"/>
    <xf numFmtId="0" fontId="16" fillId="14" borderId="6" xfId="0" applyFont="1" applyFill="1" applyBorder="1"/>
    <xf numFmtId="0" fontId="16" fillId="14" borderId="21" xfId="0" applyFont="1" applyFill="1" applyBorder="1"/>
    <xf numFmtId="0" fontId="16" fillId="14" borderId="7" xfId="0" applyFont="1" applyFill="1" applyBorder="1"/>
    <xf numFmtId="9" fontId="0" fillId="0" borderId="0" xfId="0" applyNumberFormat="1">
      <alignment readingOrder="1"/>
    </xf>
    <xf numFmtId="0" fontId="16" fillId="14" borderId="2" xfId="0" applyFont="1" applyFill="1" applyBorder="1"/>
    <xf numFmtId="0" fontId="0" fillId="67" borderId="0" xfId="0" applyFill="1" applyAlignment="1">
      <alignment horizontal="center" wrapText="1" readingOrder="1"/>
    </xf>
    <xf numFmtId="1" fontId="0" fillId="0" borderId="0" xfId="0" applyNumberFormat="1" applyFill="1">
      <alignment readingOrder="1"/>
    </xf>
    <xf numFmtId="170" fontId="0" fillId="0" borderId="0" xfId="0" applyNumberFormat="1" applyFill="1">
      <alignment readingOrder="1"/>
    </xf>
    <xf numFmtId="0" fontId="17" fillId="0" borderId="0" xfId="266" applyFont="1"/>
    <xf numFmtId="0" fontId="0" fillId="8" borderId="5" xfId="0" applyFill="1" applyBorder="1"/>
    <xf numFmtId="0" fontId="0" fillId="0" borderId="5" xfId="0" applyBorder="1"/>
    <xf numFmtId="173" fontId="0" fillId="62" borderId="5" xfId="9" applyNumberFormat="1" applyFont="1" applyFill="1" applyBorder="1" applyAlignment="1">
      <alignment horizontal="center"/>
    </xf>
    <xf numFmtId="173" fontId="0" fillId="62" borderId="5" xfId="0" applyNumberFormat="1" applyFill="1" applyBorder="1" applyAlignment="1">
      <alignment horizontal="center"/>
    </xf>
    <xf numFmtId="0" fontId="17" fillId="0" borderId="0" xfId="10" applyAlignment="1">
      <alignment wrapText="1"/>
    </xf>
    <xf numFmtId="0" fontId="17" fillId="0" borderId="0" xfId="10" applyAlignment="1">
      <alignment horizontal="center" wrapText="1"/>
    </xf>
    <xf numFmtId="0" fontId="81" fillId="68" borderId="46" xfId="10" applyFont="1" applyFill="1" applyBorder="1" applyAlignment="1">
      <alignment horizontal="center" vertical="center" wrapText="1" readingOrder="1"/>
    </xf>
    <xf numFmtId="0" fontId="81" fillId="68" borderId="51" xfId="10" applyFont="1" applyFill="1" applyBorder="1" applyAlignment="1">
      <alignment horizontal="center" vertical="center" wrapText="1" readingOrder="1"/>
    </xf>
    <xf numFmtId="0" fontId="17" fillId="68" borderId="52" xfId="10" applyFont="1" applyFill="1" applyBorder="1" applyAlignment="1">
      <alignment vertical="center" wrapText="1"/>
    </xf>
    <xf numFmtId="0" fontId="17" fillId="68" borderId="46" xfId="10" applyFont="1" applyFill="1" applyBorder="1" applyAlignment="1">
      <alignment vertical="center" wrapText="1"/>
    </xf>
    <xf numFmtId="0" fontId="17" fillId="68" borderId="51" xfId="10" applyFont="1" applyFill="1" applyBorder="1" applyAlignment="1">
      <alignment horizontal="center" vertical="center" wrapText="1" readingOrder="1"/>
    </xf>
    <xf numFmtId="0" fontId="17" fillId="68" borderId="54" xfId="10" applyFont="1" applyFill="1" applyBorder="1" applyAlignment="1">
      <alignment vertical="center" wrapText="1"/>
    </xf>
    <xf numFmtId="0" fontId="17" fillId="68" borderId="2" xfId="10" applyFont="1" applyFill="1" applyBorder="1" applyAlignment="1">
      <alignment horizontal="center" wrapText="1"/>
    </xf>
    <xf numFmtId="0" fontId="17" fillId="68" borderId="41" xfId="10" applyFont="1" applyFill="1" applyBorder="1" applyAlignment="1">
      <alignment vertical="center" wrapText="1"/>
    </xf>
    <xf numFmtId="1" fontId="17" fillId="0" borderId="0" xfId="10" applyNumberFormat="1" applyAlignment="1">
      <alignment horizontal="center" wrapText="1"/>
    </xf>
    <xf numFmtId="2" fontId="17" fillId="0" borderId="0" xfId="10" applyNumberFormat="1" applyFont="1" applyAlignment="1">
      <alignment horizontal="center" wrapText="1"/>
    </xf>
    <xf numFmtId="1" fontId="81" fillId="0" borderId="0" xfId="10" applyNumberFormat="1" applyFont="1" applyAlignment="1">
      <alignment horizontal="center" wrapText="1" readingOrder="1"/>
    </xf>
    <xf numFmtId="171" fontId="81" fillId="0" borderId="0" xfId="107" applyNumberFormat="1" applyFont="1" applyAlignment="1">
      <alignment horizontal="center" wrapText="1" readingOrder="1"/>
    </xf>
    <xf numFmtId="43" fontId="81" fillId="0" borderId="0" xfId="10" applyNumberFormat="1" applyFont="1" applyAlignment="1">
      <alignment horizontal="center" wrapText="1" readingOrder="1"/>
    </xf>
    <xf numFmtId="164" fontId="81" fillId="0" borderId="0" xfId="10" applyNumberFormat="1" applyFont="1" applyAlignment="1">
      <alignment horizontal="center" wrapText="1" readingOrder="1"/>
    </xf>
    <xf numFmtId="164" fontId="17" fillId="0" borderId="0" xfId="10" applyNumberFormat="1" applyFont="1" applyAlignment="1">
      <alignment horizontal="center" wrapText="1" readingOrder="1"/>
    </xf>
    <xf numFmtId="2" fontId="17" fillId="0" borderId="0" xfId="10" applyNumberFormat="1" applyAlignment="1">
      <alignment horizontal="center" wrapText="1"/>
    </xf>
    <xf numFmtId="1" fontId="17" fillId="0" borderId="0" xfId="10" applyNumberFormat="1" applyAlignment="1">
      <alignment wrapText="1"/>
    </xf>
    <xf numFmtId="0" fontId="17" fillId="0" borderId="0" xfId="10" applyFont="1" applyAlignment="1">
      <alignment wrapText="1"/>
    </xf>
    <xf numFmtId="0" fontId="17" fillId="0" borderId="0" xfId="285"/>
    <xf numFmtId="0" fontId="17" fillId="0" borderId="0" xfId="285" applyAlignment="1">
      <alignment horizontal="right"/>
    </xf>
    <xf numFmtId="0" fontId="17" fillId="70" borderId="55" xfId="285" applyFill="1" applyBorder="1" applyAlignment="1">
      <alignment horizontal="center"/>
    </xf>
    <xf numFmtId="0" fontId="17" fillId="0" borderId="0" xfId="285" applyAlignment="1">
      <alignment horizontal="center"/>
    </xf>
    <xf numFmtId="0" fontId="17" fillId="0" borderId="0" xfId="285" applyAlignment="1">
      <alignment wrapText="1"/>
    </xf>
    <xf numFmtId="0" fontId="16" fillId="0" borderId="0" xfId="285" applyFont="1" applyAlignment="1">
      <alignment wrapText="1"/>
    </xf>
    <xf numFmtId="0" fontId="16" fillId="0" borderId="0" xfId="285" applyFont="1" applyAlignment="1">
      <alignment horizontal="center" wrapText="1"/>
    </xf>
    <xf numFmtId="1" fontId="17" fillId="0" borderId="0" xfId="285" applyNumberFormat="1"/>
    <xf numFmtId="0" fontId="16" fillId="0" borderId="0" xfId="285" applyFont="1"/>
    <xf numFmtId="0" fontId="17" fillId="0" borderId="0" xfId="285" applyBorder="1"/>
    <xf numFmtId="1" fontId="17" fillId="0" borderId="0" xfId="285" applyNumberFormat="1" applyBorder="1"/>
    <xf numFmtId="0" fontId="17" fillId="0" borderId="12" xfId="285" applyBorder="1"/>
    <xf numFmtId="0" fontId="17" fillId="0" borderId="61" xfId="285" applyBorder="1"/>
    <xf numFmtId="1" fontId="17" fillId="0" borderId="61" xfId="285" applyNumberFormat="1" applyBorder="1"/>
    <xf numFmtId="2" fontId="17" fillId="0" borderId="0" xfId="285" applyNumberFormat="1"/>
    <xf numFmtId="0" fontId="0" fillId="0" borderId="0" xfId="314" applyFont="1"/>
    <xf numFmtId="0" fontId="4" fillId="0" borderId="0" xfId="314" applyFont="1"/>
    <xf numFmtId="1" fontId="4" fillId="0" borderId="0" xfId="314" applyNumberFormat="1" applyFont="1" applyAlignment="1">
      <alignment horizontal="right"/>
    </xf>
    <xf numFmtId="0" fontId="4" fillId="0" borderId="0" xfId="314" applyFont="1" applyAlignment="1">
      <alignment wrapText="1"/>
    </xf>
    <xf numFmtId="0" fontId="4" fillId="0" borderId="0" xfId="314" applyFont="1" applyAlignment="1">
      <alignment horizontal="center"/>
    </xf>
    <xf numFmtId="0" fontId="4" fillId="0" borderId="0" xfId="314" applyFont="1" applyAlignment="1">
      <alignment horizontal="center" wrapText="1"/>
    </xf>
    <xf numFmtId="2" fontId="4" fillId="0" borderId="0" xfId="314" applyNumberFormat="1" applyFont="1" applyAlignment="1">
      <alignment horizontal="center" wrapText="1"/>
    </xf>
    <xf numFmtId="0" fontId="4" fillId="0" borderId="5" xfId="314" applyFont="1" applyBorder="1" applyAlignment="1">
      <alignment horizontal="center" wrapText="1"/>
    </xf>
    <xf numFmtId="0" fontId="4" fillId="71" borderId="5" xfId="314" applyFont="1" applyFill="1" applyBorder="1" applyAlignment="1">
      <alignment horizontal="center" wrapText="1"/>
    </xf>
    <xf numFmtId="0" fontId="4" fillId="0" borderId="5" xfId="314" applyFont="1" applyFill="1" applyBorder="1" applyAlignment="1">
      <alignment horizontal="center" wrapText="1"/>
    </xf>
    <xf numFmtId="0" fontId="4" fillId="0" borderId="5" xfId="314" applyFont="1" applyFill="1" applyBorder="1" applyAlignment="1">
      <alignment horizontal="center"/>
    </xf>
    <xf numFmtId="0" fontId="4" fillId="0" borderId="5" xfId="314" applyFont="1" applyBorder="1"/>
    <xf numFmtId="0" fontId="4" fillId="0" borderId="5" xfId="314" applyNumberFormat="1" applyFont="1" applyFill="1" applyBorder="1" applyAlignment="1">
      <alignment horizontal="center" wrapText="1" shrinkToFit="1"/>
    </xf>
    <xf numFmtId="0" fontId="4" fillId="0" borderId="5" xfId="0" applyFont="1" applyBorder="1" applyAlignment="1">
      <alignment horizontal="center" wrapText="1" readingOrder="1"/>
    </xf>
    <xf numFmtId="0" fontId="4" fillId="0" borderId="35" xfId="0" applyFont="1" applyBorder="1" applyAlignment="1">
      <alignment horizontal="center" wrapText="1" readingOrder="1"/>
    </xf>
    <xf numFmtId="1" fontId="4" fillId="0" borderId="0" xfId="314" applyNumberFormat="1" applyFont="1"/>
    <xf numFmtId="0" fontId="4" fillId="0" borderId="5" xfId="314" applyFont="1" applyBorder="1" applyAlignment="1">
      <alignment horizontal="center"/>
    </xf>
    <xf numFmtId="0" fontId="4" fillId="71" borderId="5" xfId="314" applyFont="1" applyFill="1" applyBorder="1" applyAlignment="1">
      <alignment horizontal="center"/>
    </xf>
    <xf numFmtId="0" fontId="0" fillId="0" borderId="5" xfId="0" applyBorder="1">
      <alignment readingOrder="1"/>
    </xf>
    <xf numFmtId="0" fontId="0" fillId="0" borderId="35" xfId="0" applyBorder="1">
      <alignment readingOrder="1"/>
    </xf>
    <xf numFmtId="0" fontId="10" fillId="66" borderId="34" xfId="314" applyFont="1" applyFill="1" applyBorder="1" applyAlignment="1">
      <alignment horizontal="center" vertical="center" wrapText="1"/>
    </xf>
    <xf numFmtId="0" fontId="10" fillId="66" borderId="5" xfId="314" applyFont="1" applyFill="1" applyBorder="1" applyAlignment="1">
      <alignment horizontal="center" vertical="center" wrapText="1"/>
    </xf>
    <xf numFmtId="0" fontId="10" fillId="66" borderId="35" xfId="314" applyFont="1" applyFill="1" applyBorder="1" applyAlignment="1">
      <alignment horizontal="center" vertical="center" wrapText="1"/>
    </xf>
    <xf numFmtId="0" fontId="84" fillId="0" borderId="5" xfId="314" applyFont="1" applyBorder="1"/>
    <xf numFmtId="1" fontId="4" fillId="0" borderId="5" xfId="314" applyNumberFormat="1" applyFont="1" applyBorder="1"/>
    <xf numFmtId="164" fontId="4" fillId="0" borderId="5" xfId="314" applyNumberFormat="1" applyFont="1" applyBorder="1"/>
    <xf numFmtId="164" fontId="0" fillId="0" borderId="5" xfId="0" applyNumberFormat="1" applyBorder="1"/>
    <xf numFmtId="1" fontId="4" fillId="0" borderId="5" xfId="314" applyNumberFormat="1" applyFont="1" applyBorder="1" applyAlignment="1">
      <alignment horizontal="right"/>
    </xf>
    <xf numFmtId="164" fontId="4" fillId="0" borderId="0" xfId="314" applyNumberFormat="1" applyFont="1"/>
    <xf numFmtId="171" fontId="4" fillId="0" borderId="0" xfId="314" applyNumberFormat="1" applyFont="1" applyAlignment="1">
      <alignment horizontal="center"/>
    </xf>
    <xf numFmtId="171" fontId="10" fillId="0" borderId="5" xfId="130" applyNumberFormat="1" applyFont="1" applyBorder="1"/>
    <xf numFmtId="171" fontId="0" fillId="0" borderId="5" xfId="130" applyNumberFormat="1" applyFont="1" applyBorder="1"/>
    <xf numFmtId="0" fontId="4" fillId="61" borderId="5" xfId="314" applyFont="1" applyFill="1" applyBorder="1"/>
    <xf numFmtId="171" fontId="10" fillId="0" borderId="5" xfId="130" applyNumberFormat="1" applyFont="1" applyFill="1" applyBorder="1"/>
    <xf numFmtId="171" fontId="4" fillId="0" borderId="5" xfId="314" applyNumberFormat="1" applyFont="1" applyBorder="1"/>
    <xf numFmtId="171" fontId="4" fillId="71" borderId="5" xfId="314" applyNumberFormat="1" applyFont="1" applyFill="1" applyBorder="1"/>
    <xf numFmtId="43" fontId="4" fillId="0" borderId="5" xfId="314" applyNumberFormat="1" applyFont="1" applyBorder="1"/>
    <xf numFmtId="174" fontId="4" fillId="0" borderId="5" xfId="314" applyNumberFormat="1" applyFont="1" applyBorder="1"/>
    <xf numFmtId="168" fontId="4" fillId="0" borderId="5" xfId="1" applyNumberFormat="1" applyFont="1" applyBorder="1"/>
    <xf numFmtId="168" fontId="0" fillId="0" borderId="5" xfId="1" applyNumberFormat="1" applyFont="1" applyBorder="1">
      <alignment readingOrder="1"/>
    </xf>
    <xf numFmtId="168" fontId="0" fillId="0" borderId="35" xfId="1" applyNumberFormat="1" applyFont="1" applyBorder="1">
      <alignment readingOrder="1"/>
    </xf>
    <xf numFmtId="168" fontId="4" fillId="0" borderId="34" xfId="1" applyNumberFormat="1" applyFont="1" applyBorder="1"/>
    <xf numFmtId="168" fontId="4" fillId="0" borderId="35" xfId="1" applyNumberFormat="1" applyFont="1" applyBorder="1"/>
    <xf numFmtId="0" fontId="4" fillId="0" borderId="5" xfId="314" applyFont="1" applyBorder="1" applyAlignment="1">
      <alignment horizontal="right"/>
    </xf>
    <xf numFmtId="0" fontId="10" fillId="0" borderId="5" xfId="314" applyFont="1" applyBorder="1" applyAlignment="1">
      <alignment horizontal="center"/>
    </xf>
    <xf numFmtId="0" fontId="4" fillId="0" borderId="0" xfId="314" applyFont="1" applyBorder="1"/>
    <xf numFmtId="5" fontId="0" fillId="0" borderId="5" xfId="130" applyNumberFormat="1" applyFont="1" applyBorder="1" applyAlignment="1">
      <alignment horizontal="center"/>
    </xf>
    <xf numFmtId="0" fontId="4" fillId="0" borderId="0" xfId="314" applyFont="1" applyBorder="1" applyAlignment="1">
      <alignment horizontal="center"/>
    </xf>
    <xf numFmtId="0" fontId="10" fillId="62" borderId="5" xfId="314" applyFont="1" applyFill="1" applyBorder="1" applyAlignment="1">
      <alignment horizontal="center"/>
    </xf>
    <xf numFmtId="174" fontId="4" fillId="0" borderId="5" xfId="314" applyNumberFormat="1" applyFont="1" applyBorder="1" applyAlignment="1">
      <alignment horizontal="center"/>
    </xf>
    <xf numFmtId="5" fontId="4" fillId="62" borderId="5" xfId="152" applyNumberFormat="1" applyFont="1" applyFill="1" applyBorder="1" applyAlignment="1">
      <alignment horizontal="center"/>
    </xf>
    <xf numFmtId="5" fontId="0" fillId="0" borderId="5" xfId="152" applyNumberFormat="1" applyFont="1" applyBorder="1" applyAlignment="1">
      <alignment horizontal="center"/>
    </xf>
    <xf numFmtId="168" fontId="4" fillId="0" borderId="36" xfId="1" applyNumberFormat="1" applyFont="1" applyBorder="1"/>
    <xf numFmtId="168" fontId="4" fillId="0" borderId="63" xfId="1" applyNumberFormat="1" applyFont="1" applyBorder="1"/>
    <xf numFmtId="168" fontId="4" fillId="0" borderId="37" xfId="1" applyNumberFormat="1" applyFont="1" applyBorder="1"/>
    <xf numFmtId="5" fontId="4" fillId="0" borderId="5" xfId="314" applyNumberFormat="1" applyFont="1" applyBorder="1"/>
    <xf numFmtId="0" fontId="4" fillId="0" borderId="0" xfId="314" applyFont="1" applyAlignment="1">
      <alignment horizontal="right"/>
    </xf>
    <xf numFmtId="0" fontId="4" fillId="0" borderId="0" xfId="314" applyFont="1">
      <alignment readingOrder="1"/>
    </xf>
    <xf numFmtId="5" fontId="4" fillId="0" borderId="5" xfId="314" applyNumberFormat="1" applyFont="1" applyBorder="1" applyAlignment="1">
      <alignment horizontal="center"/>
    </xf>
    <xf numFmtId="0" fontId="9" fillId="66" borderId="64" xfId="314" applyFont="1" applyFill="1" applyBorder="1" applyAlignment="1">
      <alignment horizontal="center" wrapText="1" readingOrder="1"/>
    </xf>
    <xf numFmtId="0" fontId="4" fillId="66" borderId="5" xfId="0" applyFont="1" applyFill="1" applyBorder="1" applyAlignment="1">
      <alignment horizontal="center" readingOrder="1"/>
    </xf>
    <xf numFmtId="0" fontId="9" fillId="66" borderId="65" xfId="314" applyFont="1" applyFill="1" applyBorder="1" applyAlignment="1">
      <alignment horizontal="center" wrapText="1" readingOrder="1"/>
    </xf>
    <xf numFmtId="0" fontId="9" fillId="66" borderId="66" xfId="314" applyFont="1" applyFill="1" applyBorder="1" applyAlignment="1">
      <alignment horizontal="center" wrapText="1" readingOrder="1"/>
    </xf>
    <xf numFmtId="0" fontId="4" fillId="0" borderId="0" xfId="314" applyFont="1" applyBorder="1" applyAlignment="1">
      <alignment horizontal="right"/>
    </xf>
    <xf numFmtId="175" fontId="4" fillId="0" borderId="5" xfId="365" applyNumberFormat="1" applyFont="1" applyBorder="1" applyAlignment="1">
      <alignment horizontal="center"/>
    </xf>
    <xf numFmtId="6" fontId="9" fillId="0" borderId="5" xfId="314" applyNumberFormat="1" applyFont="1" applyBorder="1" applyAlignment="1">
      <alignment horizontal="center" wrapText="1" readingOrder="1"/>
    </xf>
    <xf numFmtId="0" fontId="10" fillId="0" borderId="0" xfId="314" applyFont="1" applyBorder="1" applyAlignment="1">
      <alignment horizontal="center"/>
    </xf>
    <xf numFmtId="175" fontId="4" fillId="0" borderId="5" xfId="365" applyNumberFormat="1" applyFont="1" applyFill="1" applyBorder="1" applyAlignment="1">
      <alignment horizontal="center"/>
    </xf>
    <xf numFmtId="174" fontId="0" fillId="0" borderId="5" xfId="0" applyNumberFormat="1" applyBorder="1" applyAlignment="1">
      <alignment horizontal="center" readingOrder="1"/>
    </xf>
    <xf numFmtId="0" fontId="0" fillId="0" borderId="5" xfId="0" applyBorder="1" applyAlignment="1">
      <alignment horizontal="center" readingOrder="1"/>
    </xf>
    <xf numFmtId="174" fontId="85" fillId="0" borderId="5" xfId="314" applyNumberFormat="1" applyFont="1" applyBorder="1" applyAlignment="1">
      <alignment horizontal="center"/>
    </xf>
    <xf numFmtId="0" fontId="4" fillId="72" borderId="38" xfId="0" applyFont="1" applyFill="1" applyBorder="1" applyAlignment="1">
      <alignment horizontal="center" readingOrder="1"/>
    </xf>
    <xf numFmtId="0" fontId="4" fillId="72" borderId="67" xfId="368" applyFont="1" applyFill="1" applyBorder="1" applyAlignment="1">
      <alignment horizontal="center" wrapText="1"/>
    </xf>
    <xf numFmtId="0" fontId="4" fillId="72" borderId="42" xfId="368" applyFont="1" applyFill="1" applyBorder="1" applyAlignment="1">
      <alignment horizontal="center" wrapText="1"/>
    </xf>
    <xf numFmtId="0" fontId="4" fillId="72" borderId="49" xfId="368" applyFont="1" applyFill="1" applyBorder="1" applyAlignment="1">
      <alignment horizontal="center" wrapText="1"/>
    </xf>
    <xf numFmtId="0" fontId="4" fillId="0" borderId="5" xfId="0" applyFont="1" applyBorder="1" applyAlignment="1">
      <alignment horizontal="center" readingOrder="1"/>
    </xf>
    <xf numFmtId="0" fontId="0" fillId="0" borderId="34" xfId="0" applyBorder="1" applyAlignment="1">
      <alignment horizontal="center" readingOrder="1"/>
    </xf>
    <xf numFmtId="0" fontId="4" fillId="0" borderId="5" xfId="368" applyFont="1" applyBorder="1" applyAlignment="1">
      <alignment horizontal="center"/>
    </xf>
    <xf numFmtId="0" fontId="4" fillId="0" borderId="5" xfId="368" applyBorder="1" applyAlignment="1">
      <alignment horizontal="center"/>
    </xf>
    <xf numFmtId="168" fontId="4" fillId="0" borderId="35" xfId="139" applyNumberFormat="1" applyBorder="1" applyAlignment="1">
      <alignment horizontal="center"/>
    </xf>
    <xf numFmtId="168" fontId="4" fillId="0" borderId="68" xfId="139" applyNumberFormat="1" applyBorder="1" applyAlignment="1">
      <alignment horizontal="center"/>
    </xf>
    <xf numFmtId="0" fontId="4" fillId="0" borderId="5" xfId="0" applyFont="1" applyFill="1" applyBorder="1" applyAlignment="1">
      <alignment horizontal="center" readingOrder="1"/>
    </xf>
    <xf numFmtId="0" fontId="0" fillId="0" borderId="36" xfId="0" applyBorder="1" applyAlignment="1">
      <alignment horizontal="center" readingOrder="1"/>
    </xf>
    <xf numFmtId="0" fontId="4" fillId="0" borderId="63" xfId="368" applyFont="1" applyBorder="1" applyAlignment="1">
      <alignment horizontal="center"/>
    </xf>
    <xf numFmtId="0" fontId="4" fillId="0" borderId="63" xfId="368" applyBorder="1" applyAlignment="1">
      <alignment horizontal="center"/>
    </xf>
    <xf numFmtId="168" fontId="4" fillId="0" borderId="37" xfId="139" applyNumberFormat="1" applyBorder="1" applyAlignment="1">
      <alignment horizontal="center"/>
    </xf>
    <xf numFmtId="168" fontId="4" fillId="0" borderId="69" xfId="139" applyNumberFormat="1" applyBorder="1" applyAlignment="1">
      <alignment horizontal="center"/>
    </xf>
    <xf numFmtId="0" fontId="4" fillId="0" borderId="0" xfId="0" applyFont="1" applyAlignment="1">
      <alignment horizontal="center" readingOrder="1"/>
    </xf>
    <xf numFmtId="0" fontId="14" fillId="0" borderId="5" xfId="0" applyFont="1" applyBorder="1" applyAlignment="1">
      <alignment horizontal="center" wrapText="1" readingOrder="1"/>
    </xf>
    <xf numFmtId="0" fontId="4" fillId="66" borderId="5" xfId="368" applyFont="1" applyFill="1" applyBorder="1" applyAlignment="1">
      <alignment horizontal="center" vertical="center" wrapText="1"/>
    </xf>
    <xf numFmtId="0" fontId="14" fillId="0" borderId="5" xfId="0" applyFont="1" applyBorder="1" applyAlignment="1">
      <alignment horizontal="center" readingOrder="1"/>
    </xf>
    <xf numFmtId="168" fontId="4" fillId="0" borderId="5" xfId="368" applyNumberFormat="1" applyFont="1" applyBorder="1" applyAlignment="1">
      <alignment horizontal="center"/>
    </xf>
    <xf numFmtId="168" fontId="0" fillId="0" borderId="5" xfId="0" applyNumberFormat="1" applyBorder="1" applyAlignment="1">
      <alignment horizontal="center" readingOrder="1"/>
    </xf>
    <xf numFmtId="0" fontId="14" fillId="0" borderId="5" xfId="0" applyFont="1" applyFill="1" applyBorder="1" applyAlignment="1">
      <alignment horizontal="center" readingOrder="1"/>
    </xf>
    <xf numFmtId="0" fontId="14" fillId="0" borderId="5" xfId="314" applyFont="1" applyBorder="1" applyAlignment="1">
      <alignment horizontal="center"/>
    </xf>
    <xf numFmtId="0" fontId="14" fillId="0" borderId="5" xfId="314" applyFont="1" applyFill="1" applyBorder="1" applyAlignment="1">
      <alignment horizontal="center"/>
    </xf>
    <xf numFmtId="0" fontId="0" fillId="0" borderId="0" xfId="0" applyBorder="1">
      <alignment readingOrder="1"/>
    </xf>
    <xf numFmtId="0" fontId="4" fillId="66" borderId="14" xfId="0" applyFont="1" applyFill="1" applyBorder="1" applyAlignment="1">
      <alignment readingOrder="1"/>
    </xf>
    <xf numFmtId="0" fontId="4" fillId="66" borderId="15" xfId="0" applyFont="1" applyFill="1" applyBorder="1" applyAlignment="1">
      <alignment readingOrder="1"/>
    </xf>
    <xf numFmtId="164" fontId="87" fillId="0" borderId="0" xfId="0" applyNumberFormat="1" applyFont="1">
      <alignment readingOrder="1"/>
    </xf>
    <xf numFmtId="0" fontId="11" fillId="73" borderId="6" xfId="0" applyFont="1" applyFill="1" applyBorder="1" applyAlignment="1">
      <alignment horizontal="left" wrapText="1" readingOrder="1"/>
    </xf>
    <xf numFmtId="0" fontId="11" fillId="73" borderId="7" xfId="0" applyFont="1" applyFill="1" applyBorder="1" applyAlignment="1">
      <alignment horizontal="center" wrapText="1" readingOrder="1"/>
    </xf>
    <xf numFmtId="0" fontId="11" fillId="7" borderId="21" xfId="0" applyFont="1" applyFill="1" applyBorder="1" applyAlignment="1">
      <alignment horizontal="center" wrapText="1" readingOrder="1"/>
    </xf>
    <xf numFmtId="0" fontId="0" fillId="0" borderId="56" xfId="0" applyBorder="1">
      <alignment readingOrder="1"/>
    </xf>
    <xf numFmtId="0" fontId="0" fillId="0" borderId="57" xfId="0" applyBorder="1">
      <alignment readingOrder="1"/>
    </xf>
    <xf numFmtId="0" fontId="0" fillId="0" borderId="58" xfId="0" applyBorder="1">
      <alignment readingOrder="1"/>
    </xf>
    <xf numFmtId="0" fontId="0" fillId="0" borderId="53" xfId="0" applyBorder="1">
      <alignment readingOrder="1"/>
    </xf>
    <xf numFmtId="0" fontId="0" fillId="0" borderId="59" xfId="0" applyBorder="1">
      <alignment readingOrder="1"/>
    </xf>
    <xf numFmtId="0" fontId="0" fillId="0" borderId="60" xfId="0" applyBorder="1">
      <alignment readingOrder="1"/>
    </xf>
    <xf numFmtId="0" fontId="0" fillId="0" borderId="61" xfId="0" applyBorder="1">
      <alignment readingOrder="1"/>
    </xf>
    <xf numFmtId="0" fontId="0" fillId="0" borderId="62" xfId="0" applyBorder="1">
      <alignment readingOrder="1"/>
    </xf>
    <xf numFmtId="0" fontId="9" fillId="65" borderId="14" xfId="0" applyFont="1" applyFill="1" applyBorder="1" applyAlignment="1">
      <alignment horizontal="centerContinuous" wrapText="1" readingOrder="1"/>
    </xf>
    <xf numFmtId="0" fontId="9" fillId="65" borderId="8" xfId="0" applyFont="1" applyFill="1" applyBorder="1" applyAlignment="1">
      <alignment horizontal="centerContinuous" wrapText="1" readingOrder="1"/>
    </xf>
    <xf numFmtId="164" fontId="9" fillId="65" borderId="14" xfId="0" applyNumberFormat="1" applyFont="1" applyFill="1" applyBorder="1" applyAlignment="1">
      <alignment horizontal="centerContinuous" wrapText="1" readingOrder="1"/>
    </xf>
    <xf numFmtId="164" fontId="9" fillId="65" borderId="15" xfId="0" applyNumberFormat="1" applyFont="1" applyFill="1" applyBorder="1" applyAlignment="1">
      <alignment horizontal="centerContinuous" wrapText="1" readingOrder="1"/>
    </xf>
    <xf numFmtId="164" fontId="9" fillId="65" borderId="8" xfId="0" applyNumberFormat="1" applyFont="1" applyFill="1" applyBorder="1" applyAlignment="1">
      <alignment horizontal="centerContinuous" wrapText="1" readingOrder="1"/>
    </xf>
    <xf numFmtId="164" fontId="9" fillId="65" borderId="21" xfId="0" applyNumberFormat="1" applyFont="1" applyFill="1" applyBorder="1" applyAlignment="1">
      <alignment horizontal="center" wrapText="1" readingOrder="1"/>
    </xf>
    <xf numFmtId="177" fontId="9" fillId="8" borderId="7" xfId="0" applyNumberFormat="1" applyFont="1" applyFill="1" applyBorder="1" applyAlignment="1">
      <alignment horizontal="center" wrapText="1" readingOrder="1"/>
    </xf>
    <xf numFmtId="164" fontId="8" fillId="0" borderId="0" xfId="0" applyNumberFormat="1" applyFont="1">
      <alignment readingOrder="1"/>
    </xf>
    <xf numFmtId="0" fontId="9" fillId="9" borderId="14" xfId="0" applyFont="1" applyFill="1" applyBorder="1" applyAlignment="1">
      <alignment horizontal="centerContinuous" wrapText="1" readingOrder="1"/>
    </xf>
    <xf numFmtId="0" fontId="9" fillId="9" borderId="15" xfId="0" applyFont="1" applyFill="1" applyBorder="1" applyAlignment="1">
      <alignment horizontal="centerContinuous" wrapText="1" readingOrder="1"/>
    </xf>
    <xf numFmtId="164" fontId="9" fillId="9" borderId="15" xfId="0" applyNumberFormat="1" applyFont="1" applyFill="1" applyBorder="1" applyAlignment="1">
      <alignment horizontal="centerContinuous" wrapText="1" readingOrder="1"/>
    </xf>
    <xf numFmtId="164" fontId="9" fillId="9" borderId="21" xfId="0" applyNumberFormat="1" applyFont="1" applyFill="1" applyBorder="1" applyAlignment="1">
      <alignment horizontal="center" wrapText="1" readingOrder="1"/>
    </xf>
    <xf numFmtId="164" fontId="9" fillId="9" borderId="14" xfId="0" applyNumberFormat="1" applyFont="1" applyFill="1" applyBorder="1" applyAlignment="1">
      <alignment horizontal="centerContinuous" wrapText="1" readingOrder="1"/>
    </xf>
    <xf numFmtId="164" fontId="10" fillId="0" borderId="0" xfId="0" applyNumberFormat="1" applyFont="1">
      <alignment readingOrder="1"/>
    </xf>
    <xf numFmtId="178" fontId="10" fillId="0" borderId="0" xfId="0" applyNumberFormat="1" applyFont="1">
      <alignment readingOrder="1"/>
    </xf>
    <xf numFmtId="178" fontId="0" fillId="0" borderId="0" xfId="0" applyNumberFormat="1">
      <alignment readingOrder="1"/>
    </xf>
    <xf numFmtId="178" fontId="87" fillId="0" borderId="0" xfId="0" applyNumberFormat="1" applyFont="1">
      <alignment readingOrder="1"/>
    </xf>
    <xf numFmtId="0" fontId="4" fillId="0" borderId="5" xfId="15" applyNumberFormat="1" applyFont="1" applyFill="1" applyBorder="1" applyAlignment="1">
      <alignment horizontal="left" vertical="center" wrapText="1" readingOrder="1"/>
    </xf>
    <xf numFmtId="0" fontId="88" fillId="74" borderId="0" xfId="10" applyFont="1" applyFill="1"/>
    <xf numFmtId="0" fontId="17" fillId="74" borderId="0" xfId="10" applyFont="1" applyFill="1" applyAlignment="1">
      <alignment horizontal="center"/>
    </xf>
    <xf numFmtId="0" fontId="17" fillId="74" borderId="0" xfId="10" applyFill="1"/>
    <xf numFmtId="0" fontId="17" fillId="74" borderId="0" xfId="10" applyFont="1" applyFill="1"/>
    <xf numFmtId="0" fontId="17" fillId="0" borderId="0" xfId="10" applyFont="1" applyBorder="1"/>
    <xf numFmtId="0" fontId="17" fillId="66" borderId="45" xfId="10" applyFont="1" applyFill="1" applyBorder="1" applyAlignment="1">
      <alignment vertical="center"/>
    </xf>
    <xf numFmtId="0" fontId="17" fillId="66" borderId="70" xfId="10" applyFont="1" applyFill="1" applyBorder="1" applyAlignment="1">
      <alignment vertical="center" wrapText="1"/>
    </xf>
    <xf numFmtId="0" fontId="17" fillId="0" borderId="0" xfId="10"/>
    <xf numFmtId="0" fontId="17" fillId="0" borderId="0" xfId="10" applyFont="1"/>
    <xf numFmtId="0" fontId="17" fillId="66" borderId="72" xfId="10" applyFont="1" applyFill="1" applyBorder="1" applyAlignment="1">
      <alignment vertical="center"/>
    </xf>
    <xf numFmtId="0" fontId="17" fillId="66" borderId="40" xfId="10" applyFont="1" applyFill="1" applyBorder="1" applyAlignment="1">
      <alignment vertical="center" wrapText="1"/>
    </xf>
    <xf numFmtId="0" fontId="17" fillId="66" borderId="52" xfId="10" applyFont="1" applyFill="1" applyBorder="1" applyAlignment="1">
      <alignment vertical="center" wrapText="1"/>
    </xf>
    <xf numFmtId="0" fontId="17" fillId="66" borderId="46" xfId="10" applyFont="1" applyFill="1" applyBorder="1" applyAlignment="1">
      <alignment vertical="center" wrapText="1"/>
    </xf>
    <xf numFmtId="0" fontId="89" fillId="0" borderId="0" xfId="10" applyFont="1" applyBorder="1"/>
    <xf numFmtId="0" fontId="17" fillId="66" borderId="43" xfId="10" applyFont="1" applyFill="1" applyBorder="1" applyAlignment="1">
      <alignment vertical="center"/>
    </xf>
    <xf numFmtId="0" fontId="17" fillId="66" borderId="73" xfId="10" applyFont="1" applyFill="1" applyBorder="1" applyAlignment="1">
      <alignment vertical="center" wrapText="1"/>
    </xf>
    <xf numFmtId="0" fontId="17" fillId="66" borderId="74" xfId="10" applyFont="1" applyFill="1" applyBorder="1" applyAlignment="1">
      <alignment vertical="center" wrapText="1"/>
    </xf>
    <xf numFmtId="0" fontId="17" fillId="66" borderId="43" xfId="10" applyFont="1" applyFill="1" applyBorder="1" applyAlignment="1">
      <alignment horizontal="center" vertical="center" wrapText="1"/>
    </xf>
    <xf numFmtId="0" fontId="17" fillId="66" borderId="2" xfId="10" applyFont="1" applyFill="1" applyBorder="1" applyAlignment="1">
      <alignment horizontal="center"/>
    </xf>
    <xf numFmtId="0" fontId="17" fillId="66" borderId="44" xfId="10" applyFont="1" applyFill="1" applyBorder="1" applyAlignment="1">
      <alignment horizontal="center" vertical="center" wrapText="1"/>
    </xf>
    <xf numFmtId="0" fontId="17" fillId="0" borderId="38" xfId="10" applyFont="1" applyBorder="1" applyAlignment="1">
      <alignment horizontal="center"/>
    </xf>
    <xf numFmtId="0" fontId="17" fillId="0" borderId="67" xfId="10" applyFont="1" applyBorder="1" applyAlignment="1">
      <alignment horizontal="center"/>
    </xf>
    <xf numFmtId="179" fontId="17" fillId="0" borderId="67" xfId="10" applyNumberFormat="1" applyFont="1" applyBorder="1" applyAlignment="1">
      <alignment horizontal="center"/>
    </xf>
    <xf numFmtId="179" fontId="17" fillId="0" borderId="75" xfId="10" applyNumberFormat="1" applyFont="1" applyBorder="1" applyAlignment="1">
      <alignment horizontal="center"/>
    </xf>
    <xf numFmtId="2" fontId="17" fillId="0" borderId="38" xfId="10" applyNumberFormat="1" applyFont="1" applyBorder="1" applyAlignment="1">
      <alignment horizontal="center"/>
    </xf>
    <xf numFmtId="2" fontId="17" fillId="0" borderId="67" xfId="10" applyNumberFormat="1" applyFont="1" applyBorder="1" applyAlignment="1">
      <alignment horizontal="center"/>
    </xf>
    <xf numFmtId="2" fontId="17" fillId="0" borderId="42" xfId="10" applyNumberFormat="1" applyFont="1" applyBorder="1" applyAlignment="1">
      <alignment horizontal="center"/>
    </xf>
    <xf numFmtId="0" fontId="17" fillId="0" borderId="34" xfId="10" applyFont="1" applyBorder="1" applyAlignment="1">
      <alignment horizontal="center"/>
    </xf>
    <xf numFmtId="0" fontId="17" fillId="0" borderId="5" xfId="10" applyFont="1" applyBorder="1" applyAlignment="1">
      <alignment horizontal="center"/>
    </xf>
    <xf numFmtId="179" fontId="17" fillId="0" borderId="5" xfId="10" applyNumberFormat="1" applyFont="1" applyBorder="1" applyAlignment="1">
      <alignment horizontal="center"/>
    </xf>
    <xf numFmtId="179" fontId="17" fillId="0" borderId="6" xfId="10" applyNumberFormat="1" applyFont="1" applyBorder="1" applyAlignment="1">
      <alignment horizontal="center"/>
    </xf>
    <xf numFmtId="2" fontId="17" fillId="0" borderId="34" xfId="10" applyNumberFormat="1" applyFont="1" applyBorder="1" applyAlignment="1">
      <alignment horizontal="center"/>
    </xf>
    <xf numFmtId="2" fontId="17" fillId="0" borderId="5" xfId="10" applyNumberFormat="1" applyFont="1" applyBorder="1" applyAlignment="1">
      <alignment horizontal="center"/>
    </xf>
    <xf numFmtId="2" fontId="17" fillId="0" borderId="35" xfId="10" applyNumberFormat="1" applyFont="1" applyBorder="1" applyAlignment="1">
      <alignment horizontal="center"/>
    </xf>
    <xf numFmtId="0" fontId="17" fillId="0" borderId="52" xfId="10" applyFont="1" applyBorder="1" applyAlignment="1">
      <alignment horizontal="center"/>
    </xf>
    <xf numFmtId="0" fontId="17" fillId="0" borderId="2" xfId="10" applyFont="1" applyBorder="1" applyAlignment="1">
      <alignment horizontal="center"/>
    </xf>
    <xf numFmtId="179" fontId="17" fillId="0" borderId="2" xfId="10" applyNumberFormat="1" applyFont="1" applyBorder="1" applyAlignment="1">
      <alignment horizontal="center"/>
    </xf>
    <xf numFmtId="179" fontId="17" fillId="0" borderId="1" xfId="10" applyNumberFormat="1" applyFont="1" applyBorder="1" applyAlignment="1">
      <alignment horizontal="center"/>
    </xf>
    <xf numFmtId="2" fontId="17" fillId="0" borderId="52" xfId="10" applyNumberFormat="1" applyFont="1" applyBorder="1" applyAlignment="1">
      <alignment horizontal="center"/>
    </xf>
    <xf numFmtId="2" fontId="17" fillId="0" borderId="2" xfId="10" applyNumberFormat="1" applyFont="1" applyBorder="1" applyAlignment="1">
      <alignment horizontal="center"/>
    </xf>
    <xf numFmtId="2" fontId="17" fillId="0" borderId="46" xfId="10" applyNumberFormat="1" applyFont="1" applyBorder="1" applyAlignment="1">
      <alignment horizontal="center"/>
    </xf>
    <xf numFmtId="0" fontId="17" fillId="0" borderId="0" xfId="10" applyFont="1" applyFill="1" applyBorder="1"/>
    <xf numFmtId="0" fontId="18" fillId="0" borderId="38" xfId="10" applyFont="1" applyFill="1" applyBorder="1" applyAlignment="1">
      <alignment horizontal="center"/>
    </xf>
    <xf numFmtId="0" fontId="18" fillId="0" borderId="67" xfId="10" applyFont="1" applyBorder="1" applyAlignment="1">
      <alignment horizontal="center"/>
    </xf>
    <xf numFmtId="179" fontId="18" fillId="0" borderId="67" xfId="10" applyNumberFormat="1" applyFont="1" applyFill="1" applyBorder="1" applyAlignment="1">
      <alignment horizontal="center"/>
    </xf>
    <xf numFmtId="0" fontId="18" fillId="0" borderId="67" xfId="10" applyFont="1" applyFill="1" applyBorder="1" applyAlignment="1">
      <alignment horizontal="center"/>
    </xf>
    <xf numFmtId="179" fontId="18" fillId="0" borderId="75" xfId="10" applyNumberFormat="1" applyFont="1" applyFill="1" applyBorder="1" applyAlignment="1">
      <alignment horizontal="center"/>
    </xf>
    <xf numFmtId="2" fontId="18" fillId="0" borderId="38" xfId="10" applyNumberFormat="1" applyFont="1" applyFill="1" applyBorder="1" applyAlignment="1">
      <alignment horizontal="center"/>
    </xf>
    <xf numFmtId="2" fontId="18" fillId="0" borderId="67" xfId="10" applyNumberFormat="1" applyFont="1" applyFill="1" applyBorder="1" applyAlignment="1">
      <alignment horizontal="center"/>
    </xf>
    <xf numFmtId="2" fontId="18" fillId="0" borderId="42" xfId="10" applyNumberFormat="1" applyFont="1" applyFill="1" applyBorder="1" applyAlignment="1">
      <alignment horizontal="center"/>
    </xf>
    <xf numFmtId="0" fontId="17" fillId="66" borderId="5" xfId="10" applyFont="1" applyFill="1" applyBorder="1" applyAlignment="1">
      <alignment horizontal="center"/>
    </xf>
    <xf numFmtId="0" fontId="18" fillId="0" borderId="34" xfId="10" applyFont="1" applyFill="1" applyBorder="1" applyAlignment="1">
      <alignment horizontal="center"/>
    </xf>
    <xf numFmtId="0" fontId="18" fillId="0" borderId="5" xfId="10" applyFont="1" applyBorder="1" applyAlignment="1">
      <alignment horizontal="center"/>
    </xf>
    <xf numFmtId="179" fontId="18" fillId="0" borderId="5" xfId="10" applyNumberFormat="1" applyFont="1" applyFill="1" applyBorder="1" applyAlignment="1">
      <alignment horizontal="center"/>
    </xf>
    <xf numFmtId="0" fontId="18" fillId="0" borderId="5" xfId="10" applyFont="1" applyFill="1" applyBorder="1" applyAlignment="1">
      <alignment horizontal="center"/>
    </xf>
    <xf numFmtId="179" fontId="18" fillId="0" borderId="6" xfId="10" applyNumberFormat="1" applyFont="1" applyFill="1" applyBorder="1" applyAlignment="1">
      <alignment horizontal="center"/>
    </xf>
    <xf numFmtId="2" fontId="18" fillId="0" borderId="34" xfId="10" applyNumberFormat="1" applyFont="1" applyFill="1" applyBorder="1" applyAlignment="1">
      <alignment horizontal="center"/>
    </xf>
    <xf numFmtId="2" fontId="18" fillId="0" borderId="5" xfId="10" applyNumberFormat="1" applyFont="1" applyFill="1" applyBorder="1" applyAlignment="1">
      <alignment horizontal="center"/>
    </xf>
    <xf numFmtId="2" fontId="18" fillId="0" borderId="35" xfId="10" applyNumberFormat="1" applyFont="1" applyFill="1" applyBorder="1" applyAlignment="1">
      <alignment horizontal="center"/>
    </xf>
    <xf numFmtId="2" fontId="17" fillId="0" borderId="5" xfId="10" applyNumberFormat="1" applyBorder="1" applyAlignment="1">
      <alignment horizontal="center"/>
    </xf>
    <xf numFmtId="0" fontId="18" fillId="0" borderId="36" xfId="10" applyFont="1" applyFill="1" applyBorder="1" applyAlignment="1">
      <alignment horizontal="center"/>
    </xf>
    <xf numFmtId="0" fontId="18" fillId="0" borderId="63" xfId="10" applyFont="1" applyBorder="1" applyAlignment="1">
      <alignment horizontal="center"/>
    </xf>
    <xf numFmtId="179" fontId="18" fillId="0" borderId="63" xfId="10" applyNumberFormat="1" applyFont="1" applyFill="1" applyBorder="1" applyAlignment="1">
      <alignment horizontal="center"/>
    </xf>
    <xf numFmtId="0" fontId="18" fillId="0" borderId="63" xfId="10" applyFont="1" applyFill="1" applyBorder="1" applyAlignment="1">
      <alignment horizontal="center"/>
    </xf>
    <xf numFmtId="179" fontId="18" fillId="0" borderId="76" xfId="10" applyNumberFormat="1" applyFont="1" applyFill="1" applyBorder="1" applyAlignment="1">
      <alignment horizontal="center"/>
    </xf>
    <xf numFmtId="2" fontId="18" fillId="0" borderId="36" xfId="10" applyNumberFormat="1" applyFont="1" applyFill="1" applyBorder="1" applyAlignment="1">
      <alignment horizontal="center"/>
    </xf>
    <xf numFmtId="2" fontId="18" fillId="0" borderId="63" xfId="10" applyNumberFormat="1" applyFont="1" applyFill="1" applyBorder="1" applyAlignment="1">
      <alignment horizontal="center"/>
    </xf>
    <xf numFmtId="2" fontId="18" fillId="0" borderId="37" xfId="10" applyNumberFormat="1" applyFont="1" applyFill="1" applyBorder="1" applyAlignment="1">
      <alignment horizontal="center"/>
    </xf>
    <xf numFmtId="0" fontId="17" fillId="0" borderId="32" xfId="10" applyFont="1" applyBorder="1" applyAlignment="1">
      <alignment horizontal="center"/>
    </xf>
    <xf numFmtId="0" fontId="17" fillId="0" borderId="16" xfId="10" applyFont="1" applyBorder="1" applyAlignment="1">
      <alignment horizontal="center"/>
    </xf>
    <xf numFmtId="179" fontId="17" fillId="0" borderId="16" xfId="10" applyNumberFormat="1" applyFont="1" applyBorder="1" applyAlignment="1">
      <alignment horizontal="center"/>
    </xf>
    <xf numFmtId="179" fontId="17" fillId="0" borderId="11" xfId="10" applyNumberFormat="1" applyFont="1" applyBorder="1" applyAlignment="1">
      <alignment horizontal="center"/>
    </xf>
    <xf numFmtId="2" fontId="17" fillId="0" borderId="32" xfId="10" applyNumberFormat="1" applyFont="1" applyBorder="1" applyAlignment="1">
      <alignment horizontal="center"/>
    </xf>
    <xf numFmtId="2" fontId="17" fillId="0" borderId="16" xfId="10" applyNumberFormat="1" applyFont="1" applyBorder="1" applyAlignment="1">
      <alignment horizontal="center"/>
    </xf>
    <xf numFmtId="2" fontId="17" fillId="0" borderId="33" xfId="10" applyNumberFormat="1" applyFont="1" applyBorder="1" applyAlignment="1">
      <alignment horizontal="center"/>
    </xf>
    <xf numFmtId="0" fontId="17" fillId="0" borderId="36" xfId="10" applyFont="1" applyBorder="1" applyAlignment="1">
      <alignment horizontal="center"/>
    </xf>
    <xf numFmtId="0" fontId="17" fillId="0" borderId="63" xfId="10" applyFont="1" applyBorder="1" applyAlignment="1">
      <alignment horizontal="center"/>
    </xf>
    <xf numFmtId="179" fontId="17" fillId="0" borderId="63" xfId="10" applyNumberFormat="1" applyFont="1" applyBorder="1" applyAlignment="1">
      <alignment horizontal="center"/>
    </xf>
    <xf numFmtId="179" fontId="17" fillId="0" borderId="76" xfId="10" applyNumberFormat="1" applyFont="1" applyBorder="1" applyAlignment="1">
      <alignment horizontal="center"/>
    </xf>
    <xf numFmtId="2" fontId="17" fillId="0" borderId="36" xfId="10" applyNumberFormat="1" applyFont="1" applyBorder="1" applyAlignment="1">
      <alignment horizontal="center"/>
    </xf>
    <xf numFmtId="2" fontId="17" fillId="0" borderId="63" xfId="10" applyNumberFormat="1" applyFont="1" applyBorder="1" applyAlignment="1">
      <alignment horizontal="center"/>
    </xf>
    <xf numFmtId="2" fontId="17" fillId="0" borderId="37" xfId="10" applyNumberFormat="1" applyFont="1" applyBorder="1" applyAlignment="1">
      <alignment horizontal="center"/>
    </xf>
    <xf numFmtId="0" fontId="17" fillId="0" borderId="0" xfId="10" applyFont="1" applyBorder="1" applyAlignment="1">
      <alignment horizontal="center"/>
    </xf>
    <xf numFmtId="0" fontId="17" fillId="0" borderId="0" xfId="10" applyFont="1" applyAlignment="1">
      <alignment horizontal="center"/>
    </xf>
    <xf numFmtId="9" fontId="17" fillId="0" borderId="67" xfId="10" applyNumberFormat="1" applyFont="1" applyBorder="1" applyAlignment="1">
      <alignment horizontal="center"/>
    </xf>
    <xf numFmtId="9" fontId="17" fillId="0" borderId="42" xfId="10" applyNumberFormat="1" applyFont="1" applyBorder="1" applyAlignment="1">
      <alignment horizontal="center"/>
    </xf>
    <xf numFmtId="173" fontId="17" fillId="0" borderId="0" xfId="10" applyNumberFormat="1" applyFont="1" applyBorder="1" applyAlignment="1">
      <alignment horizontal="center"/>
    </xf>
    <xf numFmtId="9" fontId="17" fillId="0" borderId="5" xfId="10" applyNumberFormat="1" applyFont="1" applyBorder="1" applyAlignment="1">
      <alignment horizontal="center"/>
    </xf>
    <xf numFmtId="9" fontId="17" fillId="0" borderId="35" xfId="10" applyNumberFormat="1" applyFont="1" applyBorder="1" applyAlignment="1">
      <alignment horizontal="center"/>
    </xf>
    <xf numFmtId="9" fontId="17" fillId="0" borderId="63" xfId="10" applyNumberFormat="1" applyFont="1" applyBorder="1" applyAlignment="1">
      <alignment horizontal="center"/>
    </xf>
    <xf numFmtId="9" fontId="17" fillId="0" borderId="37" xfId="10" applyNumberFormat="1" applyFont="1" applyBorder="1" applyAlignment="1">
      <alignment horizontal="center"/>
    </xf>
    <xf numFmtId="0" fontId="18" fillId="0" borderId="16" xfId="10" applyFont="1" applyBorder="1" applyAlignment="1">
      <alignment horizontal="center"/>
    </xf>
    <xf numFmtId="9" fontId="18" fillId="0" borderId="16" xfId="10" applyNumberFormat="1" applyFont="1" applyFill="1" applyBorder="1" applyAlignment="1">
      <alignment horizontal="center"/>
    </xf>
    <xf numFmtId="9" fontId="18" fillId="0" borderId="33" xfId="10" applyNumberFormat="1" applyFont="1" applyFill="1" applyBorder="1" applyAlignment="1">
      <alignment horizontal="center"/>
    </xf>
    <xf numFmtId="9" fontId="18" fillId="0" borderId="5" xfId="10" applyNumberFormat="1" applyFont="1" applyFill="1" applyBorder="1" applyAlignment="1">
      <alignment horizontal="center"/>
    </xf>
    <xf numFmtId="9" fontId="18" fillId="0" borderId="35" xfId="10" applyNumberFormat="1" applyFont="1" applyFill="1" applyBorder="1" applyAlignment="1">
      <alignment horizontal="center"/>
    </xf>
    <xf numFmtId="9" fontId="18" fillId="0" borderId="63" xfId="10" applyNumberFormat="1" applyFont="1" applyFill="1" applyBorder="1" applyAlignment="1">
      <alignment horizontal="center"/>
    </xf>
    <xf numFmtId="9" fontId="18" fillId="0" borderId="37" xfId="10" applyNumberFormat="1" applyFont="1" applyFill="1" applyBorder="1" applyAlignment="1">
      <alignment horizontal="center"/>
    </xf>
    <xf numFmtId="0" fontId="90" fillId="0" borderId="0" xfId="10" applyFont="1"/>
    <xf numFmtId="0" fontId="88" fillId="74" borderId="0" xfId="10" applyFont="1" applyFill="1" applyAlignment="1">
      <alignment horizontal="left"/>
    </xf>
    <xf numFmtId="0" fontId="91" fillId="66" borderId="5" xfId="10" applyFont="1" applyFill="1" applyBorder="1" applyAlignment="1">
      <alignment horizontal="center" vertical="center" wrapText="1" readingOrder="1"/>
    </xf>
    <xf numFmtId="180" fontId="92" fillId="0" borderId="5" xfId="10" applyNumberFormat="1" applyFont="1" applyBorder="1" applyAlignment="1">
      <alignment horizontal="center" vertical="center" wrapText="1" readingOrder="1"/>
    </xf>
    <xf numFmtId="0" fontId="92" fillId="0" borderId="5" xfId="10" applyFont="1" applyBorder="1" applyAlignment="1">
      <alignment horizontal="center" vertical="center" wrapText="1" readingOrder="1"/>
    </xf>
    <xf numFmtId="0" fontId="93" fillId="0" borderId="5" xfId="10" applyFont="1" applyBorder="1" applyAlignment="1">
      <alignment horizontal="center" vertical="center" wrapText="1" readingOrder="1"/>
    </xf>
    <xf numFmtId="0" fontId="92" fillId="0" borderId="5" xfId="10" applyFont="1" applyBorder="1" applyAlignment="1">
      <alignment horizontal="left" vertical="center" wrapText="1" readingOrder="1"/>
    </xf>
    <xf numFmtId="180" fontId="94" fillId="0" borderId="5" xfId="10" applyNumberFormat="1" applyFont="1" applyBorder="1" applyAlignment="1">
      <alignment horizontal="center" vertical="center" wrapText="1" readingOrder="1"/>
    </xf>
    <xf numFmtId="0" fontId="94" fillId="0" borderId="5" xfId="10" applyFont="1" applyBorder="1" applyAlignment="1">
      <alignment horizontal="center" vertical="center" wrapText="1" readingOrder="1"/>
    </xf>
    <xf numFmtId="0" fontId="94" fillId="0" borderId="5" xfId="10" applyFont="1" applyBorder="1" applyAlignment="1">
      <alignment horizontal="left" vertical="center" wrapText="1" readingOrder="1"/>
    </xf>
    <xf numFmtId="0" fontId="94" fillId="0" borderId="5" xfId="10" applyFont="1" applyBorder="1" applyAlignment="1">
      <alignment vertical="center" wrapText="1" readingOrder="1"/>
    </xf>
    <xf numFmtId="0" fontId="95" fillId="0" borderId="5" xfId="10" applyFont="1" applyBorder="1" applyAlignment="1">
      <alignment horizontal="center" vertical="center" wrapText="1" readingOrder="1"/>
    </xf>
    <xf numFmtId="180" fontId="96" fillId="0" borderId="5" xfId="10" applyNumberFormat="1" applyFont="1" applyBorder="1" applyAlignment="1">
      <alignment horizontal="center" vertical="center"/>
    </xf>
    <xf numFmtId="0" fontId="92" fillId="0" borderId="5" xfId="10" applyFont="1" applyFill="1" applyBorder="1" applyAlignment="1">
      <alignment horizontal="center" vertical="center" wrapText="1" readingOrder="1"/>
    </xf>
    <xf numFmtId="0" fontId="92" fillId="0" borderId="5" xfId="10" applyFont="1" applyFill="1" applyBorder="1" applyAlignment="1">
      <alignment horizontal="left" vertical="center" wrapText="1" readingOrder="1"/>
    </xf>
    <xf numFmtId="180" fontId="17" fillId="0" borderId="5" xfId="10" applyNumberFormat="1" applyBorder="1" applyAlignment="1">
      <alignment horizontal="center" vertical="center"/>
    </xf>
    <xf numFmtId="0" fontId="94" fillId="0" borderId="5" xfId="10" applyFont="1" applyFill="1" applyBorder="1" applyAlignment="1">
      <alignment horizontal="center" vertical="center" wrapText="1" readingOrder="1"/>
    </xf>
    <xf numFmtId="0" fontId="94" fillId="0" borderId="5" xfId="10" applyFont="1" applyFill="1" applyBorder="1" applyAlignment="1">
      <alignment horizontal="left" vertical="center" wrapText="1" readingOrder="1"/>
    </xf>
    <xf numFmtId="0" fontId="17" fillId="0" borderId="5" xfId="10" applyBorder="1" applyAlignment="1">
      <alignment horizontal="center" vertical="center" wrapText="1"/>
    </xf>
    <xf numFmtId="180" fontId="17" fillId="0" borderId="0" xfId="10" applyNumberFormat="1" applyAlignment="1">
      <alignment horizontal="center"/>
    </xf>
    <xf numFmtId="0" fontId="17" fillId="0" borderId="0" xfId="10" applyAlignment="1">
      <alignment horizontal="center"/>
    </xf>
    <xf numFmtId="181" fontId="16" fillId="13" borderId="77" xfId="146" applyNumberFormat="1" applyFont="1" applyFill="1" applyBorder="1"/>
    <xf numFmtId="0" fontId="98" fillId="0" borderId="0" xfId="370"/>
    <xf numFmtId="0" fontId="98" fillId="0" borderId="0" xfId="370" applyNumberFormat="1"/>
    <xf numFmtId="0" fontId="98" fillId="0" borderId="0" xfId="370" applyBorder="1"/>
    <xf numFmtId="0" fontId="16" fillId="0" borderId="0" xfId="10" applyFont="1" applyFill="1">
      <alignment readingOrder="1"/>
    </xf>
    <xf numFmtId="0" fontId="17" fillId="0" borderId="5" xfId="371" applyBorder="1"/>
    <xf numFmtId="0" fontId="17" fillId="0" borderId="5" xfId="371" applyFill="1" applyBorder="1" applyAlignment="1">
      <alignment horizontal="center" wrapText="1"/>
    </xf>
    <xf numFmtId="0" fontId="17" fillId="0" borderId="5" xfId="371" applyBorder="1" applyAlignment="1">
      <alignment horizontal="center" wrapText="1"/>
    </xf>
    <xf numFmtId="0" fontId="17" fillId="0" borderId="0" xfId="371"/>
    <xf numFmtId="0" fontId="17" fillId="0" borderId="12" xfId="371" applyBorder="1" applyAlignment="1">
      <alignment horizontal="center"/>
    </xf>
    <xf numFmtId="0" fontId="17" fillId="0" borderId="12" xfId="371" applyBorder="1" applyAlignment="1">
      <alignment horizontal="center" wrapText="1"/>
    </xf>
    <xf numFmtId="0" fontId="17" fillId="0" borderId="0" xfId="10">
      <alignment readingOrder="1"/>
    </xf>
    <xf numFmtId="0" fontId="99" fillId="0" borderId="12" xfId="371" applyFont="1" applyFill="1" applyBorder="1" applyAlignment="1">
      <alignment horizontal="center" wrapText="1"/>
    </xf>
    <xf numFmtId="0" fontId="99" fillId="0" borderId="12" xfId="371" applyFont="1" applyBorder="1" applyAlignment="1">
      <alignment horizontal="center" wrapText="1"/>
    </xf>
    <xf numFmtId="0" fontId="17" fillId="0" borderId="5" xfId="371" applyBorder="1" applyAlignment="1">
      <alignment horizontal="center"/>
    </xf>
    <xf numFmtId="2" fontId="17" fillId="0" borderId="5" xfId="371" applyNumberFormat="1" applyBorder="1" applyAlignment="1">
      <alignment horizontal="center"/>
    </xf>
    <xf numFmtId="9" fontId="17" fillId="0" borderId="5" xfId="372" applyFont="1" applyBorder="1" applyAlignment="1">
      <alignment horizontal="center"/>
    </xf>
    <xf numFmtId="0" fontId="17" fillId="0" borderId="0" xfId="371" applyAlignment="1">
      <alignment horizontal="center"/>
    </xf>
    <xf numFmtId="2" fontId="17" fillId="0" borderId="0" xfId="371" applyNumberFormat="1" applyAlignment="1">
      <alignment horizontal="center"/>
    </xf>
    <xf numFmtId="1" fontId="99" fillId="0" borderId="0" xfId="10" applyNumberFormat="1" applyFont="1">
      <alignment readingOrder="1"/>
    </xf>
    <xf numFmtId="0" fontId="99" fillId="0" borderId="0" xfId="10" applyFont="1">
      <alignment readingOrder="1"/>
    </xf>
    <xf numFmtId="0" fontId="16" fillId="0" borderId="0" xfId="371" applyFont="1"/>
    <xf numFmtId="2" fontId="16" fillId="0" borderId="0" xfId="371" applyNumberFormat="1" applyFont="1" applyAlignment="1">
      <alignment horizontal="center"/>
    </xf>
    <xf numFmtId="2" fontId="16" fillId="64" borderId="0" xfId="371" applyNumberFormat="1" applyFont="1" applyFill="1" applyAlignment="1">
      <alignment horizontal="center"/>
    </xf>
    <xf numFmtId="173" fontId="17" fillId="0" borderId="5" xfId="372" applyNumberFormat="1" applyFont="1" applyBorder="1" applyAlignment="1">
      <alignment horizontal="center"/>
    </xf>
    <xf numFmtId="2" fontId="17" fillId="0" borderId="12" xfId="371" applyNumberFormat="1" applyBorder="1" applyAlignment="1">
      <alignment horizontal="center"/>
    </xf>
    <xf numFmtId="1" fontId="99" fillId="0" borderId="12" xfId="10" applyNumberFormat="1" applyFont="1" applyBorder="1">
      <alignment readingOrder="1"/>
    </xf>
    <xf numFmtId="0" fontId="99" fillId="0" borderId="12" xfId="10" applyFont="1" applyBorder="1">
      <alignment readingOrder="1"/>
    </xf>
    <xf numFmtId="179" fontId="17" fillId="0" borderId="0" xfId="10" applyNumberFormat="1">
      <alignment readingOrder="1"/>
    </xf>
    <xf numFmtId="179" fontId="99" fillId="0" borderId="0" xfId="10" applyNumberFormat="1" applyFont="1">
      <alignment readingOrder="1"/>
    </xf>
    <xf numFmtId="0" fontId="17" fillId="66" borderId="5" xfId="10" applyFill="1" applyBorder="1" applyAlignment="1">
      <alignment horizontal="center" readingOrder="1"/>
    </xf>
    <xf numFmtId="0" fontId="17" fillId="0" borderId="5" xfId="10" applyBorder="1"/>
    <xf numFmtId="0" fontId="17" fillId="0" borderId="5" xfId="10" applyBorder="1" applyAlignment="1">
      <alignment horizontal="center" readingOrder="1"/>
    </xf>
    <xf numFmtId="0" fontId="17" fillId="0" borderId="0" xfId="10" applyProtection="1">
      <protection hidden="1"/>
    </xf>
    <xf numFmtId="0" fontId="17" fillId="0" borderId="0" xfId="10" applyFill="1" applyProtection="1">
      <protection hidden="1"/>
    </xf>
    <xf numFmtId="0" fontId="17" fillId="0" borderId="0" xfId="10" applyFill="1">
      <alignment readingOrder="1"/>
    </xf>
    <xf numFmtId="0" fontId="17" fillId="66" borderId="5" xfId="10" applyFill="1" applyBorder="1" applyProtection="1">
      <protection hidden="1"/>
    </xf>
    <xf numFmtId="0" fontId="17" fillId="66" borderId="5" xfId="10" applyFill="1" applyBorder="1" applyAlignment="1" applyProtection="1">
      <alignment horizontal="left"/>
      <protection hidden="1"/>
    </xf>
    <xf numFmtId="0" fontId="17" fillId="66" borderId="5" xfId="10" quotePrefix="1" applyFill="1" applyBorder="1" applyProtection="1">
      <protection hidden="1"/>
    </xf>
    <xf numFmtId="0" fontId="17" fillId="0" borderId="5" xfId="10" applyBorder="1" applyProtection="1">
      <protection hidden="1"/>
    </xf>
    <xf numFmtId="164" fontId="17" fillId="0" borderId="5" xfId="10" applyNumberFormat="1" applyBorder="1" applyProtection="1">
      <protection hidden="1"/>
    </xf>
    <xf numFmtId="1" fontId="17" fillId="0" borderId="5" xfId="10" applyNumberFormat="1" applyBorder="1" applyAlignment="1" applyProtection="1">
      <alignment horizontal="left"/>
      <protection hidden="1"/>
    </xf>
    <xf numFmtId="0" fontId="17" fillId="0" borderId="5" xfId="10" quotePrefix="1" applyBorder="1" applyProtection="1">
      <protection hidden="1"/>
    </xf>
    <xf numFmtId="1" fontId="17" fillId="0" borderId="0" xfId="10" applyNumberFormat="1"/>
    <xf numFmtId="0" fontId="89" fillId="0" borderId="0" xfId="10" applyFont="1" applyAlignment="1">
      <alignment horizontal="center"/>
    </xf>
    <xf numFmtId="0" fontId="89" fillId="0" borderId="0" xfId="10" applyFont="1" applyAlignment="1">
      <alignment horizontal="center" readingOrder="1"/>
    </xf>
    <xf numFmtId="0" fontId="17" fillId="0" borderId="0" xfId="10" applyAlignment="1">
      <alignment horizontal="center" readingOrder="1"/>
    </xf>
    <xf numFmtId="171" fontId="0" fillId="0" borderId="0" xfId="373" applyNumberFormat="1" applyFont="1" applyAlignment="1">
      <alignment horizontal="center" readingOrder="1"/>
    </xf>
    <xf numFmtId="0" fontId="100" fillId="0" borderId="48" xfId="10" applyFont="1" applyFill="1" applyBorder="1" applyAlignment="1">
      <alignment horizontal="centerContinuous"/>
    </xf>
    <xf numFmtId="0" fontId="17" fillId="0" borderId="0" xfId="10" applyFill="1" applyBorder="1" applyAlignment="1"/>
    <xf numFmtId="0" fontId="17" fillId="0" borderId="61" xfId="10" applyFill="1" applyBorder="1" applyAlignment="1"/>
    <xf numFmtId="0" fontId="100" fillId="0" borderId="48" xfId="10" applyFont="1" applyFill="1" applyBorder="1" applyAlignment="1">
      <alignment horizontal="center"/>
    </xf>
    <xf numFmtId="164" fontId="0" fillId="12" borderId="0" xfId="0" applyNumberFormat="1" applyFill="1">
      <alignment readingOrder="1"/>
    </xf>
    <xf numFmtId="0" fontId="0" fillId="11" borderId="0" xfId="0" applyFill="1" applyAlignment="1">
      <alignment horizontal="left" vertical="center" readingOrder="1"/>
    </xf>
    <xf numFmtId="0" fontId="9" fillId="3" borderId="1" xfId="2" applyFont="1" applyFill="1" applyBorder="1" applyAlignment="1">
      <alignment horizontal="center"/>
    </xf>
    <xf numFmtId="0" fontId="9" fillId="3" borderId="4" xfId="2" applyFont="1" applyFill="1" applyBorder="1" applyAlignment="1">
      <alignment horizontal="center"/>
    </xf>
    <xf numFmtId="0" fontId="9" fillId="3" borderId="3" xfId="2" applyFont="1" applyFill="1" applyBorder="1" applyAlignment="1">
      <alignment horizontal="center"/>
    </xf>
    <xf numFmtId="0" fontId="6" fillId="4" borderId="2" xfId="0" applyFont="1" applyFill="1" applyBorder="1" applyAlignment="1">
      <alignment horizontal="center"/>
    </xf>
    <xf numFmtId="0" fontId="10" fillId="0" borderId="2" xfId="0" applyFont="1" applyBorder="1" applyAlignment="1">
      <alignment horizontal="center"/>
    </xf>
    <xf numFmtId="0" fontId="10" fillId="60" borderId="5" xfId="2" applyFont="1" applyFill="1" applyBorder="1" applyAlignment="1">
      <alignment horizontal="center"/>
    </xf>
    <xf numFmtId="0" fontId="4" fillId="66" borderId="38" xfId="0" applyFont="1" applyFill="1" applyBorder="1" applyAlignment="1">
      <alignment horizontal="center" readingOrder="1"/>
    </xf>
    <xf numFmtId="0" fontId="4" fillId="66" borderId="42" xfId="0" applyFont="1" applyFill="1" applyBorder="1" applyAlignment="1">
      <alignment horizontal="center" readingOrder="1"/>
    </xf>
    <xf numFmtId="0" fontId="17" fillId="0" borderId="0" xfId="285" applyAlignment="1">
      <alignment horizontal="center" vertical="center" textRotation="90"/>
    </xf>
    <xf numFmtId="0" fontId="0" fillId="0" borderId="0" xfId="0"/>
    <xf numFmtId="0" fontId="0" fillId="0" borderId="61" xfId="0" applyBorder="1"/>
    <xf numFmtId="0" fontId="17" fillId="0" borderId="0" xfId="285" applyBorder="1" applyAlignment="1">
      <alignment horizontal="center" vertical="center" textRotation="90"/>
    </xf>
    <xf numFmtId="0" fontId="16" fillId="69" borderId="5" xfId="10" applyFont="1" applyFill="1" applyBorder="1" applyAlignment="1">
      <alignment horizontal="center" vertical="center" wrapText="1"/>
    </xf>
    <xf numFmtId="0" fontId="17" fillId="68" borderId="6" xfId="10" applyFont="1" applyFill="1" applyBorder="1" applyAlignment="1">
      <alignment horizontal="center" wrapText="1"/>
    </xf>
    <xf numFmtId="0" fontId="17" fillId="68" borderId="7" xfId="10" applyFont="1" applyFill="1" applyBorder="1" applyAlignment="1">
      <alignment horizontal="center" wrapText="1"/>
    </xf>
    <xf numFmtId="0" fontId="16" fillId="68" borderId="4" xfId="10" applyFont="1" applyFill="1" applyBorder="1" applyAlignment="1">
      <alignment horizontal="center" vertical="center" wrapText="1"/>
    </xf>
    <xf numFmtId="0" fontId="16" fillId="68" borderId="0" xfId="10" applyFont="1" applyFill="1" applyBorder="1" applyAlignment="1">
      <alignment horizontal="center" vertical="center" wrapText="1"/>
    </xf>
    <xf numFmtId="0" fontId="81" fillId="0" borderId="5" xfId="10" applyFont="1" applyBorder="1" applyAlignment="1">
      <alignment horizontal="center" wrapText="1"/>
    </xf>
    <xf numFmtId="0" fontId="17" fillId="68" borderId="1" xfId="10" applyFill="1" applyBorder="1" applyAlignment="1">
      <alignment horizontal="center" wrapText="1"/>
    </xf>
    <xf numFmtId="0" fontId="17" fillId="68" borderId="4" xfId="10" applyFill="1" applyBorder="1" applyAlignment="1">
      <alignment horizontal="center" wrapText="1"/>
    </xf>
    <xf numFmtId="0" fontId="17" fillId="68" borderId="3" xfId="10" applyFill="1" applyBorder="1" applyAlignment="1">
      <alignment horizontal="center" wrapText="1"/>
    </xf>
    <xf numFmtId="0" fontId="17" fillId="69" borderId="5" xfId="10" applyFill="1" applyBorder="1" applyAlignment="1">
      <alignment horizontal="center" wrapText="1"/>
    </xf>
    <xf numFmtId="0" fontId="17" fillId="66" borderId="4" xfId="10" applyFill="1" applyBorder="1" applyAlignment="1">
      <alignment horizontal="center" vertical="center" wrapText="1"/>
    </xf>
    <xf numFmtId="0" fontId="17" fillId="66" borderId="0" xfId="10" applyFill="1" applyBorder="1" applyAlignment="1">
      <alignment horizontal="center" vertical="center" wrapText="1"/>
    </xf>
    <xf numFmtId="0" fontId="81" fillId="0" borderId="4" xfId="10" applyFont="1" applyBorder="1" applyAlignment="1">
      <alignment horizontal="center" vertical="center" wrapText="1" readingOrder="1"/>
    </xf>
    <xf numFmtId="0" fontId="81" fillId="0" borderId="0" xfId="10" applyFont="1" applyBorder="1" applyAlignment="1">
      <alignment horizontal="center" vertical="center" wrapText="1" readingOrder="1"/>
    </xf>
    <xf numFmtId="0" fontId="17" fillId="68" borderId="47" xfId="10" applyFont="1" applyFill="1" applyBorder="1" applyAlignment="1">
      <alignment horizontal="center" wrapText="1"/>
    </xf>
    <xf numFmtId="0" fontId="17" fillId="68" borderId="48" xfId="10" applyFont="1" applyFill="1" applyBorder="1" applyAlignment="1">
      <alignment horizontal="center" wrapText="1"/>
    </xf>
    <xf numFmtId="0" fontId="17" fillId="68" borderId="49" xfId="10" applyFont="1" applyFill="1" applyBorder="1" applyAlignment="1">
      <alignment horizontal="center" wrapText="1"/>
    </xf>
    <xf numFmtId="0" fontId="17" fillId="68" borderId="50" xfId="10" applyFill="1" applyBorder="1" applyAlignment="1">
      <alignment horizontal="center" vertical="center" wrapText="1"/>
    </xf>
    <xf numFmtId="0" fontId="17" fillId="68" borderId="53" xfId="10" applyFill="1" applyBorder="1" applyAlignment="1">
      <alignment horizontal="center" vertical="center" wrapText="1"/>
    </xf>
    <xf numFmtId="0" fontId="17" fillId="69" borderId="5" xfId="10" applyFill="1" applyBorder="1" applyAlignment="1">
      <alignment horizontal="center" vertical="center" wrapText="1"/>
    </xf>
    <xf numFmtId="0" fontId="57" fillId="0" borderId="0" xfId="311" applyFont="1" applyAlignment="1">
      <alignment wrapText="1"/>
    </xf>
    <xf numFmtId="0" fontId="4" fillId="0" borderId="0" xfId="311" applyFont="1" applyAlignment="1">
      <alignment wrapText="1"/>
    </xf>
    <xf numFmtId="0" fontId="65" fillId="0" borderId="0" xfId="311" applyFont="1" applyAlignment="1">
      <alignment wrapText="1"/>
    </xf>
    <xf numFmtId="0" fontId="10" fillId="66" borderId="47" xfId="314" applyNumberFormat="1" applyFont="1" applyFill="1" applyBorder="1" applyAlignment="1">
      <alignment horizontal="center" vertical="center" wrapText="1" shrinkToFit="1"/>
    </xf>
    <xf numFmtId="0" fontId="10" fillId="66" borderId="48" xfId="314" applyNumberFormat="1" applyFont="1" applyFill="1" applyBorder="1" applyAlignment="1">
      <alignment horizontal="center" vertical="center" wrapText="1" shrinkToFit="1"/>
    </xf>
    <xf numFmtId="0" fontId="10" fillId="66" borderId="49" xfId="314" applyNumberFormat="1" applyFont="1" applyFill="1" applyBorder="1" applyAlignment="1">
      <alignment horizontal="center" vertical="center" wrapText="1" shrinkToFit="1"/>
    </xf>
    <xf numFmtId="0" fontId="17" fillId="66" borderId="38" xfId="10" applyFont="1" applyFill="1" applyBorder="1" applyAlignment="1">
      <alignment horizontal="center"/>
    </xf>
    <xf numFmtId="0" fontId="17" fillId="66" borderId="67" xfId="10" applyFont="1" applyFill="1" applyBorder="1" applyAlignment="1">
      <alignment horizontal="center"/>
    </xf>
    <xf numFmtId="0" fontId="17" fillId="66" borderId="42" xfId="10" applyFont="1" applyFill="1" applyBorder="1" applyAlignment="1">
      <alignment horizontal="center"/>
    </xf>
    <xf numFmtId="0" fontId="17" fillId="66" borderId="5" xfId="10" applyFont="1" applyFill="1" applyBorder="1" applyAlignment="1">
      <alignment horizontal="center"/>
    </xf>
    <xf numFmtId="0" fontId="17" fillId="66" borderId="45" xfId="10" applyFont="1" applyFill="1" applyBorder="1" applyAlignment="1">
      <alignment horizontal="center" vertical="center" wrapText="1"/>
    </xf>
    <xf numFmtId="0" fontId="17" fillId="66" borderId="72" xfId="10" applyFont="1" applyFill="1" applyBorder="1" applyAlignment="1">
      <alignment horizontal="center" vertical="center" wrapText="1"/>
    </xf>
    <xf numFmtId="0" fontId="17" fillId="66" borderId="70" xfId="10" applyFont="1" applyFill="1" applyBorder="1" applyAlignment="1">
      <alignment horizontal="center" vertical="center" wrapText="1"/>
    </xf>
    <xf numFmtId="0" fontId="17" fillId="66" borderId="40" xfId="10" applyFont="1" applyFill="1" applyBorder="1" applyAlignment="1">
      <alignment horizontal="center" vertical="center" wrapText="1"/>
    </xf>
    <xf numFmtId="0" fontId="17" fillId="66" borderId="31" xfId="10" applyFont="1" applyFill="1" applyBorder="1" applyAlignment="1">
      <alignment horizontal="center" vertical="center" wrapText="1"/>
    </xf>
    <xf numFmtId="0" fontId="17" fillId="66" borderId="51" xfId="10" applyFont="1" applyFill="1" applyBorder="1" applyAlignment="1">
      <alignment horizontal="center" vertical="center" wrapText="1"/>
    </xf>
    <xf numFmtId="0" fontId="17" fillId="0" borderId="38" xfId="10" applyFont="1" applyBorder="1" applyAlignment="1">
      <alignment horizontal="center" vertical="center" wrapText="1"/>
    </xf>
    <xf numFmtId="0" fontId="17" fillId="0" borderId="34" xfId="10" applyFont="1" applyBorder="1" applyAlignment="1">
      <alignment horizontal="center" vertical="center" wrapText="1"/>
    </xf>
    <xf numFmtId="0" fontId="17" fillId="0" borderId="36" xfId="10" applyFont="1" applyBorder="1" applyAlignment="1">
      <alignment horizontal="center" vertical="center" wrapText="1"/>
    </xf>
    <xf numFmtId="0" fontId="17" fillId="0" borderId="32" xfId="10" applyFont="1" applyBorder="1" applyAlignment="1">
      <alignment horizontal="center" vertical="center" wrapText="1"/>
    </xf>
    <xf numFmtId="0" fontId="18" fillId="0" borderId="5" xfId="10" applyFont="1" applyBorder="1" applyAlignment="1">
      <alignment horizontal="center" vertical="center"/>
    </xf>
    <xf numFmtId="0" fontId="17" fillId="66" borderId="71" xfId="10" applyFont="1" applyFill="1" applyBorder="1" applyAlignment="1">
      <alignment horizontal="center" vertical="center" wrapText="1"/>
    </xf>
    <xf numFmtId="0" fontId="17" fillId="66" borderId="54" xfId="10" applyFont="1" applyFill="1" applyBorder="1" applyAlignment="1">
      <alignment horizontal="center" vertical="center" wrapText="1"/>
    </xf>
    <xf numFmtId="0" fontId="17" fillId="66" borderId="5" xfId="10" applyFill="1" applyBorder="1" applyAlignment="1">
      <alignment horizontal="center"/>
    </xf>
  </cellXfs>
  <cellStyles count="374">
    <cellStyle name="20% - Accent1 2" xfId="16"/>
    <cellStyle name="20% - Accent1 2 2" xfId="17"/>
    <cellStyle name="20% - Accent1 3" xfId="18"/>
    <cellStyle name="20% - Accent2 2" xfId="19"/>
    <cellStyle name="20% - Accent2 3" xfId="20"/>
    <cellStyle name="20% - Accent3 2" xfId="21"/>
    <cellStyle name="20% - Accent3 2 2" xfId="22"/>
    <cellStyle name="20% - Accent3 3" xfId="23"/>
    <cellStyle name="20% - Accent4 2" xfId="24"/>
    <cellStyle name="20% - Accent4 2 2" xfId="25"/>
    <cellStyle name="20% - Accent4 3" xfId="26"/>
    <cellStyle name="20% - Accent5 2" xfId="27"/>
    <cellStyle name="20% - Accent5 3" xfId="28"/>
    <cellStyle name="20% - Accent6 2" xfId="29"/>
    <cellStyle name="20% - Accent6 3" xfId="30"/>
    <cellStyle name="40% - Accent1 2" xfId="31"/>
    <cellStyle name="40% - Accent1 2 2" xfId="32"/>
    <cellStyle name="40% - Accent1 3" xfId="33"/>
    <cellStyle name="40% - Accent2 2" xfId="34"/>
    <cellStyle name="40% - Accent2 2 2" xfId="35"/>
    <cellStyle name="40% - Accent2 3" xfId="36"/>
    <cellStyle name="40% - Accent3 2" xfId="37"/>
    <cellStyle name="40% - Accent3 2 2" xfId="38"/>
    <cellStyle name="40% - Accent3 3" xfId="39"/>
    <cellStyle name="40% - Accent4 2" xfId="40"/>
    <cellStyle name="40% - Accent4 2 2" xfId="41"/>
    <cellStyle name="40% - Accent4 3" xfId="42"/>
    <cellStyle name="40% - Accent5 2" xfId="43"/>
    <cellStyle name="40% - Accent5 3" xfId="44"/>
    <cellStyle name="40% - Accent6 2" xfId="45"/>
    <cellStyle name="40% - Accent6 2 2" xfId="46"/>
    <cellStyle name="40% - Accent6 3" xfId="47"/>
    <cellStyle name="60% - Accent1 2" xfId="48"/>
    <cellStyle name="60% - Accent1 2 2" xfId="49"/>
    <cellStyle name="60% - Accent1 3" xfId="50"/>
    <cellStyle name="60% - Accent2 2" xfId="51"/>
    <cellStyle name="60% - Accent2 2 2" xfId="52"/>
    <cellStyle name="60% - Accent2 3" xfId="53"/>
    <cellStyle name="60% - Accent3 2" xfId="54"/>
    <cellStyle name="60% - Accent3 2 2" xfId="55"/>
    <cellStyle name="60% - Accent3 3" xfId="56"/>
    <cellStyle name="60% - Accent4 2" xfId="57"/>
    <cellStyle name="60% - Accent4 2 2" xfId="58"/>
    <cellStyle name="60% - Accent4 3" xfId="59"/>
    <cellStyle name="60% - Accent5 2" xfId="60"/>
    <cellStyle name="60% - Accent5 3" xfId="61"/>
    <cellStyle name="60% - Accent6 2" xfId="62"/>
    <cellStyle name="60% - Accent6 2 2" xfId="63"/>
    <cellStyle name="60% - Accent6 3" xfId="64"/>
    <cellStyle name="Accent1 - 20%" xfId="65"/>
    <cellStyle name="Accent1 - 40%" xfId="66"/>
    <cellStyle name="Accent1 - 60%" xfId="67"/>
    <cellStyle name="Accent1 2" xfId="68"/>
    <cellStyle name="Accent1 2 2" xfId="69"/>
    <cellStyle name="Accent1 3" xfId="70"/>
    <cellStyle name="Accent2 - 20%" xfId="71"/>
    <cellStyle name="Accent2 - 40%" xfId="72"/>
    <cellStyle name="Accent2 - 60%" xfId="73"/>
    <cellStyle name="Accent2 2" xfId="74"/>
    <cellStyle name="Accent2 3" xfId="75"/>
    <cellStyle name="Accent3 - 20%" xfId="76"/>
    <cellStyle name="Accent3 - 40%" xfId="77"/>
    <cellStyle name="Accent3 - 60%" xfId="78"/>
    <cellStyle name="Accent3 2" xfId="79"/>
    <cellStyle name="Accent3 2 2" xfId="80"/>
    <cellStyle name="Accent3 3" xfId="81"/>
    <cellStyle name="Accent4 - 20%" xfId="82"/>
    <cellStyle name="Accent4 - 40%" xfId="83"/>
    <cellStyle name="Accent4 - 60%" xfId="84"/>
    <cellStyle name="Accent4 2" xfId="85"/>
    <cellStyle name="Accent4 2 2" xfId="86"/>
    <cellStyle name="Accent4 3" xfId="87"/>
    <cellStyle name="Accent5 - 20%" xfId="88"/>
    <cellStyle name="Accent5 - 40%" xfId="89"/>
    <cellStyle name="Accent5 - 60%" xfId="90"/>
    <cellStyle name="Accent5 2" xfId="91"/>
    <cellStyle name="Accent5 3" xfId="92"/>
    <cellStyle name="Accent6 - 20%" xfId="93"/>
    <cellStyle name="Accent6 - 40%" xfId="94"/>
    <cellStyle name="Accent6 - 60%" xfId="95"/>
    <cellStyle name="Accent6 2" xfId="96"/>
    <cellStyle name="Accent6 3" xfId="97"/>
    <cellStyle name="Bad 2" xfId="98"/>
    <cellStyle name="Bad 2 2" xfId="99"/>
    <cellStyle name="Bad 3" xfId="100"/>
    <cellStyle name="Calculation 2" xfId="101"/>
    <cellStyle name="Calculation 2 2" xfId="102"/>
    <cellStyle name="Calculation 3" xfId="103"/>
    <cellStyle name="Check Cell 2" xfId="104"/>
    <cellStyle name="Check Cell 3" xfId="105"/>
    <cellStyle name="Comma" xfId="365" builtinId="3"/>
    <cellStyle name="Comma [0] 2" xfId="106"/>
    <cellStyle name="Comma 2" xfId="107"/>
    <cellStyle name="Comma 2 2" xfId="108"/>
    <cellStyle name="Comma 2 2 2" xfId="109"/>
    <cellStyle name="Comma 2 2 3" xfId="110"/>
    <cellStyle name="Comma 2 3" xfId="111"/>
    <cellStyle name="Comma 2 4" xfId="112"/>
    <cellStyle name="Comma 2 5" xfId="113"/>
    <cellStyle name="Comma 2 6" xfId="373"/>
    <cellStyle name="Comma 3" xfId="12"/>
    <cellStyle name="Comma 3 2" xfId="114"/>
    <cellStyle name="Comma 3 2 2" xfId="115"/>
    <cellStyle name="Comma 3 2 3" xfId="116"/>
    <cellStyle name="Comma 3 3" xfId="117"/>
    <cellStyle name="Comma 3 3 2" xfId="118"/>
    <cellStyle name="Comma 3 3 3" xfId="119"/>
    <cellStyle name="Comma 3 3 4" xfId="120"/>
    <cellStyle name="Comma 3 4" xfId="121"/>
    <cellStyle name="Comma 4" xfId="122"/>
    <cellStyle name="Comma 4 2" xfId="123"/>
    <cellStyle name="Comma 4 2 2" xfId="124"/>
    <cellStyle name="Comma 4 3" xfId="125"/>
    <cellStyle name="Comma 5" xfId="126"/>
    <cellStyle name="Comma 5 2" xfId="127"/>
    <cellStyle name="Comma 5 3" xfId="128"/>
    <cellStyle name="Comma 6" xfId="129"/>
    <cellStyle name="Comma 7" xfId="130"/>
    <cellStyle name="Comma 8" xfId="131"/>
    <cellStyle name="Currency" xfId="1" builtinId="4"/>
    <cellStyle name="Currency 2" xfId="132"/>
    <cellStyle name="Currency 2 2" xfId="133"/>
    <cellStyle name="Currency 2 2 2" xfId="134"/>
    <cellStyle name="Currency 2 2 3" xfId="135"/>
    <cellStyle name="Currency 2 3" xfId="136"/>
    <cellStyle name="Currency 2 4" xfId="137"/>
    <cellStyle name="Currency 2 5" xfId="138"/>
    <cellStyle name="Currency 3" xfId="139"/>
    <cellStyle name="Currency 3 2" xfId="140"/>
    <cellStyle name="Currency 3 2 2" xfId="141"/>
    <cellStyle name="Currency 3 2 3" xfId="142"/>
    <cellStyle name="Currency 3 3" xfId="143"/>
    <cellStyle name="Currency 3 4" xfId="144"/>
    <cellStyle name="Currency 4" xfId="145"/>
    <cellStyle name="Currency 5" xfId="146"/>
    <cellStyle name="Currency 5 2" xfId="147"/>
    <cellStyle name="Currency 5 2 2" xfId="148"/>
    <cellStyle name="Currency 5 3" xfId="149"/>
    <cellStyle name="Currency 6" xfId="150"/>
    <cellStyle name="Currency 6 2" xfId="151"/>
    <cellStyle name="Currency 7" xfId="152"/>
    <cellStyle name="Currency 7 2" xfId="153"/>
    <cellStyle name="Currency 8" xfId="154"/>
    <cellStyle name="Data Field" xfId="5"/>
    <cellStyle name="Data Field 2" xfId="155"/>
    <cellStyle name="Data Field 2 2" xfId="156"/>
    <cellStyle name="Data Field 2 3" xfId="157"/>
    <cellStyle name="Data Field 3" xfId="158"/>
    <cellStyle name="Data Field 4" xfId="159"/>
    <cellStyle name="Data Name" xfId="6"/>
    <cellStyle name="Date/Time" xfId="7"/>
    <cellStyle name="Emphasis 1" xfId="160"/>
    <cellStyle name="Emphasis 2" xfId="161"/>
    <cellStyle name="Emphasis 3" xfId="162"/>
    <cellStyle name="Explanatory Text 2" xfId="163"/>
    <cellStyle name="Explanatory Text 3" xfId="164"/>
    <cellStyle name="Good 2" xfId="165"/>
    <cellStyle name="Good 3" xfId="166"/>
    <cellStyle name="Heading" xfId="8"/>
    <cellStyle name="Heading 1 2" xfId="167"/>
    <cellStyle name="Heading 1 2 2" xfId="168"/>
    <cellStyle name="Heading 1 3" xfId="169"/>
    <cellStyle name="Heading 2 2" xfId="170"/>
    <cellStyle name="Heading 2 3" xfId="171"/>
    <cellStyle name="Heading 3 2" xfId="172"/>
    <cellStyle name="Heading 3 2 2" xfId="173"/>
    <cellStyle name="Heading 3 3" xfId="174"/>
    <cellStyle name="Heading 4 2" xfId="175"/>
    <cellStyle name="Heading 4 2 2" xfId="176"/>
    <cellStyle name="Heading 4 3" xfId="177"/>
    <cellStyle name="Hyperlink 2" xfId="178"/>
    <cellStyle name="Hyperlink 2 2" xfId="179"/>
    <cellStyle name="Hyperlink 2 2 2" xfId="180"/>
    <cellStyle name="Hyperlink 2_ResWXMF_FY10v2_0" xfId="181"/>
    <cellStyle name="Hyperlink 3" xfId="182"/>
    <cellStyle name="Hyperlink 3 2" xfId="183"/>
    <cellStyle name="Hyperlink 3 2 2" xfId="184"/>
    <cellStyle name="Hyperlink 4" xfId="185"/>
    <cellStyle name="Hyperlink 5" xfId="186"/>
    <cellStyle name="Hyperlink 6" xfId="187"/>
    <cellStyle name="Hyperlink 7" xfId="188"/>
    <cellStyle name="Hyperlink 8" xfId="189"/>
    <cellStyle name="Input 2" xfId="190"/>
    <cellStyle name="Input 3" xfId="191"/>
    <cellStyle name="Linked Cell 2" xfId="192"/>
    <cellStyle name="Linked Cell 3" xfId="193"/>
    <cellStyle name="Neutral 2" xfId="194"/>
    <cellStyle name="Neutral 3" xfId="195"/>
    <cellStyle name="Normal" xfId="0" builtinId="0"/>
    <cellStyle name="Normal 10" xfId="196"/>
    <cellStyle name="Normal 10 2" xfId="197"/>
    <cellStyle name="Normal 11" xfId="198"/>
    <cellStyle name="Normal 12" xfId="199"/>
    <cellStyle name="Normal 13" xfId="14"/>
    <cellStyle name="Normal 13 2" xfId="200"/>
    <cellStyle name="Normal 13 3" xfId="201"/>
    <cellStyle name="Normal 14" xfId="202"/>
    <cellStyle name="Normal 14 2" xfId="203"/>
    <cellStyle name="Normal 14 2 2" xfId="204"/>
    <cellStyle name="Normal 14 3" xfId="205"/>
    <cellStyle name="Normal 14 3 2" xfId="206"/>
    <cellStyle name="Normal 14 4" xfId="207"/>
    <cellStyle name="Normal 15" xfId="208"/>
    <cellStyle name="Normal 15 2" xfId="209"/>
    <cellStyle name="Normal 15 2 2" xfId="210"/>
    <cellStyle name="Normal 15 3" xfId="211"/>
    <cellStyle name="Normal 15 4" xfId="212"/>
    <cellStyle name="Normal 16" xfId="213"/>
    <cellStyle name="Normal 16 2" xfId="214"/>
    <cellStyle name="Normal 16 3" xfId="215"/>
    <cellStyle name="Normal 17" xfId="216"/>
    <cellStyle name="Normal 17 2" xfId="217"/>
    <cellStyle name="Normal 18" xfId="218"/>
    <cellStyle name="Normal 19" xfId="219"/>
    <cellStyle name="Normal 2" xfId="10"/>
    <cellStyle name="Normal 2 2" xfId="13"/>
    <cellStyle name="Normal 2 2 2" xfId="220"/>
    <cellStyle name="Normal 2 2 2 2" xfId="221"/>
    <cellStyle name="Normal 2 2 2 3" xfId="222"/>
    <cellStyle name="Normal 2 2 3" xfId="223"/>
    <cellStyle name="Normal 2 2 3 2" xfId="224"/>
    <cellStyle name="Normal 2 2 3 3" xfId="225"/>
    <cellStyle name="Normal 2 2 4" xfId="226"/>
    <cellStyle name="Normal 2 2 5" xfId="369"/>
    <cellStyle name="Normal 2 2 6" xfId="371"/>
    <cellStyle name="Normal 2 3" xfId="227"/>
    <cellStyle name="Normal 2 3 2" xfId="228"/>
    <cellStyle name="Normal 2 3 2 2" xfId="229"/>
    <cellStyle name="Normal 2 3 2 2 2" xfId="230"/>
    <cellStyle name="Normal 2 3 3" xfId="231"/>
    <cellStyle name="Normal 2 3 3 2" xfId="232"/>
    <cellStyle name="Normal 2 4" xfId="233"/>
    <cellStyle name="Normal 2 4 2" xfId="234"/>
    <cellStyle name="Normal 2 4 2 2" xfId="235"/>
    <cellStyle name="Normal 2 4 2 3" xfId="236"/>
    <cellStyle name="Normal 2 4 2 4" xfId="237"/>
    <cellStyle name="Normal 2 4 3" xfId="238"/>
    <cellStyle name="Normal 2 5" xfId="239"/>
    <cellStyle name="Normal 2 6" xfId="240"/>
    <cellStyle name="Normal 2 6 2" xfId="241"/>
    <cellStyle name="Normal 2 6 2 2" xfId="242"/>
    <cellStyle name="Normal 2 6 2 3" xfId="243"/>
    <cellStyle name="Normal 2 6 3" xfId="244"/>
    <cellStyle name="Normal 2 6 3 2" xfId="245"/>
    <cellStyle name="Normal 2 6 4" xfId="246"/>
    <cellStyle name="Normal 2 6 4 2" xfId="247"/>
    <cellStyle name="Normal 2 6 5" xfId="248"/>
    <cellStyle name="Normal 2 6 6" xfId="249"/>
    <cellStyle name="Normal 2 7" xfId="250"/>
    <cellStyle name="Normal 2 7 2" xfId="251"/>
    <cellStyle name="Normal 2 7 2 2" xfId="252"/>
    <cellStyle name="Normal 2 7 3" xfId="253"/>
    <cellStyle name="Normal 2 8" xfId="254"/>
    <cellStyle name="Normal 2 9" xfId="255"/>
    <cellStyle name="Normal 20" xfId="256"/>
    <cellStyle name="Normal 21" xfId="257"/>
    <cellStyle name="Normal 22" xfId="258"/>
    <cellStyle name="Normal 23" xfId="259"/>
    <cellStyle name="Normal 24" xfId="260"/>
    <cellStyle name="Normal 25" xfId="261"/>
    <cellStyle name="Normal 26" xfId="262"/>
    <cellStyle name="Normal 27" xfId="263"/>
    <cellStyle name="Normal 28" xfId="264"/>
    <cellStyle name="Normal 29" xfId="265"/>
    <cellStyle name="Normal 3" xfId="266"/>
    <cellStyle name="Normal 3 2" xfId="267"/>
    <cellStyle name="Normal 3 2 2" xfId="268"/>
    <cellStyle name="Normal 3 2 3" xfId="269"/>
    <cellStyle name="Normal 3 3" xfId="270"/>
    <cellStyle name="Normal 3 3 2" xfId="271"/>
    <cellStyle name="Normal 3 3 2 2" xfId="272"/>
    <cellStyle name="Normal 3 4" xfId="273"/>
    <cellStyle name="Normal 3 66" xfId="274"/>
    <cellStyle name="Normal 30" xfId="275"/>
    <cellStyle name="Normal 31" xfId="276"/>
    <cellStyle name="Normal 32" xfId="277"/>
    <cellStyle name="Normal 33" xfId="278"/>
    <cellStyle name="Normal 34" xfId="279"/>
    <cellStyle name="Normal 35" xfId="280"/>
    <cellStyle name="Normal 36" xfId="281"/>
    <cellStyle name="Normal 37" xfId="282"/>
    <cellStyle name="Normal 38" xfId="283"/>
    <cellStyle name="Normal 39" xfId="284"/>
    <cellStyle name="Normal 4" xfId="285"/>
    <cellStyle name="Normal 4 2" xfId="286"/>
    <cellStyle name="Normal 4 3" xfId="287"/>
    <cellStyle name="Normal 4 3 2" xfId="288"/>
    <cellStyle name="Normal 4 3 2 2" xfId="289"/>
    <cellStyle name="Normal 4 3 2 3" xfId="290"/>
    <cellStyle name="Normal 4 3 3" xfId="291"/>
    <cellStyle name="Normal 4 4" xfId="292"/>
    <cellStyle name="Normal 4 4 2" xfId="293"/>
    <cellStyle name="Normal 4 4 3" xfId="294"/>
    <cellStyle name="Normal 4 5" xfId="295"/>
    <cellStyle name="Normal 4 5 2" xfId="296"/>
    <cellStyle name="Normal 4 5 3" xfId="297"/>
    <cellStyle name="Normal 4 6" xfId="298"/>
    <cellStyle name="Normal 4 7" xfId="299"/>
    <cellStyle name="Normal 40" xfId="300"/>
    <cellStyle name="Normal 41" xfId="301"/>
    <cellStyle name="Normal 42" xfId="302"/>
    <cellStyle name="Normal 43" xfId="303"/>
    <cellStyle name="Normal 44" xfId="304"/>
    <cellStyle name="Normal 45" xfId="305"/>
    <cellStyle name="Normal 46" xfId="306"/>
    <cellStyle name="Normal 47" xfId="307"/>
    <cellStyle name="Normal 48" xfId="308"/>
    <cellStyle name="Normal 48 2" xfId="309"/>
    <cellStyle name="Normal 49" xfId="310"/>
    <cellStyle name="Normal 5" xfId="311"/>
    <cellStyle name="Normal 5 2" xfId="312"/>
    <cellStyle name="Normal 50" xfId="313"/>
    <cellStyle name="Normal 51" xfId="370"/>
    <cellStyle name="Normal 6" xfId="314"/>
    <cellStyle name="Normal 7" xfId="315"/>
    <cellStyle name="Normal 7 2" xfId="316"/>
    <cellStyle name="Normal 8" xfId="317"/>
    <cellStyle name="Normal 8 2" xfId="318"/>
    <cellStyle name="Normal 9" xfId="319"/>
    <cellStyle name="Normal 9 2" xfId="320"/>
    <cellStyle name="Normal 9 3" xfId="321"/>
    <cellStyle name="Normal_EStarHPandACUpgradeSFPTCSCrawlFY07v1_0" xfId="368"/>
    <cellStyle name="Normal_EStarHPGeoUpgradeSFPTCSCrawlFY07v1_1 (2)" xfId="366"/>
    <cellStyle name="Normal_EStarHPGeoUpgradeSFPTCSCrawlFY08v1_0_EStarBase" xfId="367"/>
    <cellStyle name="Normal_EStarWASHERResTiersFY07v1_3_postJan07" xfId="4"/>
    <cellStyle name="Normal_MTDUCT" xfId="2"/>
    <cellStyle name="Normal_PC-LPDPackage-6P-D14" xfId="15"/>
    <cellStyle name="Normal_ProCostFinAssumptions_Sector" xfId="3"/>
    <cellStyle name="Note 2" xfId="322"/>
    <cellStyle name="Note 2 2" xfId="323"/>
    <cellStyle name="Note 3" xfId="324"/>
    <cellStyle name="Output 2" xfId="325"/>
    <cellStyle name="Output 2 2" xfId="326"/>
    <cellStyle name="Output 3" xfId="327"/>
    <cellStyle name="Percent" xfId="9" builtinId="5"/>
    <cellStyle name="Percent 2" xfId="328"/>
    <cellStyle name="Percent 2 2" xfId="329"/>
    <cellStyle name="Percent 2 2 2" xfId="330"/>
    <cellStyle name="Percent 2 2 2 2" xfId="331"/>
    <cellStyle name="Percent 2 2 2 3" xfId="332"/>
    <cellStyle name="Percent 2 2 2 4" xfId="372"/>
    <cellStyle name="Percent 2 2 3" xfId="333"/>
    <cellStyle name="Percent 2 2 4" xfId="334"/>
    <cellStyle name="Percent 2 3" xfId="335"/>
    <cellStyle name="Percent 2 3 2" xfId="336"/>
    <cellStyle name="Percent 2 3 3" xfId="337"/>
    <cellStyle name="Percent 3" xfId="11"/>
    <cellStyle name="Percent 3 2" xfId="338"/>
    <cellStyle name="Percent 3 2 2" xfId="339"/>
    <cellStyle name="Percent 3 2 3" xfId="340"/>
    <cellStyle name="Percent 3 3" xfId="341"/>
    <cellStyle name="Percent 3 4" xfId="342"/>
    <cellStyle name="Percent 4" xfId="343"/>
    <cellStyle name="Percent 4 2" xfId="344"/>
    <cellStyle name="Percent 5" xfId="345"/>
    <cellStyle name="Percent 6" xfId="346"/>
    <cellStyle name="Percent 6 2" xfId="347"/>
    <cellStyle name="Percent 7" xfId="348"/>
    <cellStyle name="Percent 8" xfId="349"/>
    <cellStyle name="Sheet Title" xfId="350"/>
    <cellStyle name="Style 1" xfId="351"/>
    <cellStyle name="Style 1 2" xfId="352"/>
    <cellStyle name="Style 28" xfId="353"/>
    <cellStyle name="Title 2" xfId="354"/>
    <cellStyle name="Title 2 2" xfId="355"/>
    <cellStyle name="Title 3" xfId="356"/>
    <cellStyle name="Total 2" xfId="357"/>
    <cellStyle name="Total 2 2" xfId="358"/>
    <cellStyle name="Total 3" xfId="359"/>
    <cellStyle name="Warning Text 2" xfId="360"/>
    <cellStyle name="Warning Text 3" xfId="361"/>
    <cellStyle name="표준 2_WP-1 보고자료 (2009.06.03)" xfId="362"/>
    <cellStyle name="표준_ENERGY CONSUMP" xfId="363"/>
    <cellStyle name="常规_海外市场服务网站资料操作BOM" xfId="364"/>
  </cellStyles>
  <dxfs count="2">
    <dxf>
      <font>
        <color rgb="FFFF0000"/>
      </font>
    </dxf>
    <dxf>
      <font>
        <color rgb="FFFF0000"/>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SEEM</a:t>
            </a:r>
            <a:r>
              <a:rPr lang="en-US" baseline="0"/>
              <a:t> Phase 1 Calibration Factors</a:t>
            </a:r>
            <a:endParaRPr lang="en-US"/>
          </a:p>
        </c:rich>
      </c:tx>
    </c:title>
    <c:plotArea>
      <c:layout/>
      <c:scatterChart>
        <c:scatterStyle val="lineMarker"/>
        <c:ser>
          <c:idx val="0"/>
          <c:order val="0"/>
          <c:tx>
            <c:strRef>
              <c:f>Calibration!$AC$5</c:f>
              <c:strCache>
                <c:ptCount val="1"/>
                <c:pt idx="0">
                  <c:v>eFAF or Zonal Heating Zone 1</c:v>
                </c:pt>
              </c:strCache>
            </c:strRef>
          </c:tx>
          <c:spPr>
            <a:ln>
              <a:solidFill>
                <a:srgbClr val="0070C0"/>
              </a:solidFill>
            </a:ln>
          </c:spPr>
          <c:marker>
            <c:symbol val="none"/>
          </c:marker>
          <c:xVal>
            <c:numRef>
              <c:f>Calibration!$AD$4:$AT$4</c:f>
              <c:numCache>
                <c:formatCode>General</c:formatCode>
                <c:ptCount val="17"/>
                <c:pt idx="0">
                  <c:v>2.5000000000000001E-2</c:v>
                </c:pt>
                <c:pt idx="1">
                  <c:v>0.05</c:v>
                </c:pt>
                <c:pt idx="2">
                  <c:v>7.5000000000000011E-2</c:v>
                </c:pt>
                <c:pt idx="3">
                  <c:v>0.1</c:v>
                </c:pt>
                <c:pt idx="4">
                  <c:v>0.125</c:v>
                </c:pt>
                <c:pt idx="5">
                  <c:v>0.15</c:v>
                </c:pt>
                <c:pt idx="6">
                  <c:v>0.17499999999999999</c:v>
                </c:pt>
                <c:pt idx="7">
                  <c:v>0.19999999999999998</c:v>
                </c:pt>
                <c:pt idx="8">
                  <c:v>0.22499999999999998</c:v>
                </c:pt>
                <c:pt idx="9">
                  <c:v>0.24999999999999997</c:v>
                </c:pt>
                <c:pt idx="10">
                  <c:v>0.27499999999999997</c:v>
                </c:pt>
                <c:pt idx="11">
                  <c:v>0.3</c:v>
                </c:pt>
                <c:pt idx="12">
                  <c:v>0.32500000000000001</c:v>
                </c:pt>
                <c:pt idx="13">
                  <c:v>0.35000000000000003</c:v>
                </c:pt>
                <c:pt idx="14">
                  <c:v>0.37500000000000006</c:v>
                </c:pt>
                <c:pt idx="15">
                  <c:v>0.40000000000000008</c:v>
                </c:pt>
                <c:pt idx="16">
                  <c:v>0.4250000000000001</c:v>
                </c:pt>
              </c:numCache>
            </c:numRef>
          </c:xVal>
          <c:yVal>
            <c:numRef>
              <c:f>Calibration!$AD$5:$AT$5</c:f>
              <c:numCache>
                <c:formatCode>General</c:formatCode>
                <c:ptCount val="17"/>
                <c:pt idx="0">
                  <c:v>1.0838942359298667</c:v>
                </c:pt>
                <c:pt idx="1">
                  <c:v>1.0838942359298667</c:v>
                </c:pt>
                <c:pt idx="2">
                  <c:v>1.0391646362451818</c:v>
                </c:pt>
                <c:pt idx="3">
                  <c:v>0.9497054368758121</c:v>
                </c:pt>
                <c:pt idx="4">
                  <c:v>0.86024623750644247</c:v>
                </c:pt>
                <c:pt idx="5">
                  <c:v>0.77078703813707283</c:v>
                </c:pt>
                <c:pt idx="6">
                  <c:v>0.6813278387677032</c:v>
                </c:pt>
                <c:pt idx="7">
                  <c:v>0.59186863939833356</c:v>
                </c:pt>
                <c:pt idx="8">
                  <c:v>0.59186863939833356</c:v>
                </c:pt>
                <c:pt idx="9">
                  <c:v>0.59186863939833356</c:v>
                </c:pt>
                <c:pt idx="10">
                  <c:v>0.59186863939833356</c:v>
                </c:pt>
                <c:pt idx="11">
                  <c:v>0.59186863939833356</c:v>
                </c:pt>
                <c:pt idx="12">
                  <c:v>0.59186863939833356</c:v>
                </c:pt>
                <c:pt idx="13">
                  <c:v>0.59186863939833356</c:v>
                </c:pt>
                <c:pt idx="14">
                  <c:v>0.59186863939833356</c:v>
                </c:pt>
                <c:pt idx="15">
                  <c:v>0.59186863939833356</c:v>
                </c:pt>
                <c:pt idx="16">
                  <c:v>0.59186863939833356</c:v>
                </c:pt>
              </c:numCache>
            </c:numRef>
          </c:yVal>
        </c:ser>
        <c:ser>
          <c:idx val="1"/>
          <c:order val="1"/>
          <c:tx>
            <c:strRef>
              <c:f>Calibration!$AC$6</c:f>
              <c:strCache>
                <c:ptCount val="1"/>
                <c:pt idx="0">
                  <c:v>eFAF or Zonal Heating Zone 2</c:v>
                </c:pt>
              </c:strCache>
            </c:strRef>
          </c:tx>
          <c:spPr>
            <a:ln>
              <a:solidFill>
                <a:srgbClr val="0070C0"/>
              </a:solidFill>
              <a:prstDash val="dash"/>
            </a:ln>
          </c:spPr>
          <c:marker>
            <c:symbol val="none"/>
          </c:marker>
          <c:xVal>
            <c:numRef>
              <c:f>Calibration!$AD$4:$AT$4</c:f>
              <c:numCache>
                <c:formatCode>General</c:formatCode>
                <c:ptCount val="17"/>
                <c:pt idx="0">
                  <c:v>2.5000000000000001E-2</c:v>
                </c:pt>
                <c:pt idx="1">
                  <c:v>0.05</c:v>
                </c:pt>
                <c:pt idx="2">
                  <c:v>7.5000000000000011E-2</c:v>
                </c:pt>
                <c:pt idx="3">
                  <c:v>0.1</c:v>
                </c:pt>
                <c:pt idx="4">
                  <c:v>0.125</c:v>
                </c:pt>
                <c:pt idx="5">
                  <c:v>0.15</c:v>
                </c:pt>
                <c:pt idx="6">
                  <c:v>0.17499999999999999</c:v>
                </c:pt>
                <c:pt idx="7">
                  <c:v>0.19999999999999998</c:v>
                </c:pt>
                <c:pt idx="8">
                  <c:v>0.22499999999999998</c:v>
                </c:pt>
                <c:pt idx="9">
                  <c:v>0.24999999999999997</c:v>
                </c:pt>
                <c:pt idx="10">
                  <c:v>0.27499999999999997</c:v>
                </c:pt>
                <c:pt idx="11">
                  <c:v>0.3</c:v>
                </c:pt>
                <c:pt idx="12">
                  <c:v>0.32500000000000001</c:v>
                </c:pt>
                <c:pt idx="13">
                  <c:v>0.35000000000000003</c:v>
                </c:pt>
                <c:pt idx="14">
                  <c:v>0.37500000000000006</c:v>
                </c:pt>
                <c:pt idx="15">
                  <c:v>0.40000000000000008</c:v>
                </c:pt>
                <c:pt idx="16">
                  <c:v>0.4250000000000001</c:v>
                </c:pt>
              </c:numCache>
            </c:numRef>
          </c:xVal>
          <c:yVal>
            <c:numRef>
              <c:f>Calibration!$AD$6:$AT$6</c:f>
              <c:numCache>
                <c:formatCode>General</c:formatCode>
                <c:ptCount val="17"/>
                <c:pt idx="0">
                  <c:v>0.93686113334762611</c:v>
                </c:pt>
                <c:pt idx="1">
                  <c:v>0.93686113334762611</c:v>
                </c:pt>
                <c:pt idx="2">
                  <c:v>0.89588946962265992</c:v>
                </c:pt>
                <c:pt idx="3">
                  <c:v>0.81394614217272743</c:v>
                </c:pt>
                <c:pt idx="4">
                  <c:v>0.73200281472279494</c:v>
                </c:pt>
                <c:pt idx="5">
                  <c:v>0.65005948727286245</c:v>
                </c:pt>
                <c:pt idx="6">
                  <c:v>0.56811615982292996</c:v>
                </c:pt>
                <c:pt idx="7">
                  <c:v>0.56811615982292996</c:v>
                </c:pt>
                <c:pt idx="8">
                  <c:v>0.56811615982292996</c:v>
                </c:pt>
                <c:pt idx="9">
                  <c:v>0.56811615982292996</c:v>
                </c:pt>
                <c:pt idx="10">
                  <c:v>0.56811615982292996</c:v>
                </c:pt>
                <c:pt idx="11">
                  <c:v>0.56811615982292996</c:v>
                </c:pt>
                <c:pt idx="12">
                  <c:v>0.56811615982292996</c:v>
                </c:pt>
                <c:pt idx="13">
                  <c:v>0.56811615982292996</c:v>
                </c:pt>
                <c:pt idx="14">
                  <c:v>0.56811615982292996</c:v>
                </c:pt>
                <c:pt idx="15">
                  <c:v>0.56811615982292996</c:v>
                </c:pt>
                <c:pt idx="16">
                  <c:v>0.56811615982292996</c:v>
                </c:pt>
              </c:numCache>
            </c:numRef>
          </c:yVal>
        </c:ser>
        <c:ser>
          <c:idx val="2"/>
          <c:order val="2"/>
          <c:tx>
            <c:strRef>
              <c:f>Calibration!$AC$7</c:f>
              <c:strCache>
                <c:ptCount val="1"/>
                <c:pt idx="0">
                  <c:v>eFAF or Zonal Heating Zone 3</c:v>
                </c:pt>
              </c:strCache>
            </c:strRef>
          </c:tx>
          <c:spPr>
            <a:ln>
              <a:solidFill>
                <a:srgbClr val="0070C0"/>
              </a:solidFill>
              <a:prstDash val="sysDot"/>
            </a:ln>
          </c:spPr>
          <c:marker>
            <c:symbol val="none"/>
          </c:marker>
          <c:xVal>
            <c:numRef>
              <c:f>Calibration!$AD$4:$AT$4</c:f>
              <c:numCache>
                <c:formatCode>General</c:formatCode>
                <c:ptCount val="17"/>
                <c:pt idx="0">
                  <c:v>2.5000000000000001E-2</c:v>
                </c:pt>
                <c:pt idx="1">
                  <c:v>0.05</c:v>
                </c:pt>
                <c:pt idx="2">
                  <c:v>7.5000000000000011E-2</c:v>
                </c:pt>
                <c:pt idx="3">
                  <c:v>0.1</c:v>
                </c:pt>
                <c:pt idx="4">
                  <c:v>0.125</c:v>
                </c:pt>
                <c:pt idx="5">
                  <c:v>0.15</c:v>
                </c:pt>
                <c:pt idx="6">
                  <c:v>0.17499999999999999</c:v>
                </c:pt>
                <c:pt idx="7">
                  <c:v>0.19999999999999998</c:v>
                </c:pt>
                <c:pt idx="8">
                  <c:v>0.22499999999999998</c:v>
                </c:pt>
                <c:pt idx="9">
                  <c:v>0.24999999999999997</c:v>
                </c:pt>
                <c:pt idx="10">
                  <c:v>0.27499999999999997</c:v>
                </c:pt>
                <c:pt idx="11">
                  <c:v>0.3</c:v>
                </c:pt>
                <c:pt idx="12">
                  <c:v>0.32500000000000001</c:v>
                </c:pt>
                <c:pt idx="13">
                  <c:v>0.35000000000000003</c:v>
                </c:pt>
                <c:pt idx="14">
                  <c:v>0.37500000000000006</c:v>
                </c:pt>
                <c:pt idx="15">
                  <c:v>0.40000000000000008</c:v>
                </c:pt>
                <c:pt idx="16">
                  <c:v>0.4250000000000001</c:v>
                </c:pt>
              </c:numCache>
            </c:numRef>
          </c:xVal>
          <c:yVal>
            <c:numRef>
              <c:f>Calibration!$AD$7:$AT$7</c:f>
              <c:numCache>
                <c:formatCode>General</c:formatCode>
                <c:ptCount val="17"/>
                <c:pt idx="0">
                  <c:v>0.80268820081276648</c:v>
                </c:pt>
                <c:pt idx="1">
                  <c:v>0.80268820081276648</c:v>
                </c:pt>
                <c:pt idx="2">
                  <c:v>0.76521048445460438</c:v>
                </c:pt>
                <c:pt idx="3">
                  <c:v>0.69025505173827995</c:v>
                </c:pt>
                <c:pt idx="4">
                  <c:v>0.61529961902195562</c:v>
                </c:pt>
                <c:pt idx="5">
                  <c:v>0.5403441863056313</c:v>
                </c:pt>
                <c:pt idx="6">
                  <c:v>0.5403441863056313</c:v>
                </c:pt>
                <c:pt idx="7">
                  <c:v>0.5403441863056313</c:v>
                </c:pt>
                <c:pt idx="8">
                  <c:v>0.5403441863056313</c:v>
                </c:pt>
                <c:pt idx="9">
                  <c:v>0.5403441863056313</c:v>
                </c:pt>
                <c:pt idx="10">
                  <c:v>0.5403441863056313</c:v>
                </c:pt>
                <c:pt idx="11">
                  <c:v>0.5403441863056313</c:v>
                </c:pt>
                <c:pt idx="12">
                  <c:v>0.5403441863056313</c:v>
                </c:pt>
                <c:pt idx="13">
                  <c:v>0.5403441863056313</c:v>
                </c:pt>
                <c:pt idx="14">
                  <c:v>0.5403441863056313</c:v>
                </c:pt>
                <c:pt idx="15">
                  <c:v>0.5403441863056313</c:v>
                </c:pt>
                <c:pt idx="16">
                  <c:v>0.5403441863056313</c:v>
                </c:pt>
              </c:numCache>
            </c:numRef>
          </c:yVal>
        </c:ser>
        <c:ser>
          <c:idx val="6"/>
          <c:order val="3"/>
          <c:tx>
            <c:strRef>
              <c:f>Calibration!$AC$11</c:f>
              <c:strCache>
                <c:ptCount val="1"/>
                <c:pt idx="0">
                  <c:v>HP or Gas FAF Heating Zone 1</c:v>
                </c:pt>
              </c:strCache>
            </c:strRef>
          </c:tx>
          <c:spPr>
            <a:ln>
              <a:solidFill>
                <a:srgbClr val="F33021"/>
              </a:solidFill>
            </a:ln>
          </c:spPr>
          <c:marker>
            <c:symbol val="none"/>
          </c:marker>
          <c:xVal>
            <c:numRef>
              <c:f>Calibration!$AD$4:$AT$4</c:f>
              <c:numCache>
                <c:formatCode>General</c:formatCode>
                <c:ptCount val="17"/>
                <c:pt idx="0">
                  <c:v>2.5000000000000001E-2</c:v>
                </c:pt>
                <c:pt idx="1">
                  <c:v>0.05</c:v>
                </c:pt>
                <c:pt idx="2">
                  <c:v>7.5000000000000011E-2</c:v>
                </c:pt>
                <c:pt idx="3">
                  <c:v>0.1</c:v>
                </c:pt>
                <c:pt idx="4">
                  <c:v>0.125</c:v>
                </c:pt>
                <c:pt idx="5">
                  <c:v>0.15</c:v>
                </c:pt>
                <c:pt idx="6">
                  <c:v>0.17499999999999999</c:v>
                </c:pt>
                <c:pt idx="7">
                  <c:v>0.19999999999999998</c:v>
                </c:pt>
                <c:pt idx="8">
                  <c:v>0.22499999999999998</c:v>
                </c:pt>
                <c:pt idx="9">
                  <c:v>0.24999999999999997</c:v>
                </c:pt>
                <c:pt idx="10">
                  <c:v>0.27499999999999997</c:v>
                </c:pt>
                <c:pt idx="11">
                  <c:v>0.3</c:v>
                </c:pt>
                <c:pt idx="12">
                  <c:v>0.32500000000000001</c:v>
                </c:pt>
                <c:pt idx="13">
                  <c:v>0.35000000000000003</c:v>
                </c:pt>
                <c:pt idx="14">
                  <c:v>0.37500000000000006</c:v>
                </c:pt>
                <c:pt idx="15">
                  <c:v>0.40000000000000008</c:v>
                </c:pt>
                <c:pt idx="16">
                  <c:v>0.4250000000000001</c:v>
                </c:pt>
              </c:numCache>
            </c:numRef>
          </c:xVal>
          <c:yVal>
            <c:numRef>
              <c:f>Calibration!$AD$11:$AT$11</c:f>
              <c:numCache>
                <c:formatCode>General</c:formatCode>
                <c:ptCount val="17"/>
                <c:pt idx="0">
                  <c:v>1.3869915874526988</c:v>
                </c:pt>
                <c:pt idx="1">
                  <c:v>1.3869915874526988</c:v>
                </c:pt>
                <c:pt idx="2">
                  <c:v>1.3303887258228897</c:v>
                </c:pt>
                <c:pt idx="3">
                  <c:v>1.2171830025632713</c:v>
                </c:pt>
                <c:pt idx="4">
                  <c:v>1.1039772793036529</c:v>
                </c:pt>
                <c:pt idx="5">
                  <c:v>0.99077155604403444</c:v>
                </c:pt>
                <c:pt idx="6">
                  <c:v>0.87756583278441602</c:v>
                </c:pt>
                <c:pt idx="7">
                  <c:v>0.7643601095247976</c:v>
                </c:pt>
                <c:pt idx="8">
                  <c:v>0.7643601095247976</c:v>
                </c:pt>
                <c:pt idx="9">
                  <c:v>0.7643601095247976</c:v>
                </c:pt>
                <c:pt idx="10">
                  <c:v>0.7643601095247976</c:v>
                </c:pt>
                <c:pt idx="11">
                  <c:v>0.7643601095247976</c:v>
                </c:pt>
                <c:pt idx="12">
                  <c:v>0.7643601095247976</c:v>
                </c:pt>
                <c:pt idx="13">
                  <c:v>0.7643601095247976</c:v>
                </c:pt>
                <c:pt idx="14">
                  <c:v>0.7643601095247976</c:v>
                </c:pt>
                <c:pt idx="15">
                  <c:v>0.7643601095247976</c:v>
                </c:pt>
                <c:pt idx="16">
                  <c:v>0.7643601095247976</c:v>
                </c:pt>
              </c:numCache>
            </c:numRef>
          </c:yVal>
        </c:ser>
        <c:ser>
          <c:idx val="7"/>
          <c:order val="4"/>
          <c:tx>
            <c:strRef>
              <c:f>Calibration!$AC$12</c:f>
              <c:strCache>
                <c:ptCount val="1"/>
                <c:pt idx="0">
                  <c:v>HP or Gas FAF Heating Zone 2</c:v>
                </c:pt>
              </c:strCache>
            </c:strRef>
          </c:tx>
          <c:spPr>
            <a:ln>
              <a:solidFill>
                <a:srgbClr val="F33021"/>
              </a:solidFill>
              <a:prstDash val="dash"/>
            </a:ln>
          </c:spPr>
          <c:marker>
            <c:symbol val="none"/>
          </c:marker>
          <c:xVal>
            <c:numRef>
              <c:f>Calibration!$AD$4:$AT$4</c:f>
              <c:numCache>
                <c:formatCode>General</c:formatCode>
                <c:ptCount val="17"/>
                <c:pt idx="0">
                  <c:v>2.5000000000000001E-2</c:v>
                </c:pt>
                <c:pt idx="1">
                  <c:v>0.05</c:v>
                </c:pt>
                <c:pt idx="2">
                  <c:v>7.5000000000000011E-2</c:v>
                </c:pt>
                <c:pt idx="3">
                  <c:v>0.1</c:v>
                </c:pt>
                <c:pt idx="4">
                  <c:v>0.125</c:v>
                </c:pt>
                <c:pt idx="5">
                  <c:v>0.15</c:v>
                </c:pt>
                <c:pt idx="6">
                  <c:v>0.17499999999999999</c:v>
                </c:pt>
                <c:pt idx="7">
                  <c:v>0.19999999999999998</c:v>
                </c:pt>
                <c:pt idx="8">
                  <c:v>0.22499999999999998</c:v>
                </c:pt>
                <c:pt idx="9">
                  <c:v>0.24999999999999997</c:v>
                </c:pt>
                <c:pt idx="10">
                  <c:v>0.27499999999999997</c:v>
                </c:pt>
                <c:pt idx="11">
                  <c:v>0.3</c:v>
                </c:pt>
                <c:pt idx="12">
                  <c:v>0.32500000000000001</c:v>
                </c:pt>
                <c:pt idx="13">
                  <c:v>0.35000000000000003</c:v>
                </c:pt>
                <c:pt idx="14">
                  <c:v>0.37500000000000006</c:v>
                </c:pt>
                <c:pt idx="15">
                  <c:v>0.40000000000000008</c:v>
                </c:pt>
                <c:pt idx="16">
                  <c:v>0.4250000000000001</c:v>
                </c:pt>
              </c:numCache>
            </c:numRef>
          </c:xVal>
          <c:yVal>
            <c:numRef>
              <c:f>Calibration!$AD$12:$AT$12</c:f>
              <c:numCache>
                <c:formatCode>General</c:formatCode>
                <c:ptCount val="17"/>
                <c:pt idx="0">
                  <c:v>1.1965160377936901</c:v>
                </c:pt>
                <c:pt idx="1">
                  <c:v>1.1965160377936901</c:v>
                </c:pt>
                <c:pt idx="2">
                  <c:v>1.1452618455374308</c:v>
                </c:pt>
                <c:pt idx="3">
                  <c:v>1.0427534610249123</c:v>
                </c:pt>
                <c:pt idx="4">
                  <c:v>0.94024507651239397</c:v>
                </c:pt>
                <c:pt idx="5">
                  <c:v>0.83773669199987555</c:v>
                </c:pt>
                <c:pt idx="6">
                  <c:v>0.73522830748735724</c:v>
                </c:pt>
                <c:pt idx="7">
                  <c:v>0.73522830748735724</c:v>
                </c:pt>
                <c:pt idx="8">
                  <c:v>0.73522830748735724</c:v>
                </c:pt>
                <c:pt idx="9">
                  <c:v>0.73522830748735724</c:v>
                </c:pt>
                <c:pt idx="10">
                  <c:v>0.73522830748735724</c:v>
                </c:pt>
                <c:pt idx="11">
                  <c:v>0.73522830748735724</c:v>
                </c:pt>
                <c:pt idx="12">
                  <c:v>0.73522830748735724</c:v>
                </c:pt>
                <c:pt idx="13">
                  <c:v>0.73522830748735724</c:v>
                </c:pt>
                <c:pt idx="14">
                  <c:v>0.73522830748735724</c:v>
                </c:pt>
                <c:pt idx="15">
                  <c:v>0.73522830748735724</c:v>
                </c:pt>
                <c:pt idx="16">
                  <c:v>0.73522830748735724</c:v>
                </c:pt>
              </c:numCache>
            </c:numRef>
          </c:yVal>
        </c:ser>
        <c:ser>
          <c:idx val="8"/>
          <c:order val="5"/>
          <c:tx>
            <c:strRef>
              <c:f>Calibration!$AC$13</c:f>
              <c:strCache>
                <c:ptCount val="1"/>
                <c:pt idx="0">
                  <c:v>HP or Gas FAF Heating Zone 3</c:v>
                </c:pt>
              </c:strCache>
            </c:strRef>
          </c:tx>
          <c:spPr>
            <a:ln>
              <a:solidFill>
                <a:srgbClr val="F33021"/>
              </a:solidFill>
              <a:prstDash val="sysDot"/>
            </a:ln>
          </c:spPr>
          <c:marker>
            <c:symbol val="none"/>
          </c:marker>
          <c:xVal>
            <c:numRef>
              <c:f>Calibration!$AD$4:$AT$4</c:f>
              <c:numCache>
                <c:formatCode>General</c:formatCode>
                <c:ptCount val="17"/>
                <c:pt idx="0">
                  <c:v>2.5000000000000001E-2</c:v>
                </c:pt>
                <c:pt idx="1">
                  <c:v>0.05</c:v>
                </c:pt>
                <c:pt idx="2">
                  <c:v>7.5000000000000011E-2</c:v>
                </c:pt>
                <c:pt idx="3">
                  <c:v>0.1</c:v>
                </c:pt>
                <c:pt idx="4">
                  <c:v>0.125</c:v>
                </c:pt>
                <c:pt idx="5">
                  <c:v>0.15</c:v>
                </c:pt>
                <c:pt idx="6">
                  <c:v>0.17499999999999999</c:v>
                </c:pt>
                <c:pt idx="7">
                  <c:v>0.19999999999999998</c:v>
                </c:pt>
                <c:pt idx="8">
                  <c:v>0.22499999999999998</c:v>
                </c:pt>
                <c:pt idx="9">
                  <c:v>0.24999999999999997</c:v>
                </c:pt>
                <c:pt idx="10">
                  <c:v>0.27499999999999997</c:v>
                </c:pt>
                <c:pt idx="11">
                  <c:v>0.3</c:v>
                </c:pt>
                <c:pt idx="12">
                  <c:v>0.32500000000000001</c:v>
                </c:pt>
                <c:pt idx="13">
                  <c:v>0.35000000000000003</c:v>
                </c:pt>
                <c:pt idx="14">
                  <c:v>0.37500000000000006</c:v>
                </c:pt>
                <c:pt idx="15">
                  <c:v>0.40000000000000008</c:v>
                </c:pt>
                <c:pt idx="16">
                  <c:v>0.4250000000000001</c:v>
                </c:pt>
              </c:numCache>
            </c:numRef>
          </c:xVal>
          <c:yVal>
            <c:numRef>
              <c:f>Calibration!$AD$13:$AT$13</c:f>
              <c:numCache>
                <c:formatCode>General</c:formatCode>
                <c:ptCount val="17"/>
                <c:pt idx="0">
                  <c:v>1.0259371368886356</c:v>
                </c:pt>
                <c:pt idx="1">
                  <c:v>1.0259371368886356</c:v>
                </c:pt>
                <c:pt idx="2">
                  <c:v>0.97955836662860263</c:v>
                </c:pt>
                <c:pt idx="3">
                  <c:v>0.88680082610853705</c:v>
                </c:pt>
                <c:pt idx="4">
                  <c:v>0.79404328558847148</c:v>
                </c:pt>
                <c:pt idx="5">
                  <c:v>0.7012857450684058</c:v>
                </c:pt>
                <c:pt idx="6">
                  <c:v>0.7012857450684058</c:v>
                </c:pt>
                <c:pt idx="7">
                  <c:v>0.7012857450684058</c:v>
                </c:pt>
                <c:pt idx="8">
                  <c:v>0.7012857450684058</c:v>
                </c:pt>
                <c:pt idx="9">
                  <c:v>0.7012857450684058</c:v>
                </c:pt>
                <c:pt idx="10">
                  <c:v>0.7012857450684058</c:v>
                </c:pt>
                <c:pt idx="11">
                  <c:v>0.7012857450684058</c:v>
                </c:pt>
                <c:pt idx="12">
                  <c:v>0.7012857450684058</c:v>
                </c:pt>
                <c:pt idx="13">
                  <c:v>0.7012857450684058</c:v>
                </c:pt>
                <c:pt idx="14">
                  <c:v>0.7012857450684058</c:v>
                </c:pt>
                <c:pt idx="15">
                  <c:v>0.7012857450684058</c:v>
                </c:pt>
                <c:pt idx="16">
                  <c:v>0.7012857450684058</c:v>
                </c:pt>
              </c:numCache>
            </c:numRef>
          </c:yVal>
        </c:ser>
        <c:ser>
          <c:idx val="3"/>
          <c:order val="6"/>
          <c:tx>
            <c:strRef>
              <c:f>Calibration!$AC$8</c:f>
              <c:strCache>
                <c:ptCount val="1"/>
                <c:pt idx="0">
                  <c:v>DHP Heating Zone 1</c:v>
                </c:pt>
              </c:strCache>
            </c:strRef>
          </c:tx>
          <c:spPr>
            <a:ln>
              <a:solidFill>
                <a:srgbClr val="00B050"/>
              </a:solidFill>
            </a:ln>
          </c:spPr>
          <c:marker>
            <c:symbol val="none"/>
          </c:marker>
          <c:xVal>
            <c:numRef>
              <c:f>Calibration!$AD$4:$AT$4</c:f>
              <c:numCache>
                <c:formatCode>General</c:formatCode>
                <c:ptCount val="17"/>
                <c:pt idx="0">
                  <c:v>2.5000000000000001E-2</c:v>
                </c:pt>
                <c:pt idx="1">
                  <c:v>0.05</c:v>
                </c:pt>
                <c:pt idx="2">
                  <c:v>7.5000000000000011E-2</c:v>
                </c:pt>
                <c:pt idx="3">
                  <c:v>0.1</c:v>
                </c:pt>
                <c:pt idx="4">
                  <c:v>0.125</c:v>
                </c:pt>
                <c:pt idx="5">
                  <c:v>0.15</c:v>
                </c:pt>
                <c:pt idx="6">
                  <c:v>0.17499999999999999</c:v>
                </c:pt>
                <c:pt idx="7">
                  <c:v>0.19999999999999998</c:v>
                </c:pt>
                <c:pt idx="8">
                  <c:v>0.22499999999999998</c:v>
                </c:pt>
                <c:pt idx="9">
                  <c:v>0.24999999999999997</c:v>
                </c:pt>
                <c:pt idx="10">
                  <c:v>0.27499999999999997</c:v>
                </c:pt>
                <c:pt idx="11">
                  <c:v>0.3</c:v>
                </c:pt>
                <c:pt idx="12">
                  <c:v>0.32500000000000001</c:v>
                </c:pt>
                <c:pt idx="13">
                  <c:v>0.35000000000000003</c:v>
                </c:pt>
                <c:pt idx="14">
                  <c:v>0.37500000000000006</c:v>
                </c:pt>
                <c:pt idx="15">
                  <c:v>0.40000000000000008</c:v>
                </c:pt>
                <c:pt idx="16">
                  <c:v>0.4250000000000001</c:v>
                </c:pt>
              </c:numCache>
            </c:numRef>
          </c:xVal>
          <c:yVal>
            <c:numRef>
              <c:f>Calibration!$AD$8:$AT$8</c:f>
              <c:numCache>
                <c:formatCode>General</c:formatCode>
                <c:ptCount val="17"/>
                <c:pt idx="0">
                  <c:v>1.2494484498244463</c:v>
                </c:pt>
                <c:pt idx="1">
                  <c:v>1.249448449824446</c:v>
                </c:pt>
                <c:pt idx="2">
                  <c:v>1.1982335788636731</c:v>
                </c:pt>
                <c:pt idx="3">
                  <c:v>1.0958038369421266</c:v>
                </c:pt>
                <c:pt idx="4">
                  <c:v>0.99337409502058005</c:v>
                </c:pt>
                <c:pt idx="5">
                  <c:v>0.89094435309903364</c:v>
                </c:pt>
                <c:pt idx="6">
                  <c:v>0.78851461117748711</c:v>
                </c:pt>
                <c:pt idx="7">
                  <c:v>0.6860848692559407</c:v>
                </c:pt>
                <c:pt idx="8">
                  <c:v>0.6860848692559407</c:v>
                </c:pt>
                <c:pt idx="9">
                  <c:v>0.6860848692559407</c:v>
                </c:pt>
                <c:pt idx="10">
                  <c:v>0.6860848692559407</c:v>
                </c:pt>
                <c:pt idx="11">
                  <c:v>0.6860848692559407</c:v>
                </c:pt>
                <c:pt idx="12">
                  <c:v>0.6860848692559407</c:v>
                </c:pt>
                <c:pt idx="13">
                  <c:v>0.6860848692559407</c:v>
                </c:pt>
                <c:pt idx="14">
                  <c:v>0.6860848692559407</c:v>
                </c:pt>
                <c:pt idx="15">
                  <c:v>0.6860848692559407</c:v>
                </c:pt>
                <c:pt idx="16">
                  <c:v>0.6860848692559407</c:v>
                </c:pt>
              </c:numCache>
            </c:numRef>
          </c:yVal>
        </c:ser>
        <c:ser>
          <c:idx val="4"/>
          <c:order val="7"/>
          <c:tx>
            <c:strRef>
              <c:f>Calibration!$AC$9</c:f>
              <c:strCache>
                <c:ptCount val="1"/>
                <c:pt idx="0">
                  <c:v>DHP Heating Zone 2</c:v>
                </c:pt>
              </c:strCache>
            </c:strRef>
          </c:tx>
          <c:spPr>
            <a:ln>
              <a:solidFill>
                <a:srgbClr val="00B050"/>
              </a:solidFill>
              <a:prstDash val="dash"/>
            </a:ln>
          </c:spPr>
          <c:marker>
            <c:symbol val="none"/>
          </c:marker>
          <c:xVal>
            <c:numRef>
              <c:f>Calibration!$AD$4:$AT$4</c:f>
              <c:numCache>
                <c:formatCode>General</c:formatCode>
                <c:ptCount val="17"/>
                <c:pt idx="0">
                  <c:v>2.5000000000000001E-2</c:v>
                </c:pt>
                <c:pt idx="1">
                  <c:v>0.05</c:v>
                </c:pt>
                <c:pt idx="2">
                  <c:v>7.5000000000000011E-2</c:v>
                </c:pt>
                <c:pt idx="3">
                  <c:v>0.1</c:v>
                </c:pt>
                <c:pt idx="4">
                  <c:v>0.125</c:v>
                </c:pt>
                <c:pt idx="5">
                  <c:v>0.15</c:v>
                </c:pt>
                <c:pt idx="6">
                  <c:v>0.17499999999999999</c:v>
                </c:pt>
                <c:pt idx="7">
                  <c:v>0.19999999999999998</c:v>
                </c:pt>
                <c:pt idx="8">
                  <c:v>0.22499999999999998</c:v>
                </c:pt>
                <c:pt idx="9">
                  <c:v>0.24999999999999997</c:v>
                </c:pt>
                <c:pt idx="10">
                  <c:v>0.27499999999999997</c:v>
                </c:pt>
                <c:pt idx="11">
                  <c:v>0.3</c:v>
                </c:pt>
                <c:pt idx="12">
                  <c:v>0.32500000000000001</c:v>
                </c:pt>
                <c:pt idx="13">
                  <c:v>0.35000000000000003</c:v>
                </c:pt>
                <c:pt idx="14">
                  <c:v>0.37500000000000006</c:v>
                </c:pt>
                <c:pt idx="15">
                  <c:v>0.40000000000000008</c:v>
                </c:pt>
                <c:pt idx="16">
                  <c:v>0.4250000000000001</c:v>
                </c:pt>
              </c:numCache>
            </c:numRef>
          </c:xVal>
          <c:yVal>
            <c:numRef>
              <c:f>Calibration!$AD$9:$AT$9</c:f>
              <c:numCache>
                <c:formatCode>General</c:formatCode>
                <c:ptCount val="17"/>
                <c:pt idx="0">
                  <c:v>1.0786867328570369</c:v>
                </c:pt>
                <c:pt idx="1">
                  <c:v>1.0786867328570369</c:v>
                </c:pt>
                <c:pt idx="2">
                  <c:v>1.0320986692549552</c:v>
                </c:pt>
                <c:pt idx="3">
                  <c:v>0.93892254205079217</c:v>
                </c:pt>
                <c:pt idx="4">
                  <c:v>0.84574641484662916</c:v>
                </c:pt>
                <c:pt idx="5">
                  <c:v>0.75257028764246625</c:v>
                </c:pt>
                <c:pt idx="6">
                  <c:v>0.65939416043830346</c:v>
                </c:pt>
                <c:pt idx="7">
                  <c:v>0.65939416043830346</c:v>
                </c:pt>
                <c:pt idx="8">
                  <c:v>0.65939416043830346</c:v>
                </c:pt>
                <c:pt idx="9">
                  <c:v>0.65939416043830346</c:v>
                </c:pt>
                <c:pt idx="10">
                  <c:v>0.65939416043830346</c:v>
                </c:pt>
                <c:pt idx="11">
                  <c:v>0.65939416043830346</c:v>
                </c:pt>
                <c:pt idx="12">
                  <c:v>0.65939416043830346</c:v>
                </c:pt>
                <c:pt idx="13">
                  <c:v>0.65939416043830346</c:v>
                </c:pt>
                <c:pt idx="14">
                  <c:v>0.65939416043830346</c:v>
                </c:pt>
                <c:pt idx="15">
                  <c:v>0.65939416043830346</c:v>
                </c:pt>
                <c:pt idx="16">
                  <c:v>0.65939416043830346</c:v>
                </c:pt>
              </c:numCache>
            </c:numRef>
          </c:yVal>
        </c:ser>
        <c:ser>
          <c:idx val="5"/>
          <c:order val="8"/>
          <c:tx>
            <c:strRef>
              <c:f>Calibration!$AC$10</c:f>
              <c:strCache>
                <c:ptCount val="1"/>
                <c:pt idx="0">
                  <c:v>DHP Heating Zone 3</c:v>
                </c:pt>
              </c:strCache>
            </c:strRef>
          </c:tx>
          <c:spPr>
            <a:ln>
              <a:solidFill>
                <a:srgbClr val="00B050"/>
              </a:solidFill>
              <a:prstDash val="sysDot"/>
            </a:ln>
          </c:spPr>
          <c:marker>
            <c:symbol val="none"/>
          </c:marker>
          <c:xVal>
            <c:numRef>
              <c:f>Calibration!$AD$4:$AT$4</c:f>
              <c:numCache>
                <c:formatCode>General</c:formatCode>
                <c:ptCount val="17"/>
                <c:pt idx="0">
                  <c:v>2.5000000000000001E-2</c:v>
                </c:pt>
                <c:pt idx="1">
                  <c:v>0.05</c:v>
                </c:pt>
                <c:pt idx="2">
                  <c:v>7.5000000000000011E-2</c:v>
                </c:pt>
                <c:pt idx="3">
                  <c:v>0.1</c:v>
                </c:pt>
                <c:pt idx="4">
                  <c:v>0.125</c:v>
                </c:pt>
                <c:pt idx="5">
                  <c:v>0.15</c:v>
                </c:pt>
                <c:pt idx="6">
                  <c:v>0.17499999999999999</c:v>
                </c:pt>
                <c:pt idx="7">
                  <c:v>0.19999999999999998</c:v>
                </c:pt>
                <c:pt idx="8">
                  <c:v>0.22499999999999998</c:v>
                </c:pt>
                <c:pt idx="9">
                  <c:v>0.24999999999999997</c:v>
                </c:pt>
                <c:pt idx="10">
                  <c:v>0.27499999999999997</c:v>
                </c:pt>
                <c:pt idx="11">
                  <c:v>0.3</c:v>
                </c:pt>
                <c:pt idx="12">
                  <c:v>0.32500000000000001</c:v>
                </c:pt>
                <c:pt idx="13">
                  <c:v>0.35000000000000003</c:v>
                </c:pt>
                <c:pt idx="14">
                  <c:v>0.37500000000000006</c:v>
                </c:pt>
                <c:pt idx="15">
                  <c:v>0.40000000000000008</c:v>
                </c:pt>
                <c:pt idx="16">
                  <c:v>0.4250000000000001</c:v>
                </c:pt>
              </c:numCache>
            </c:numRef>
          </c:xVal>
          <c:yVal>
            <c:numRef>
              <c:f>Calibration!$AD$10:$AT$10</c:f>
              <c:numCache>
                <c:formatCode>General</c:formatCode>
                <c:ptCount val="17"/>
                <c:pt idx="0">
                  <c:v>0.92462856726317277</c:v>
                </c:pt>
                <c:pt idx="1">
                  <c:v>0.92462856726317288</c:v>
                </c:pt>
                <c:pt idx="2">
                  <c:v>0.88228902359390504</c:v>
                </c:pt>
                <c:pt idx="3">
                  <c:v>0.79760993625536958</c:v>
                </c:pt>
                <c:pt idx="4">
                  <c:v>0.71293084891683411</c:v>
                </c:pt>
                <c:pt idx="5">
                  <c:v>0.62825176157829843</c:v>
                </c:pt>
                <c:pt idx="6">
                  <c:v>0.62825176157829843</c:v>
                </c:pt>
                <c:pt idx="7">
                  <c:v>0.62825176157829843</c:v>
                </c:pt>
                <c:pt idx="8">
                  <c:v>0.62825176157829843</c:v>
                </c:pt>
                <c:pt idx="9">
                  <c:v>0.62825176157829843</c:v>
                </c:pt>
                <c:pt idx="10">
                  <c:v>0.62825176157829843</c:v>
                </c:pt>
                <c:pt idx="11">
                  <c:v>0.62825176157829843</c:v>
                </c:pt>
                <c:pt idx="12">
                  <c:v>0.62825176157829843</c:v>
                </c:pt>
                <c:pt idx="13">
                  <c:v>0.62825176157829843</c:v>
                </c:pt>
                <c:pt idx="14">
                  <c:v>0.62825176157829843</c:v>
                </c:pt>
                <c:pt idx="15">
                  <c:v>0.62825176157829843</c:v>
                </c:pt>
                <c:pt idx="16">
                  <c:v>0.62825176157829843</c:v>
                </c:pt>
              </c:numCache>
            </c:numRef>
          </c:yVal>
        </c:ser>
        <c:axId val="112991232"/>
        <c:axId val="113005696"/>
      </c:scatterChart>
      <c:valAx>
        <c:axId val="112991232"/>
        <c:scaling>
          <c:orientation val="minMax"/>
          <c:max val="0.35000000000000031"/>
          <c:min val="0"/>
        </c:scaling>
        <c:axPos val="b"/>
        <c:title>
          <c:tx>
            <c:rich>
              <a:bodyPr/>
              <a:lstStyle/>
              <a:p>
                <a:pPr>
                  <a:defRPr/>
                </a:pPr>
                <a:r>
                  <a:rPr lang="en-US"/>
                  <a:t>Uo (both)</a:t>
                </a:r>
              </a:p>
            </c:rich>
          </c:tx>
        </c:title>
        <c:numFmt formatCode="General" sourceLinked="1"/>
        <c:tickLblPos val="nextTo"/>
        <c:crossAx val="113005696"/>
        <c:crosses val="autoZero"/>
        <c:crossBetween val="midCat"/>
      </c:valAx>
      <c:valAx>
        <c:axId val="113005696"/>
        <c:scaling>
          <c:orientation val="minMax"/>
        </c:scaling>
        <c:axPos val="l"/>
        <c:majorGridlines/>
        <c:title>
          <c:tx>
            <c:rich>
              <a:bodyPr rot="-5400000" vert="horz"/>
              <a:lstStyle/>
              <a:p>
                <a:pPr>
                  <a:defRPr/>
                </a:pPr>
                <a:r>
                  <a:rPr lang="en-US"/>
                  <a:t>Adjustment Factor</a:t>
                </a:r>
              </a:p>
            </c:rich>
          </c:tx>
        </c:title>
        <c:numFmt formatCode="General" sourceLinked="1"/>
        <c:tickLblPos val="nextTo"/>
        <c:crossAx val="112991232"/>
        <c:crosses val="autoZero"/>
        <c:crossBetween val="midCat"/>
      </c:valAx>
    </c:plotArea>
    <c:legend>
      <c:legendPos val="r"/>
    </c:legend>
    <c:plotVisOnly val="1"/>
    <c:dispBlanksAs val="gap"/>
  </c:chart>
  <c:printSettings>
    <c:headerFooter/>
    <c:pageMargins b="0.75000000000000189" l="0.70000000000000062" r="0.70000000000000062" t="0.75000000000000189"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14</xdr:col>
      <xdr:colOff>108854</xdr:colOff>
      <xdr:row>1</xdr:row>
      <xdr:rowOff>63954</xdr:rowOff>
    </xdr:from>
    <xdr:to>
      <xdr:col>27</xdr:col>
      <xdr:colOff>394607</xdr:colOff>
      <xdr:row>25</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eventhPlan/Conservation%20Analysis/Global%20EE%20Inputs/Units%20Forecasts/7P%20Forecasts%20D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es_Maste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General%20Refs/PctUrbanRural_State.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LOG"/>
      <sheetName val="Forecast Switchboard"/>
      <sheetName val="Lists&amp;Tables"/>
      <sheetName val="Res Forecast (Low)"/>
      <sheetName val="Res Forecast (Base Case)"/>
      <sheetName val="Res Forecast (High)"/>
      <sheetName val="Com Forecast (Low)"/>
      <sheetName val="Com Forecast (Base Case)"/>
      <sheetName val="Com Forecast (High)"/>
      <sheetName val="Ind Forecast (Base Case)"/>
      <sheetName val="Ag Forecast (Low)"/>
      <sheetName val="Ag Forecast (Base Case)"/>
      <sheetName val="Ag Forecast (High)"/>
      <sheetName val="Pop Forecast (High Case)"/>
      <sheetName val="Pop Forecast (Base Case)"/>
      <sheetName val="Pop Forecast (Low Case)"/>
      <sheetName val="DEI (Base Case)"/>
    </sheetNames>
    <definedNames>
      <definedName name="rng_ForecastColumnLookup" refersTo="='Forecast Switchboard'!$H$20:$AE$20"/>
      <definedName name="rng_ForecastRowLookup" refersTo="='Forecast Switchboard'!$G$21:$G$501"/>
      <definedName name="switch_ForecastScenario" refersTo="='Forecast Switchboard'!$H$3"/>
      <definedName name="switch_ForecastState" refersTo="='Forecast Switchboard'!$H$4"/>
      <definedName name="tbl_Forecast" refersTo="='Forecast Switchboard'!$H$21:$AE$501"/>
    </definedNames>
    <sheetDataSet>
      <sheetData sheetId="0"/>
      <sheetData sheetId="1">
        <row r="3">
          <cell r="H3" t="str">
            <v>Base</v>
          </cell>
        </row>
        <row r="4">
          <cell r="H4" t="str">
            <v>Region</v>
          </cell>
        </row>
        <row r="20">
          <cell r="H20" t="str">
            <v>Sector</v>
          </cell>
          <cell r="I20" t="str">
            <v>Building/Industry Type</v>
          </cell>
          <cell r="J20" t="str">
            <v>Vintage / Subcategory</v>
          </cell>
          <cell r="K20" t="str">
            <v>Forecast Units</v>
          </cell>
          <cell r="L20">
            <v>2016</v>
          </cell>
          <cell r="M20">
            <v>2017</v>
          </cell>
          <cell r="N20">
            <v>2018</v>
          </cell>
          <cell r="O20">
            <v>2019</v>
          </cell>
          <cell r="P20">
            <v>2020</v>
          </cell>
          <cell r="Q20">
            <v>2021</v>
          </cell>
          <cell r="R20">
            <v>2022</v>
          </cell>
          <cell r="S20">
            <v>2023</v>
          </cell>
          <cell r="T20">
            <v>2024</v>
          </cell>
          <cell r="U20">
            <v>2025</v>
          </cell>
          <cell r="V20">
            <v>2026</v>
          </cell>
          <cell r="W20">
            <v>2027</v>
          </cell>
          <cell r="X20">
            <v>2028</v>
          </cell>
          <cell r="Y20">
            <v>2029</v>
          </cell>
          <cell r="Z20">
            <v>2030</v>
          </cell>
          <cell r="AA20">
            <v>2031</v>
          </cell>
          <cell r="AB20">
            <v>2032</v>
          </cell>
          <cell r="AC20">
            <v>2033</v>
          </cell>
          <cell r="AD20">
            <v>2034</v>
          </cell>
          <cell r="AE20">
            <v>2035</v>
          </cell>
        </row>
        <row r="21">
          <cell r="G21" t="str">
            <v>RegionSingle FamilyNew</v>
          </cell>
          <cell r="H21" t="str">
            <v>Res</v>
          </cell>
          <cell r="I21" t="str">
            <v>Single Family</v>
          </cell>
          <cell r="J21" t="str">
            <v>New</v>
          </cell>
          <cell r="K21" t="str">
            <v>Buildings</v>
          </cell>
          <cell r="L21">
            <v>62685.758999999998</v>
          </cell>
          <cell r="M21">
            <v>59961.781000000003</v>
          </cell>
          <cell r="N21">
            <v>56834.012000000002</v>
          </cell>
          <cell r="O21">
            <v>54985.192999999999</v>
          </cell>
          <cell r="P21">
            <v>53507.474000000002</v>
          </cell>
          <cell r="Q21">
            <v>50982.05</v>
          </cell>
          <cell r="R21">
            <v>49561.669000000002</v>
          </cell>
          <cell r="S21">
            <v>49324.517999999996</v>
          </cell>
          <cell r="T21">
            <v>48815.77</v>
          </cell>
          <cell r="U21">
            <v>49683.252</v>
          </cell>
          <cell r="V21">
            <v>50030.137000000002</v>
          </cell>
          <cell r="W21">
            <v>49387.762999999999</v>
          </cell>
          <cell r="X21">
            <v>48079.345999999998</v>
          </cell>
          <cell r="Y21">
            <v>48129.050999999999</v>
          </cell>
          <cell r="Z21">
            <v>48690.569000000003</v>
          </cell>
          <cell r="AA21">
            <v>48482.864000000001</v>
          </cell>
          <cell r="AB21">
            <v>46879.000999999997</v>
          </cell>
          <cell r="AC21">
            <v>46798.777999999998</v>
          </cell>
          <cell r="AD21">
            <v>46917.627</v>
          </cell>
          <cell r="AE21">
            <v>47236.144999999997</v>
          </cell>
        </row>
        <row r="22">
          <cell r="G22" t="str">
            <v>RegionMultifamily - Low RiseNew</v>
          </cell>
          <cell r="H22" t="str">
            <v>Res</v>
          </cell>
          <cell r="I22" t="str">
            <v>Multifamily - Low Rise</v>
          </cell>
          <cell r="J22" t="str">
            <v>New</v>
          </cell>
          <cell r="K22" t="str">
            <v>Buildings</v>
          </cell>
          <cell r="L22">
            <v>23280.347100904564</v>
          </cell>
          <cell r="M22">
            <v>23017.418106038647</v>
          </cell>
          <cell r="N22">
            <v>22811.60852767331</v>
          </cell>
          <cell r="O22">
            <v>22085.916378202593</v>
          </cell>
          <cell r="P22">
            <v>20817.853908138593</v>
          </cell>
          <cell r="Q22">
            <v>20070.279329962508</v>
          </cell>
          <cell r="R22">
            <v>19887.831284331631</v>
          </cell>
          <cell r="S22">
            <v>20257.583209811291</v>
          </cell>
          <cell r="T22">
            <v>20750.368029493613</v>
          </cell>
          <cell r="U22">
            <v>21314.334279744231</v>
          </cell>
          <cell r="V22">
            <v>21403.286239774712</v>
          </cell>
          <cell r="W22">
            <v>21409.137516518917</v>
          </cell>
          <cell r="X22">
            <v>21443.358292282628</v>
          </cell>
          <cell r="Y22">
            <v>21209.865626522758</v>
          </cell>
          <cell r="Z22">
            <v>20954.17798283829</v>
          </cell>
          <cell r="AA22">
            <v>20525.44023202754</v>
          </cell>
          <cell r="AB22">
            <v>20175.505597554071</v>
          </cell>
          <cell r="AC22">
            <v>19919.723927484571</v>
          </cell>
          <cell r="AD22">
            <v>19536.194066416414</v>
          </cell>
          <cell r="AE22">
            <v>19462.287131015248</v>
          </cell>
        </row>
        <row r="23">
          <cell r="G23" t="str">
            <v>RegionMultifamily - High RiseNew</v>
          </cell>
          <cell r="H23" t="str">
            <v>Res</v>
          </cell>
          <cell r="I23" t="str">
            <v>Multifamily - High Rise</v>
          </cell>
          <cell r="J23" t="str">
            <v>New</v>
          </cell>
          <cell r="K23" t="str">
            <v>Buildings</v>
          </cell>
          <cell r="L23">
            <v>5226.2387411561367</v>
          </cell>
          <cell r="M23">
            <v>5239.95312759432</v>
          </cell>
          <cell r="N23">
            <v>5271.2612760989568</v>
          </cell>
          <cell r="O23">
            <v>4985.883552972361</v>
          </cell>
          <cell r="P23">
            <v>4608.5912035798974</v>
          </cell>
          <cell r="Q23">
            <v>4509.6375960361838</v>
          </cell>
          <cell r="R23">
            <v>4481.760351096189</v>
          </cell>
          <cell r="S23">
            <v>4621.8312800578688</v>
          </cell>
          <cell r="T23">
            <v>4700.9782942419988</v>
          </cell>
          <cell r="U23">
            <v>4828.2391631488581</v>
          </cell>
          <cell r="V23">
            <v>4790.0249139778334</v>
          </cell>
          <cell r="W23">
            <v>4782.0649962402858</v>
          </cell>
          <cell r="X23">
            <v>4748.3908346265653</v>
          </cell>
          <cell r="Y23">
            <v>4733.4823682495089</v>
          </cell>
          <cell r="Z23">
            <v>4698.697177079107</v>
          </cell>
          <cell r="AA23">
            <v>4599.2987885998937</v>
          </cell>
          <cell r="AB23">
            <v>4526.3104216428001</v>
          </cell>
          <cell r="AC23">
            <v>4422.0600452822764</v>
          </cell>
          <cell r="AD23">
            <v>4405.182362066379</v>
          </cell>
          <cell r="AE23">
            <v>4385.1136986120664</v>
          </cell>
        </row>
        <row r="24">
          <cell r="G24" t="str">
            <v>RegionManufacturedNew</v>
          </cell>
          <cell r="H24" t="str">
            <v>Res</v>
          </cell>
          <cell r="I24" t="str">
            <v>Manufactured</v>
          </cell>
          <cell r="J24" t="str">
            <v>New</v>
          </cell>
          <cell r="K24" t="str">
            <v>Buildings</v>
          </cell>
          <cell r="L24">
            <v>1869.5754050925925</v>
          </cell>
          <cell r="M24">
            <v>1881.796305941358</v>
          </cell>
          <cell r="N24">
            <v>1949.1340235982509</v>
          </cell>
          <cell r="O24">
            <v>2021.1963608646258</v>
          </cell>
          <cell r="P24">
            <v>1959.5061710087307</v>
          </cell>
          <cell r="Q24">
            <v>1928.5764356212967</v>
          </cell>
          <cell r="R24">
            <v>1934.9641170211423</v>
          </cell>
          <cell r="S24">
            <v>1945.862235675901</v>
          </cell>
          <cell r="T24">
            <v>1956.539890631658</v>
          </cell>
          <cell r="U24">
            <v>1957.7742018038925</v>
          </cell>
          <cell r="V24">
            <v>1947.2038419604366</v>
          </cell>
          <cell r="W24">
            <v>1945.153453785721</v>
          </cell>
          <cell r="X24">
            <v>1947.9162901464586</v>
          </cell>
          <cell r="Y24">
            <v>1950.0749856673444</v>
          </cell>
          <cell r="Z24">
            <v>1950.7771106659191</v>
          </cell>
          <cell r="AA24">
            <v>1949.8166473382953</v>
          </cell>
          <cell r="AB24">
            <v>1948.4903882606959</v>
          </cell>
          <cell r="AC24">
            <v>1948.7048126440727</v>
          </cell>
          <cell r="AD24">
            <v>1949.296705787131</v>
          </cell>
          <cell r="AE24">
            <v>1949.5267750605763</v>
          </cell>
        </row>
        <row r="25">
          <cell r="G25" t="str">
            <v>RegionSingle FamilyExisting</v>
          </cell>
          <cell r="H25" t="str">
            <v>Res</v>
          </cell>
          <cell r="I25" t="str">
            <v>Single Family</v>
          </cell>
          <cell r="J25" t="str">
            <v>Existing</v>
          </cell>
          <cell r="K25" t="str">
            <v>Buildings</v>
          </cell>
          <cell r="L25">
            <v>4203528.2719999999</v>
          </cell>
          <cell r="M25">
            <v>4193982.9785983553</v>
          </cell>
          <cell r="N25">
            <v>4184459.3604704877</v>
          </cell>
          <cell r="O25">
            <v>4174957.36839659</v>
          </cell>
          <cell r="P25">
            <v>4165476.9532686244</v>
          </cell>
          <cell r="Q25">
            <v>4156018.0660900641</v>
          </cell>
          <cell r="R25">
            <v>4146580.6579756448</v>
          </cell>
          <cell r="S25">
            <v>4137164.6801511091</v>
          </cell>
          <cell r="T25">
            <v>4127770.0839529554</v>
          </cell>
          <cell r="U25">
            <v>4118396.8208281873</v>
          </cell>
          <cell r="V25">
            <v>4109044.8423340586</v>
          </cell>
          <cell r="W25">
            <v>4099714.1001378288</v>
          </cell>
          <cell r="X25">
            <v>4090404.5460165106</v>
          </cell>
          <cell r="Y25">
            <v>4081116.1318566194</v>
          </cell>
          <cell r="Z25">
            <v>4071848.8096539262</v>
          </cell>
          <cell r="AA25">
            <v>4062602.5315132081</v>
          </cell>
          <cell r="AB25">
            <v>4053377.2496480034</v>
          </cell>
          <cell r="AC25">
            <v>4044172.9163803621</v>
          </cell>
          <cell r="AD25">
            <v>4034989.4841406001</v>
          </cell>
          <cell r="AE25">
            <v>4025826.9054670548</v>
          </cell>
        </row>
        <row r="26">
          <cell r="G26" t="str">
            <v>RegionMultifamily - Low RiseExisting</v>
          </cell>
          <cell r="H26" t="str">
            <v>Res</v>
          </cell>
          <cell r="I26" t="str">
            <v>Multifamily - Low Rise</v>
          </cell>
          <cell r="J26" t="str">
            <v>Existing</v>
          </cell>
          <cell r="K26" t="str">
            <v>Buildings</v>
          </cell>
          <cell r="L26">
            <v>926243.25609262148</v>
          </cell>
          <cell r="M26">
            <v>924139.92640956037</v>
          </cell>
          <cell r="N26">
            <v>922041.3730050053</v>
          </cell>
          <cell r="O26">
            <v>919947.58503289847</v>
          </cell>
          <cell r="P26">
            <v>917858.55167181045</v>
          </cell>
          <cell r="Q26">
            <v>915774.26212488639</v>
          </cell>
          <cell r="R26">
            <v>913694.70561978838</v>
          </cell>
          <cell r="S26">
            <v>911619.87140864041</v>
          </cell>
          <cell r="T26">
            <v>909549.74876797362</v>
          </cell>
          <cell r="U26">
            <v>907484.32699866977</v>
          </cell>
          <cell r="V26">
            <v>905423.59542590659</v>
          </cell>
          <cell r="W26">
            <v>903367.54339910217</v>
          </cell>
          <cell r="X26">
            <v>901316.16029185988</v>
          </cell>
          <cell r="Y26">
            <v>899269.43550191447</v>
          </cell>
          <cell r="Z26">
            <v>897227.35845107585</v>
          </cell>
          <cell r="AA26">
            <v>895189.9185851753</v>
          </cell>
          <cell r="AB26">
            <v>893157.10537401051</v>
          </cell>
          <cell r="AC26">
            <v>891128.90831129183</v>
          </cell>
          <cell r="AD26">
            <v>889105.31691458682</v>
          </cell>
          <cell r="AE26">
            <v>887086.32072526717</v>
          </cell>
        </row>
        <row r="27">
          <cell r="G27" t="str">
            <v>RegionMultifamily - High RiseExisting</v>
          </cell>
          <cell r="H27" t="str">
            <v>Res</v>
          </cell>
          <cell r="I27" t="str">
            <v>Multifamily - High Rise</v>
          </cell>
          <cell r="J27" t="str">
            <v>Existing</v>
          </cell>
          <cell r="K27" t="str">
            <v>Buildings</v>
          </cell>
          <cell r="L27">
            <v>211180.07985625503</v>
          </cell>
          <cell r="M27">
            <v>210700.52836963299</v>
          </cell>
          <cell r="N27">
            <v>210222.06585706791</v>
          </cell>
          <cell r="O27">
            <v>209744.68984569819</v>
          </cell>
          <cell r="P27">
            <v>209268.39786827751</v>
          </cell>
          <cell r="Q27">
            <v>208793.18746316229</v>
          </cell>
          <cell r="R27">
            <v>208319.05617429892</v>
          </cell>
          <cell r="S27">
            <v>207846.00155121088</v>
          </cell>
          <cell r="T27">
            <v>207374.0211489865</v>
          </cell>
          <cell r="U27">
            <v>206903.11252826577</v>
          </cell>
          <cell r="V27">
            <v>206433.27325522827</v>
          </cell>
          <cell r="W27">
            <v>205964.50090158021</v>
          </cell>
          <cell r="X27">
            <v>205496.79304454199</v>
          </cell>
          <cell r="Y27">
            <v>205030.14726683579</v>
          </cell>
          <cell r="Z27">
            <v>204564.56115667295</v>
          </cell>
          <cell r="AA27">
            <v>204100.03230774152</v>
          </cell>
          <cell r="AB27">
            <v>203636.55831919383</v>
          </cell>
          <cell r="AC27">
            <v>203174.13679563423</v>
          </cell>
          <cell r="AD27">
            <v>202712.76534710638</v>
          </cell>
          <cell r="AE27">
            <v>202252.44158908122</v>
          </cell>
        </row>
        <row r="28">
          <cell r="G28" t="str">
            <v>RegionManufacturedExisting</v>
          </cell>
          <cell r="H28" t="str">
            <v>Res</v>
          </cell>
          <cell r="I28" t="str">
            <v>Manufactured</v>
          </cell>
          <cell r="J28" t="str">
            <v>Existing</v>
          </cell>
          <cell r="K28" t="str">
            <v>Buildings</v>
          </cell>
          <cell r="L28">
            <v>572006.3278356482</v>
          </cell>
          <cell r="M28">
            <v>565893.30394507048</v>
          </cell>
          <cell r="N28">
            <v>559845.60985814757</v>
          </cell>
          <cell r="O28">
            <v>553862.54739615123</v>
          </cell>
          <cell r="P28">
            <v>547943.42584177968</v>
          </cell>
          <cell r="Q28">
            <v>542087.56185941794</v>
          </cell>
          <cell r="R28">
            <v>536294.27941624937</v>
          </cell>
          <cell r="S28">
            <v>530562.90970421082</v>
          </cell>
          <cell r="T28">
            <v>524892.79106278194</v>
          </cell>
          <cell r="U28">
            <v>519283.26890259917</v>
          </cell>
          <cell r="V28">
            <v>513733.69562988722</v>
          </cell>
          <cell r="W28">
            <v>508243.4305716962</v>
          </cell>
          <cell r="X28">
            <v>502811.8399019395</v>
          </cell>
          <cell r="Y28">
            <v>497438.2965682213</v>
          </cell>
          <cell r="Z28">
            <v>492122.18021944637</v>
          </cell>
          <cell r="AA28">
            <v>486862.87713420321</v>
          </cell>
          <cell r="AB28">
            <v>481659.78014991269</v>
          </cell>
          <cell r="AC28">
            <v>476512.28859273402</v>
          </cell>
          <cell r="AD28">
            <v>471419.80820821953</v>
          </cell>
          <cell r="AE28">
            <v>466381.75109271082</v>
          </cell>
        </row>
        <row r="29">
          <cell r="G29" t="str">
            <v>RegionLarge OffNew</v>
          </cell>
          <cell r="H29" t="str">
            <v>Com</v>
          </cell>
          <cell r="I29" t="str">
            <v>Large Off</v>
          </cell>
          <cell r="J29" t="str">
            <v>New</v>
          </cell>
          <cell r="K29" t="str">
            <v>Millions SqFt</v>
          </cell>
          <cell r="L29">
            <v>7.8066550111953834</v>
          </cell>
          <cell r="M29">
            <v>5.9496992573140863</v>
          </cell>
          <cell r="N29">
            <v>5.890903545908837</v>
          </cell>
          <cell r="O29">
            <v>6.8915688291332424</v>
          </cell>
          <cell r="P29">
            <v>6.6410191533148355</v>
          </cell>
          <cell r="Q29">
            <v>5.4382226791221893</v>
          </cell>
          <cell r="R29">
            <v>6.9236851515846078</v>
          </cell>
          <cell r="S29">
            <v>6.040566884985755</v>
          </cell>
          <cell r="T29">
            <v>5.8620040343764588</v>
          </cell>
          <cell r="U29">
            <v>6.6048352977963205</v>
          </cell>
          <cell r="V29">
            <v>6.6081856774849808</v>
          </cell>
          <cell r="W29">
            <v>7.2276230030590352</v>
          </cell>
          <cell r="X29">
            <v>7.9321378463678132</v>
          </cell>
          <cell r="Y29">
            <v>7.2590370336019197</v>
          </cell>
          <cell r="Z29">
            <v>7.9122271387396417</v>
          </cell>
          <cell r="AA29">
            <v>7.7623340380974311</v>
          </cell>
          <cell r="AB29">
            <v>7.6402299023279152</v>
          </cell>
          <cell r="AC29">
            <v>7.1724831299946894</v>
          </cell>
          <cell r="AD29">
            <v>7.0810470955732994</v>
          </cell>
          <cell r="AE29">
            <v>7.4281005850341701</v>
          </cell>
        </row>
        <row r="30">
          <cell r="G30" t="str">
            <v>RegionMedium OffNew</v>
          </cell>
          <cell r="H30" t="str">
            <v>Com</v>
          </cell>
          <cell r="I30" t="str">
            <v>Medium Off</v>
          </cell>
          <cell r="J30" t="str">
            <v>New</v>
          </cell>
          <cell r="K30" t="str">
            <v>Millions SqFt</v>
          </cell>
          <cell r="L30">
            <v>6.3306892326899415</v>
          </cell>
          <cell r="M30">
            <v>4.6245517962703104</v>
          </cell>
          <cell r="N30">
            <v>4.6954401235311058</v>
          </cell>
          <cell r="O30">
            <v>5.5561738496820645</v>
          </cell>
          <cell r="P30">
            <v>5.2903315868283292</v>
          </cell>
          <cell r="Q30">
            <v>4.0954748538564614</v>
          </cell>
          <cell r="R30">
            <v>5.6166455086822502</v>
          </cell>
          <cell r="S30">
            <v>4.8928421056079552</v>
          </cell>
          <cell r="T30">
            <v>4.6489885594062974</v>
          </cell>
          <cell r="U30">
            <v>5.3600762751998365</v>
          </cell>
          <cell r="V30">
            <v>5.3451061612370649</v>
          </cell>
          <cell r="W30">
            <v>5.7169042762389006</v>
          </cell>
          <cell r="X30">
            <v>6.1644080859749115</v>
          </cell>
          <cell r="Y30">
            <v>5.8003829082546376</v>
          </cell>
          <cell r="Z30">
            <v>6.4331999103991837</v>
          </cell>
          <cell r="AA30">
            <v>6.1077443299386847</v>
          </cell>
          <cell r="AB30">
            <v>6.3133258324543373</v>
          </cell>
          <cell r="AC30">
            <v>5.5403053352108875</v>
          </cell>
          <cell r="AD30">
            <v>5.5266028757425794</v>
          </cell>
          <cell r="AE30">
            <v>5.9833355534459063</v>
          </cell>
        </row>
        <row r="31">
          <cell r="G31" t="str">
            <v>RegionSmall OffNew</v>
          </cell>
          <cell r="H31" t="str">
            <v>Com</v>
          </cell>
          <cell r="I31" t="str">
            <v>Small Off</v>
          </cell>
          <cell r="J31" t="str">
            <v>New</v>
          </cell>
          <cell r="K31" t="str">
            <v>Millions SqFt</v>
          </cell>
          <cell r="L31">
            <v>1.6621196768024407</v>
          </cell>
          <cell r="M31">
            <v>1.2170657423442173</v>
          </cell>
          <cell r="N31">
            <v>1.2444333527444498</v>
          </cell>
          <cell r="O31">
            <v>1.4586094503549032</v>
          </cell>
          <cell r="P31">
            <v>1.4004070058555529</v>
          </cell>
          <cell r="Q31">
            <v>1.0787722980410579</v>
          </cell>
          <cell r="R31">
            <v>1.4747976167420549</v>
          </cell>
          <cell r="S31">
            <v>1.2896357804774434</v>
          </cell>
          <cell r="T31">
            <v>1.2239291307589197</v>
          </cell>
          <cell r="U31">
            <v>1.4012443744673324</v>
          </cell>
          <cell r="V31">
            <v>1.3991315932028052</v>
          </cell>
          <cell r="W31">
            <v>1.4996248899933684</v>
          </cell>
          <cell r="X31">
            <v>1.6197763904689295</v>
          </cell>
          <cell r="Y31">
            <v>1.5187400891362097</v>
          </cell>
          <cell r="Z31">
            <v>1.6890757136254622</v>
          </cell>
          <cell r="AA31">
            <v>1.5972356158259797</v>
          </cell>
          <cell r="AB31">
            <v>1.640465747141107</v>
          </cell>
          <cell r="AC31">
            <v>1.4565955217811706</v>
          </cell>
          <cell r="AD31">
            <v>1.4531741906643101</v>
          </cell>
          <cell r="AE31">
            <v>1.5648660344158036</v>
          </cell>
        </row>
        <row r="32">
          <cell r="G32" t="str">
            <v>RegionBig Box-RetailNew</v>
          </cell>
          <cell r="H32" t="str">
            <v>Com</v>
          </cell>
          <cell r="I32" t="str">
            <v>Big Box-Retail</v>
          </cell>
          <cell r="J32" t="str">
            <v>New</v>
          </cell>
          <cell r="K32" t="str">
            <v>Millions SqFt</v>
          </cell>
          <cell r="L32">
            <v>1.799418169017593</v>
          </cell>
          <cell r="M32">
            <v>1.485755176968429</v>
          </cell>
          <cell r="N32">
            <v>0.89794362681754358</v>
          </cell>
          <cell r="O32">
            <v>0.91201694404352718</v>
          </cell>
          <cell r="P32">
            <v>0.85125423267540556</v>
          </cell>
          <cell r="Q32">
            <v>0.73204497427617965</v>
          </cell>
          <cell r="R32">
            <v>0.73428349109996394</v>
          </cell>
          <cell r="S32">
            <v>0.71341173425108251</v>
          </cell>
          <cell r="T32">
            <v>0.89455902577447755</v>
          </cell>
          <cell r="U32">
            <v>1.032083805968905</v>
          </cell>
          <cell r="V32">
            <v>1.0963398187475875</v>
          </cell>
          <cell r="W32">
            <v>1.617287860192538</v>
          </cell>
          <cell r="X32">
            <v>1.8239074921539626</v>
          </cell>
          <cell r="Y32">
            <v>1.6267354909009817</v>
          </cell>
          <cell r="Z32">
            <v>1.5970323938843554</v>
          </cell>
          <cell r="AA32">
            <v>1.5393396581386409</v>
          </cell>
          <cell r="AB32">
            <v>1.2960530677092543</v>
          </cell>
          <cell r="AC32">
            <v>1.3176455108269955</v>
          </cell>
          <cell r="AD32">
            <v>1.2469979474733393</v>
          </cell>
          <cell r="AE32">
            <v>1.3540449607593745</v>
          </cell>
        </row>
        <row r="33">
          <cell r="G33" t="str">
            <v>RegionSmall Box-RetailNew</v>
          </cell>
          <cell r="H33" t="str">
            <v>Com</v>
          </cell>
          <cell r="I33" t="str">
            <v>Small Box-Retail</v>
          </cell>
          <cell r="J33" t="str">
            <v>New</v>
          </cell>
          <cell r="K33" t="str">
            <v>Millions SqFt</v>
          </cell>
          <cell r="L33">
            <v>0.71960427219664069</v>
          </cell>
          <cell r="M33">
            <v>0.59647847099566831</v>
          </cell>
          <cell r="N33">
            <v>0.36611838042447359</v>
          </cell>
          <cell r="O33">
            <v>0.3731768350638246</v>
          </cell>
          <cell r="P33">
            <v>0.34504559304633386</v>
          </cell>
          <cell r="Q33">
            <v>0.2928623587115301</v>
          </cell>
          <cell r="R33">
            <v>0.29376294298921468</v>
          </cell>
          <cell r="S33">
            <v>0.28416308329236456</v>
          </cell>
          <cell r="T33">
            <v>0.36455471421578001</v>
          </cell>
          <cell r="U33">
            <v>0.42646627810709853</v>
          </cell>
          <cell r="V33">
            <v>0.44956380488737768</v>
          </cell>
          <cell r="W33">
            <v>0.65213839834683018</v>
          </cell>
          <cell r="X33">
            <v>0.73353807331773047</v>
          </cell>
          <cell r="Y33">
            <v>0.65560780242911365</v>
          </cell>
          <cell r="Z33">
            <v>0.64604928436358278</v>
          </cell>
          <cell r="AA33">
            <v>0.62178261445398098</v>
          </cell>
          <cell r="AB33">
            <v>0.52554853465709617</v>
          </cell>
          <cell r="AC33">
            <v>0.53266253778165396</v>
          </cell>
          <cell r="AD33">
            <v>0.50454130308386236</v>
          </cell>
          <cell r="AE33">
            <v>0.54553111610891503</v>
          </cell>
        </row>
        <row r="34">
          <cell r="G34" t="str">
            <v>RegionHigh End-RetailNew</v>
          </cell>
          <cell r="H34" t="str">
            <v>Com</v>
          </cell>
          <cell r="I34" t="str">
            <v>High End-Retail</v>
          </cell>
          <cell r="J34" t="str">
            <v>New</v>
          </cell>
          <cell r="K34" t="str">
            <v>Millions SqFt</v>
          </cell>
          <cell r="L34">
            <v>2.7275899469990224</v>
          </cell>
          <cell r="M34">
            <v>2.2451802625726844</v>
          </cell>
          <cell r="N34">
            <v>1.3846551620328988</v>
          </cell>
          <cell r="O34">
            <v>1.414332931216091</v>
          </cell>
          <cell r="P34">
            <v>1.3048976182463843</v>
          </cell>
          <cell r="Q34">
            <v>1.1035456427042536</v>
          </cell>
          <cell r="R34">
            <v>1.0932193385059683</v>
          </cell>
          <cell r="S34">
            <v>1.0602010304011045</v>
          </cell>
          <cell r="T34">
            <v>1.3687417218066935</v>
          </cell>
          <cell r="U34">
            <v>1.6102119957699914</v>
          </cell>
          <cell r="V34">
            <v>1.7014476793012303</v>
          </cell>
          <cell r="W34">
            <v>2.4475448442766612</v>
          </cell>
          <cell r="X34">
            <v>2.7642584104961641</v>
          </cell>
          <cell r="Y34">
            <v>2.4645092385842489</v>
          </cell>
          <cell r="Z34">
            <v>2.435211674558635</v>
          </cell>
          <cell r="AA34">
            <v>2.3436666024455817</v>
          </cell>
          <cell r="AB34">
            <v>1.9970991421399598</v>
          </cell>
          <cell r="AC34">
            <v>2.0220850932468024</v>
          </cell>
          <cell r="AD34">
            <v>1.9074632582746243</v>
          </cell>
          <cell r="AE34">
            <v>2.0633846520749657</v>
          </cell>
        </row>
        <row r="35">
          <cell r="G35" t="str">
            <v>RegionAnchor-RetailNew</v>
          </cell>
          <cell r="H35" t="str">
            <v>Com</v>
          </cell>
          <cell r="I35" t="str">
            <v>Anchor-Retail</v>
          </cell>
          <cell r="J35" t="str">
            <v>New</v>
          </cell>
          <cell r="K35" t="str">
            <v>Millions SqFt</v>
          </cell>
          <cell r="L35">
            <v>0.86249938561661099</v>
          </cell>
          <cell r="M35">
            <v>0.71243811393533818</v>
          </cell>
          <cell r="N35">
            <v>0.43988135050703958</v>
          </cell>
          <cell r="O35">
            <v>0.44879648252082133</v>
          </cell>
          <cell r="P35">
            <v>0.41374173801952452</v>
          </cell>
          <cell r="Q35">
            <v>0.34301620014224921</v>
          </cell>
          <cell r="R35">
            <v>0.33946657261656726</v>
          </cell>
          <cell r="S35">
            <v>0.32965754978673117</v>
          </cell>
          <cell r="T35">
            <v>0.43689232903555525</v>
          </cell>
          <cell r="U35">
            <v>0.51886957722704219</v>
          </cell>
          <cell r="V35">
            <v>0.54817313334918127</v>
          </cell>
          <cell r="W35">
            <v>0.77969532117377649</v>
          </cell>
          <cell r="X35">
            <v>0.87858644381951334</v>
          </cell>
          <cell r="Y35">
            <v>0.78420074698109388</v>
          </cell>
          <cell r="Z35">
            <v>0.77728841592354081</v>
          </cell>
          <cell r="AA35">
            <v>0.74886674252534069</v>
          </cell>
          <cell r="AB35">
            <v>0.63964179951326661</v>
          </cell>
          <cell r="AC35">
            <v>0.64714740319049269</v>
          </cell>
          <cell r="AD35">
            <v>0.61166389038687663</v>
          </cell>
          <cell r="AE35">
            <v>0.66242443593788758</v>
          </cell>
        </row>
        <row r="36">
          <cell r="G36" t="str">
            <v>RegionK-12New</v>
          </cell>
          <cell r="H36" t="str">
            <v>Com</v>
          </cell>
          <cell r="I36" t="str">
            <v>K-12</v>
          </cell>
          <cell r="J36" t="str">
            <v>New</v>
          </cell>
          <cell r="K36" t="str">
            <v>Millions SqFt</v>
          </cell>
          <cell r="L36">
            <v>0.49337113702797691</v>
          </cell>
          <cell r="M36">
            <v>1.1029723159217257</v>
          </cell>
          <cell r="N36">
            <v>0.94992456965043459</v>
          </cell>
          <cell r="O36">
            <v>0.71720701164062661</v>
          </cell>
          <cell r="P36">
            <v>0.7442281187428561</v>
          </cell>
          <cell r="Q36">
            <v>0.85140099810585501</v>
          </cell>
          <cell r="R36">
            <v>0.99139466996200198</v>
          </cell>
          <cell r="S36">
            <v>1.5014629353162949</v>
          </cell>
          <cell r="T36">
            <v>1.8697826256608596</v>
          </cell>
          <cell r="U36">
            <v>1.6452707482432332</v>
          </cell>
          <cell r="V36">
            <v>1.6753181172445872</v>
          </cell>
          <cell r="W36">
            <v>1.7943041099264481</v>
          </cell>
          <cell r="X36">
            <v>1.8624299937819393</v>
          </cell>
          <cell r="Y36">
            <v>1.7489264522150836</v>
          </cell>
          <cell r="Z36">
            <v>1.7975598556031414</v>
          </cell>
          <cell r="AA36">
            <v>1.6195220459723754</v>
          </cell>
          <cell r="AB36">
            <v>1.8221433074925411</v>
          </cell>
          <cell r="AC36">
            <v>1.6336676691608698</v>
          </cell>
          <cell r="AD36">
            <v>1.7826242149357872</v>
          </cell>
          <cell r="AE36">
            <v>1.6891002859244486</v>
          </cell>
        </row>
        <row r="37">
          <cell r="G37" t="str">
            <v>RegionUniversityNew</v>
          </cell>
          <cell r="H37" t="str">
            <v>Com</v>
          </cell>
          <cell r="I37" t="str">
            <v>University</v>
          </cell>
          <cell r="J37" t="str">
            <v>New</v>
          </cell>
          <cell r="K37" t="str">
            <v>Millions SqFt</v>
          </cell>
          <cell r="L37">
            <v>0.2800209986196866</v>
          </cell>
          <cell r="M37">
            <v>0.29719871383536939</v>
          </cell>
          <cell r="N37">
            <v>0.58203115602335975</v>
          </cell>
          <cell r="O37">
            <v>0.83189457735737737</v>
          </cell>
          <cell r="P37">
            <v>0.66610454718876777</v>
          </cell>
          <cell r="Q37">
            <v>0.73648247778559484</v>
          </cell>
          <cell r="R37">
            <v>0.64334185638367225</v>
          </cell>
          <cell r="S37">
            <v>0.97289424291238524</v>
          </cell>
          <cell r="T37">
            <v>1.1820978013224126</v>
          </cell>
          <cell r="U37">
            <v>1.1785313924254113</v>
          </cell>
          <cell r="V37">
            <v>1.2952038876416079</v>
          </cell>
          <cell r="W37">
            <v>1.3229243736280945</v>
          </cell>
          <cell r="X37">
            <v>1.422909455419719</v>
          </cell>
          <cell r="Y37">
            <v>1.4430187909981058</v>
          </cell>
          <cell r="Z37">
            <v>1.2923971403480323</v>
          </cell>
          <cell r="AA37">
            <v>1.1785050733908478</v>
          </cell>
          <cell r="AB37">
            <v>1.3433889489273994</v>
          </cell>
          <cell r="AC37">
            <v>1.2265545990556588</v>
          </cell>
          <cell r="AD37">
            <v>1.2571458643971927</v>
          </cell>
          <cell r="AE37">
            <v>1.2979913333963795</v>
          </cell>
        </row>
        <row r="38">
          <cell r="G38" t="str">
            <v>RegionWarehouseNew</v>
          </cell>
          <cell r="H38" t="str">
            <v>Com</v>
          </cell>
          <cell r="I38" t="str">
            <v>Warehouse</v>
          </cell>
          <cell r="J38" t="str">
            <v>New</v>
          </cell>
          <cell r="K38" t="str">
            <v>Millions SqFt</v>
          </cell>
          <cell r="L38">
            <v>7.6586609772993617</v>
          </cell>
          <cell r="M38">
            <v>7.5774552212762423</v>
          </cell>
          <cell r="N38">
            <v>5.6453939930651131</v>
          </cell>
          <cell r="O38">
            <v>4.800793231843981</v>
          </cell>
          <cell r="P38">
            <v>3.5881391412601156</v>
          </cell>
          <cell r="Q38">
            <v>3.1529819033971824</v>
          </cell>
          <cell r="R38">
            <v>4.0691744688008198</v>
          </cell>
          <cell r="S38">
            <v>4.5400289951106014</v>
          </cell>
          <cell r="T38">
            <v>4.8555474587969272</v>
          </cell>
          <cell r="U38">
            <v>4.6966359797376018</v>
          </cell>
          <cell r="V38">
            <v>4.8557170740974245</v>
          </cell>
          <cell r="W38">
            <v>4.451750056135543</v>
          </cell>
          <cell r="X38">
            <v>3.8657972013430704</v>
          </cell>
          <cell r="Y38">
            <v>3.9817445148405937</v>
          </cell>
          <cell r="Z38">
            <v>3.9951806948216846</v>
          </cell>
          <cell r="AA38">
            <v>4.4738164673360306</v>
          </cell>
          <cell r="AB38">
            <v>4.2737219736102183</v>
          </cell>
          <cell r="AC38">
            <v>4.0870251812551333</v>
          </cell>
          <cell r="AD38">
            <v>4.137725578117939</v>
          </cell>
          <cell r="AE38">
            <v>3.6922064696454697</v>
          </cell>
        </row>
        <row r="39">
          <cell r="G39" t="str">
            <v>RegionSupermarketNew</v>
          </cell>
          <cell r="H39" t="str">
            <v>Com</v>
          </cell>
          <cell r="I39" t="str">
            <v>Supermarket</v>
          </cell>
          <cell r="J39" t="str">
            <v>New</v>
          </cell>
          <cell r="K39" t="str">
            <v>Millions SqFt</v>
          </cell>
          <cell r="L39">
            <v>0.38924897939746522</v>
          </cell>
          <cell r="M39">
            <v>0.34341311895347121</v>
          </cell>
          <cell r="N39">
            <v>0.29927348040561341</v>
          </cell>
          <cell r="O39">
            <v>0.29688874456634085</v>
          </cell>
          <cell r="P39">
            <v>0.29379933994281465</v>
          </cell>
          <cell r="Q39">
            <v>0.29041766271303127</v>
          </cell>
          <cell r="R39">
            <v>0.28614144770449462</v>
          </cell>
          <cell r="S39">
            <v>0.28163861967746157</v>
          </cell>
          <cell r="T39">
            <v>0.27688800876616482</v>
          </cell>
          <cell r="U39">
            <v>0.27357754310134663</v>
          </cell>
          <cell r="V39">
            <v>0.27063184585003941</v>
          </cell>
          <cell r="W39">
            <v>0.26801411864303953</v>
          </cell>
          <cell r="X39">
            <v>0.26660240614409092</v>
          </cell>
          <cell r="Y39">
            <v>0.25138198684402913</v>
          </cell>
          <cell r="Z39">
            <v>0.26455339135243683</v>
          </cell>
          <cell r="AA39">
            <v>0.26299167309250365</v>
          </cell>
          <cell r="AB39">
            <v>0.26140909607327911</v>
          </cell>
          <cell r="AC39">
            <v>0.25947687815142023</v>
          </cell>
          <cell r="AD39">
            <v>0.25750619496776178</v>
          </cell>
          <cell r="AE39">
            <v>0.25562560804995926</v>
          </cell>
        </row>
        <row r="40">
          <cell r="G40" t="str">
            <v>RegionMiniMartNew</v>
          </cell>
          <cell r="H40" t="str">
            <v>Com</v>
          </cell>
          <cell r="I40" t="str">
            <v>MiniMart</v>
          </cell>
          <cell r="J40" t="str">
            <v>New</v>
          </cell>
          <cell r="K40" t="str">
            <v>Millions SqFt</v>
          </cell>
          <cell r="L40">
            <v>0.19765540078516197</v>
          </cell>
          <cell r="M40">
            <v>0.18600542935034625</v>
          </cell>
          <cell r="N40">
            <v>9.5760802585072302E-2</v>
          </cell>
          <cell r="O40">
            <v>0.10062051473914659</v>
          </cell>
          <cell r="P40">
            <v>8.5646792534183808E-2</v>
          </cell>
          <cell r="Q40">
            <v>6.5415041923045286E-2</v>
          </cell>
          <cell r="R40">
            <v>5.7242996146950373E-2</v>
          </cell>
          <cell r="S40">
            <v>5.5087150941189433E-2</v>
          </cell>
          <cell r="T40">
            <v>7.3916214299540497E-2</v>
          </cell>
          <cell r="U40">
            <v>9.2056169088318471E-2</v>
          </cell>
          <cell r="V40">
            <v>0.10393709432109566</v>
          </cell>
          <cell r="W40">
            <v>0.15172170448022598</v>
          </cell>
          <cell r="X40">
            <v>0.15706997726929292</v>
          </cell>
          <cell r="Y40">
            <v>0.14510580631504899</v>
          </cell>
          <cell r="Z40">
            <v>0.15272706829792246</v>
          </cell>
          <cell r="AA40">
            <v>0.14104647748606622</v>
          </cell>
          <cell r="AB40">
            <v>0.11700741064540764</v>
          </cell>
          <cell r="AC40">
            <v>0.1200067315077773</v>
          </cell>
          <cell r="AD40">
            <v>0.11457442878633581</v>
          </cell>
          <cell r="AE40">
            <v>0.1211768182439132</v>
          </cell>
        </row>
        <row r="41">
          <cell r="G41" t="str">
            <v>RegionRestaurantNew</v>
          </cell>
          <cell r="H41" t="str">
            <v>Com</v>
          </cell>
          <cell r="I41" t="str">
            <v>Restaurant</v>
          </cell>
          <cell r="J41" t="str">
            <v>New</v>
          </cell>
          <cell r="K41" t="str">
            <v>Millions SqFt</v>
          </cell>
          <cell r="L41">
            <v>0.46894871790011039</v>
          </cell>
          <cell r="M41">
            <v>0.47387410836125871</v>
          </cell>
          <cell r="N41">
            <v>0.45144590813821411</v>
          </cell>
          <cell r="O41">
            <v>0.4505136151455652</v>
          </cell>
          <cell r="P41">
            <v>0.44778046039172248</v>
          </cell>
          <cell r="Q41">
            <v>0.44523396067124349</v>
          </cell>
          <cell r="R41">
            <v>0.44273536313864043</v>
          </cell>
          <cell r="S41">
            <v>0.4399078135546039</v>
          </cell>
          <cell r="T41">
            <v>0.43708606600163591</v>
          </cell>
          <cell r="U41">
            <v>0.43513915585550955</v>
          </cell>
          <cell r="V41">
            <v>0.43580404899906589</v>
          </cell>
          <cell r="W41">
            <v>0.59161866303702282</v>
          </cell>
          <cell r="X41">
            <v>0.66467702134516005</v>
          </cell>
          <cell r="Y41">
            <v>0.65353995366480533</v>
          </cell>
          <cell r="Z41">
            <v>0.676060915960916</v>
          </cell>
          <cell r="AA41">
            <v>0.70559825286541389</v>
          </cell>
          <cell r="AB41">
            <v>0.63206878506691044</v>
          </cell>
          <cell r="AC41">
            <v>0.63726309269471215</v>
          </cell>
          <cell r="AD41">
            <v>0.5828366650853003</v>
          </cell>
          <cell r="AE41">
            <v>0.63928201324113043</v>
          </cell>
        </row>
        <row r="42">
          <cell r="G42" t="str">
            <v>RegionLodgingNew</v>
          </cell>
          <cell r="H42" t="str">
            <v>Com</v>
          </cell>
          <cell r="I42" t="str">
            <v>Lodging</v>
          </cell>
          <cell r="J42" t="str">
            <v>New</v>
          </cell>
          <cell r="K42" t="str">
            <v>Millions SqFt</v>
          </cell>
          <cell r="L42">
            <v>1.0326774321313152</v>
          </cell>
          <cell r="M42">
            <v>1.0158776160943388</v>
          </cell>
          <cell r="N42">
            <v>0.74304915446037911</v>
          </cell>
          <cell r="O42">
            <v>0.76054102414226543</v>
          </cell>
          <cell r="P42">
            <v>0.65616402459427536</v>
          </cell>
          <cell r="Q42">
            <v>0.62755023267601961</v>
          </cell>
          <cell r="R42">
            <v>0.61023293273354484</v>
          </cell>
          <cell r="S42">
            <v>0.60571699788717037</v>
          </cell>
          <cell r="T42">
            <v>0.65097903457434547</v>
          </cell>
          <cell r="U42">
            <v>0.69319811486407867</v>
          </cell>
          <cell r="V42">
            <v>0.78843795894088464</v>
          </cell>
          <cell r="W42">
            <v>1.3645659476947984</v>
          </cell>
          <cell r="X42">
            <v>1.6032227373726178</v>
          </cell>
          <cell r="Y42">
            <v>1.6412696995684901</v>
          </cell>
          <cell r="Z42">
            <v>1.670283030615213</v>
          </cell>
          <cell r="AA42">
            <v>1.755661848186447</v>
          </cell>
          <cell r="AB42">
            <v>1.4871375295645746</v>
          </cell>
          <cell r="AC42">
            <v>1.4400033906080374</v>
          </cell>
          <cell r="AD42">
            <v>1.3499648074414823</v>
          </cell>
          <cell r="AE42">
            <v>1.4487057151095009</v>
          </cell>
        </row>
        <row r="43">
          <cell r="G43" t="str">
            <v>RegionHospitalNew</v>
          </cell>
          <cell r="H43" t="str">
            <v>Com</v>
          </cell>
          <cell r="I43" t="str">
            <v>Hospital</v>
          </cell>
          <cell r="J43" t="str">
            <v>New</v>
          </cell>
          <cell r="K43" t="str">
            <v>Millions SqFt</v>
          </cell>
          <cell r="L43">
            <v>4.1336070304911159</v>
          </cell>
          <cell r="M43">
            <v>3.5601449453189118</v>
          </cell>
          <cell r="N43">
            <v>3.2007770264658664</v>
          </cell>
          <cell r="O43">
            <v>2.6531465767673241</v>
          </cell>
          <cell r="P43">
            <v>1.8730082465149496</v>
          </cell>
          <cell r="Q43">
            <v>1.6467285324389391</v>
          </cell>
          <cell r="R43">
            <v>1.5196240263467067</v>
          </cell>
          <cell r="S43">
            <v>1.3328145698119136</v>
          </cell>
          <cell r="T43">
            <v>1.3372342578617185</v>
          </cell>
          <cell r="U43">
            <v>1.4086686461757902</v>
          </cell>
          <cell r="V43">
            <v>1.6725933548501446</v>
          </cell>
          <cell r="W43">
            <v>2.0158466086985318</v>
          </cell>
          <cell r="X43">
            <v>2.3033709594417431</v>
          </cell>
          <cell r="Y43">
            <v>2.063930246052466</v>
          </cell>
          <cell r="Z43">
            <v>1.9880083370090949</v>
          </cell>
          <cell r="AA43">
            <v>1.9342270452860566</v>
          </cell>
          <cell r="AB43">
            <v>1.774507966199161</v>
          </cell>
          <cell r="AC43">
            <v>1.6723841845019074</v>
          </cell>
          <cell r="AD43">
            <v>1.5414284807799123</v>
          </cell>
          <cell r="AE43">
            <v>1.5563040522680198</v>
          </cell>
        </row>
        <row r="44">
          <cell r="G44" t="str">
            <v>RegionOtherHealthNew</v>
          </cell>
          <cell r="H44" t="str">
            <v>Com</v>
          </cell>
          <cell r="I44" t="str">
            <v>OtherHealth</v>
          </cell>
          <cell r="J44" t="str">
            <v>New</v>
          </cell>
          <cell r="K44" t="str">
            <v>Millions SqFt</v>
          </cell>
          <cell r="L44">
            <v>4.5029406937179912</v>
          </cell>
          <cell r="M44">
            <v>4.0786070344439063</v>
          </cell>
          <cell r="N44">
            <v>3.5919834720533679</v>
          </cell>
          <cell r="O44">
            <v>3.0400934926407626</v>
          </cell>
          <cell r="P44">
            <v>2.3018670718031324</v>
          </cell>
          <cell r="Q44">
            <v>2.1321468422073435</v>
          </cell>
          <cell r="R44">
            <v>1.9771504564110642</v>
          </cell>
          <cell r="S44">
            <v>1.8096072137015302</v>
          </cell>
          <cell r="T44">
            <v>1.9023478055732992</v>
          </cell>
          <cell r="U44">
            <v>2.0129777404511922</v>
          </cell>
          <cell r="V44">
            <v>2.304026079874093</v>
          </cell>
          <cell r="W44">
            <v>2.7992417645016405</v>
          </cell>
          <cell r="X44">
            <v>3.0682339807477179</v>
          </cell>
          <cell r="Y44">
            <v>2.7441690138981158</v>
          </cell>
          <cell r="Z44">
            <v>2.8046561391012603</v>
          </cell>
          <cell r="AA44">
            <v>2.7282838662201567</v>
          </cell>
          <cell r="AB44">
            <v>2.4959637785038216</v>
          </cell>
          <cell r="AC44">
            <v>2.4392052334479857</v>
          </cell>
          <cell r="AD44">
            <v>2.3386950979959957</v>
          </cell>
          <cell r="AE44">
            <v>2.3103955399373803</v>
          </cell>
        </row>
        <row r="45">
          <cell r="G45" t="str">
            <v>RegionAssemblyNew</v>
          </cell>
          <cell r="H45" t="str">
            <v>Com</v>
          </cell>
          <cell r="I45" t="str">
            <v>Assembly</v>
          </cell>
          <cell r="J45" t="str">
            <v>New</v>
          </cell>
          <cell r="K45" t="str">
            <v>Millions SqFt</v>
          </cell>
          <cell r="L45">
            <v>3.1854829351393543</v>
          </cell>
          <cell r="M45">
            <v>3.1699057451518957</v>
          </cell>
          <cell r="N45">
            <v>2.2628528186826316</v>
          </cell>
          <cell r="O45">
            <v>2.6023617076700645</v>
          </cell>
          <cell r="P45">
            <v>2.2919684786454506</v>
          </cell>
          <cell r="Q45">
            <v>2.1556450092355899</v>
          </cell>
          <cell r="R45">
            <v>1.4820394508668711</v>
          </cell>
          <cell r="S45">
            <v>1.5603361472368396</v>
          </cell>
          <cell r="T45">
            <v>2.3546097038898557</v>
          </cell>
          <cell r="U45">
            <v>3.2740386396924066</v>
          </cell>
          <cell r="V45">
            <v>3.6241751874536021</v>
          </cell>
          <cell r="W45">
            <v>4.4420137300219826</v>
          </cell>
          <cell r="X45">
            <v>5.8224273473135861</v>
          </cell>
          <cell r="Y45">
            <v>6.4604400946422142</v>
          </cell>
          <cell r="Z45">
            <v>6.9014803298142597</v>
          </cell>
          <cell r="AA45">
            <v>6.748515751490312</v>
          </cell>
          <cell r="AB45">
            <v>6.4364694734288266</v>
          </cell>
          <cell r="AC45">
            <v>6.3053235195290611</v>
          </cell>
          <cell r="AD45">
            <v>6.2236620394663484</v>
          </cell>
          <cell r="AE45">
            <v>6.0386522880717726</v>
          </cell>
        </row>
        <row r="46">
          <cell r="G46" t="str">
            <v>RegionOtherNew</v>
          </cell>
          <cell r="H46" t="str">
            <v>Com</v>
          </cell>
          <cell r="I46" t="str">
            <v>Other</v>
          </cell>
          <cell r="J46" t="str">
            <v>New</v>
          </cell>
          <cell r="K46" t="str">
            <v>Millions SqFt</v>
          </cell>
          <cell r="L46">
            <v>12.863107129152304</v>
          </cell>
          <cell r="M46">
            <v>10.7220378193485</v>
          </cell>
          <cell r="N46">
            <v>10.142128438066296</v>
          </cell>
          <cell r="O46">
            <v>9.4611923499879236</v>
          </cell>
          <cell r="P46">
            <v>7.3638556881373223</v>
          </cell>
          <cell r="Q46">
            <v>8.1591439254269407</v>
          </cell>
          <cell r="R46">
            <v>7.9603673258815011</v>
          </cell>
          <cell r="S46">
            <v>8.6026166911432824</v>
          </cell>
          <cell r="T46">
            <v>9.3207800366095146</v>
          </cell>
          <cell r="U46">
            <v>9.0572786632714859</v>
          </cell>
          <cell r="V46">
            <v>10.184423730877143</v>
          </cell>
          <cell r="W46">
            <v>10.787657533789663</v>
          </cell>
          <cell r="X46">
            <v>11.005378574708409</v>
          </cell>
          <cell r="Y46">
            <v>10.267063981307951</v>
          </cell>
          <cell r="Z46">
            <v>11.027475862918971</v>
          </cell>
          <cell r="AA46">
            <v>9.9609233822623686</v>
          </cell>
          <cell r="AB46">
            <v>10.340047869658916</v>
          </cell>
          <cell r="AC46">
            <v>9.8383849729989699</v>
          </cell>
          <cell r="AD46">
            <v>9.3282989614436094</v>
          </cell>
          <cell r="AE46">
            <v>9.0355729282982153</v>
          </cell>
        </row>
        <row r="47">
          <cell r="G47" t="str">
            <v>RegionLarge OffStock 2016</v>
          </cell>
          <cell r="H47" t="str">
            <v>Com</v>
          </cell>
          <cell r="I47" t="str">
            <v>Large Off</v>
          </cell>
          <cell r="J47" t="str">
            <v>Stock 2016</v>
          </cell>
          <cell r="K47" t="str">
            <v>Millions SqFt</v>
          </cell>
          <cell r="L47">
            <v>380.08828477966154</v>
          </cell>
          <cell r="M47">
            <v>378.94801992532251</v>
          </cell>
          <cell r="N47">
            <v>377.81117586554655</v>
          </cell>
          <cell r="O47">
            <v>376.67774233794995</v>
          </cell>
          <cell r="P47">
            <v>375.54770911093607</v>
          </cell>
          <cell r="Q47">
            <v>374.42106598360328</v>
          </cell>
          <cell r="R47">
            <v>373.29780278565244</v>
          </cell>
          <cell r="S47">
            <v>372.17790937729552</v>
          </cell>
          <cell r="T47">
            <v>371.06137564916361</v>
          </cell>
          <cell r="U47">
            <v>369.94819152221612</v>
          </cell>
          <cell r="V47">
            <v>368.83834694764948</v>
          </cell>
          <cell r="W47">
            <v>367.73183190680658</v>
          </cell>
          <cell r="X47">
            <v>366.62863641108612</v>
          </cell>
          <cell r="Y47">
            <v>365.52875050185287</v>
          </cell>
          <cell r="Z47">
            <v>364.43216425034728</v>
          </cell>
          <cell r="AA47">
            <v>363.33886775759629</v>
          </cell>
          <cell r="AB47">
            <v>362.24885115432346</v>
          </cell>
          <cell r="AC47">
            <v>361.16210460086046</v>
          </cell>
          <cell r="AD47">
            <v>360.07861828705791</v>
          </cell>
          <cell r="AE47">
            <v>358.99838243219671</v>
          </cell>
        </row>
        <row r="48">
          <cell r="G48" t="str">
            <v>RegionMedium OffStock 2016</v>
          </cell>
          <cell r="H48" t="str">
            <v>Com</v>
          </cell>
          <cell r="I48" t="str">
            <v>Medium Off</v>
          </cell>
          <cell r="J48" t="str">
            <v>Stock 2016</v>
          </cell>
          <cell r="K48" t="str">
            <v>Millions SqFt</v>
          </cell>
          <cell r="L48">
            <v>190.73687138333023</v>
          </cell>
          <cell r="M48">
            <v>190.16466076918024</v>
          </cell>
          <cell r="N48">
            <v>189.59416678687271</v>
          </cell>
          <cell r="O48">
            <v>189.02538428651209</v>
          </cell>
          <cell r="P48">
            <v>188.45830813365254</v>
          </cell>
          <cell r="Q48">
            <v>187.89293320925157</v>
          </cell>
          <cell r="R48">
            <v>187.32925440962381</v>
          </cell>
          <cell r="S48">
            <v>186.76726664639497</v>
          </cell>
          <cell r="T48">
            <v>186.20696484645578</v>
          </cell>
          <cell r="U48">
            <v>185.64834395191642</v>
          </cell>
          <cell r="V48">
            <v>185.09139892006067</v>
          </cell>
          <cell r="W48">
            <v>184.5361247233005</v>
          </cell>
          <cell r="X48">
            <v>183.98251634913058</v>
          </cell>
          <cell r="Y48">
            <v>183.43056880008319</v>
          </cell>
          <cell r="Z48">
            <v>182.88027709368296</v>
          </cell>
          <cell r="AA48">
            <v>182.33163626240187</v>
          </cell>
          <cell r="AB48">
            <v>181.78464135361469</v>
          </cell>
          <cell r="AC48">
            <v>181.23928742955383</v>
          </cell>
          <cell r="AD48">
            <v>180.69556956726515</v>
          </cell>
          <cell r="AE48">
            <v>180.15348285856339</v>
          </cell>
        </row>
        <row r="49">
          <cell r="G49" t="str">
            <v>RegionSmall OffStock 2016</v>
          </cell>
          <cell r="H49" t="str">
            <v>Com</v>
          </cell>
          <cell r="I49" t="str">
            <v>Small Off</v>
          </cell>
          <cell r="J49" t="str">
            <v>Stock 2016</v>
          </cell>
          <cell r="K49" t="str">
            <v>Millions SqFt</v>
          </cell>
          <cell r="L49">
            <v>184.0913556049378</v>
          </cell>
          <cell r="M49">
            <v>183.53908153812301</v>
          </cell>
          <cell r="N49">
            <v>182.98846429350866</v>
          </cell>
          <cell r="O49">
            <v>182.43949890062811</v>
          </cell>
          <cell r="P49">
            <v>181.89218040392623</v>
          </cell>
          <cell r="Q49">
            <v>181.34650386271446</v>
          </cell>
          <cell r="R49">
            <v>180.80246435112633</v>
          </cell>
          <cell r="S49">
            <v>180.26005695807294</v>
          </cell>
          <cell r="T49">
            <v>179.71927678719871</v>
          </cell>
          <cell r="U49">
            <v>179.18011895683713</v>
          </cell>
          <cell r="V49">
            <v>178.64257859996661</v>
          </cell>
          <cell r="W49">
            <v>178.10665086416668</v>
          </cell>
          <cell r="X49">
            <v>177.57233091157423</v>
          </cell>
          <cell r="Y49">
            <v>177.03961391883951</v>
          </cell>
          <cell r="Z49">
            <v>176.50849507708296</v>
          </cell>
          <cell r="AA49">
            <v>175.97896959185172</v>
          </cell>
          <cell r="AB49">
            <v>175.45103268307616</v>
          </cell>
          <cell r="AC49">
            <v>174.92467958502692</v>
          </cell>
          <cell r="AD49">
            <v>174.39990554627184</v>
          </cell>
          <cell r="AE49">
            <v>173.87670582963304</v>
          </cell>
        </row>
        <row r="50">
          <cell r="G50" t="str">
            <v>RegionBig Box-RetailStock 2016</v>
          </cell>
          <cell r="H50" t="str">
            <v>Com</v>
          </cell>
          <cell r="I50" t="str">
            <v>Big Box-Retail</v>
          </cell>
          <cell r="J50" t="str">
            <v>Stock 2016</v>
          </cell>
          <cell r="K50" t="str">
            <v>Millions SqFt</v>
          </cell>
          <cell r="L50">
            <v>138.35734062238015</v>
          </cell>
          <cell r="M50">
            <v>137.7208968555172</v>
          </cell>
          <cell r="N50">
            <v>137.08738072998179</v>
          </cell>
          <cell r="O50">
            <v>136.45677877862389</v>
          </cell>
          <cell r="P50">
            <v>135.8290775962422</v>
          </cell>
          <cell r="Q50">
            <v>135.20426383929947</v>
          </cell>
          <cell r="R50">
            <v>134.5823242256387</v>
          </cell>
          <cell r="S50">
            <v>133.96324553420075</v>
          </cell>
          <cell r="T50">
            <v>133.34701460474344</v>
          </cell>
          <cell r="U50">
            <v>132.73361833756161</v>
          </cell>
          <cell r="V50">
            <v>132.12304369320884</v>
          </cell>
          <cell r="W50">
            <v>131.51527769222005</v>
          </cell>
          <cell r="X50">
            <v>130.91030741483584</v>
          </cell>
          <cell r="Y50">
            <v>130.3081200007276</v>
          </cell>
          <cell r="Z50">
            <v>129.70870264872423</v>
          </cell>
          <cell r="AA50">
            <v>129.11204261654012</v>
          </cell>
          <cell r="AB50">
            <v>128.51812722050403</v>
          </cell>
          <cell r="AC50">
            <v>127.92694383528971</v>
          </cell>
          <cell r="AD50">
            <v>127.33847989364737</v>
          </cell>
          <cell r="AE50">
            <v>126.75272288613657</v>
          </cell>
        </row>
        <row r="51">
          <cell r="G51" t="str">
            <v>RegionSmall Box-RetailStock 2016</v>
          </cell>
          <cell r="H51" t="str">
            <v>Com</v>
          </cell>
          <cell r="I51" t="str">
            <v>Small Box-Retail</v>
          </cell>
          <cell r="J51" t="str">
            <v>Stock 2016</v>
          </cell>
          <cell r="K51" t="str">
            <v>Millions SqFt</v>
          </cell>
          <cell r="L51">
            <v>208.9574509880029</v>
          </cell>
          <cell r="M51">
            <v>207.99624671345808</v>
          </cell>
          <cell r="N51">
            <v>207.03946397857615</v>
          </cell>
          <cell r="O51">
            <v>206.0870824442747</v>
          </cell>
          <cell r="P51">
            <v>205.13908186503102</v>
          </cell>
          <cell r="Q51">
            <v>204.1954420884519</v>
          </cell>
          <cell r="R51">
            <v>203.25614305484498</v>
          </cell>
          <cell r="S51">
            <v>202.32116479679266</v>
          </cell>
          <cell r="T51">
            <v>201.3904874387274</v>
          </cell>
          <cell r="U51">
            <v>200.46409119650929</v>
          </cell>
          <cell r="V51">
            <v>199.54195637700533</v>
          </cell>
          <cell r="W51">
            <v>198.62406337767112</v>
          </cell>
          <cell r="X51">
            <v>197.71039268613379</v>
          </cell>
          <cell r="Y51">
            <v>196.8009248797776</v>
          </cell>
          <cell r="Z51">
            <v>195.8956406253306</v>
          </cell>
          <cell r="AA51">
            <v>194.99452067845405</v>
          </cell>
          <cell r="AB51">
            <v>194.09754588333314</v>
          </cell>
          <cell r="AC51">
            <v>193.20469717226982</v>
          </cell>
          <cell r="AD51">
            <v>192.31595556527733</v>
          </cell>
          <cell r="AE51">
            <v>191.43130216967708</v>
          </cell>
        </row>
        <row r="52">
          <cell r="G52" t="str">
            <v>RegionHigh End-RetailStock 2016</v>
          </cell>
          <cell r="H52" t="str">
            <v>Com</v>
          </cell>
          <cell r="I52" t="str">
            <v>High End-Retail</v>
          </cell>
          <cell r="J52" t="str">
            <v>Stock 2016</v>
          </cell>
          <cell r="K52" t="str">
            <v>Millions SqFt</v>
          </cell>
          <cell r="L52">
            <v>97.115689913224898</v>
          </cell>
          <cell r="M52">
            <v>96.668957739624062</v>
          </cell>
          <cell r="N52">
            <v>96.224280534021787</v>
          </cell>
          <cell r="O52">
            <v>95.781648843565293</v>
          </cell>
          <cell r="P52">
            <v>95.34105325888487</v>
          </cell>
          <cell r="Q52">
            <v>94.902484413894001</v>
          </cell>
          <cell r="R52">
            <v>94.465932985590086</v>
          </cell>
          <cell r="S52">
            <v>94.031389693856369</v>
          </cell>
          <cell r="T52">
            <v>93.598845301264618</v>
          </cell>
          <cell r="U52">
            <v>93.168290612878806</v>
          </cell>
          <cell r="V52">
            <v>92.739716476059556</v>
          </cell>
          <cell r="W52">
            <v>92.313113780269674</v>
          </cell>
          <cell r="X52">
            <v>91.888473456880433</v>
          </cell>
          <cell r="Y52">
            <v>91.465786478978771</v>
          </cell>
          <cell r="Z52">
            <v>91.045043861175472</v>
          </cell>
          <cell r="AA52">
            <v>90.626236659414062</v>
          </cell>
          <cell r="AB52">
            <v>90.209355970780734</v>
          </cell>
          <cell r="AC52">
            <v>89.794392933315152</v>
          </cell>
          <cell r="AD52">
            <v>89.381338725821905</v>
          </cell>
          <cell r="AE52">
            <v>88.97018456768312</v>
          </cell>
        </row>
        <row r="53">
          <cell r="G53" t="str">
            <v>RegionAnchor-RetailStock 2016</v>
          </cell>
          <cell r="H53" t="str">
            <v>Com</v>
          </cell>
          <cell r="I53" t="str">
            <v>Anchor-Retail</v>
          </cell>
          <cell r="J53" t="str">
            <v>Stock 2016</v>
          </cell>
          <cell r="K53" t="str">
            <v>Millions SqFt</v>
          </cell>
          <cell r="L53">
            <v>109.47966092768364</v>
          </cell>
          <cell r="M53">
            <v>108.97605448741629</v>
          </cell>
          <cell r="N53">
            <v>108.47476463677417</v>
          </cell>
          <cell r="O53">
            <v>107.975780719445</v>
          </cell>
          <cell r="P53">
            <v>107.47909212813555</v>
          </cell>
          <cell r="Q53">
            <v>106.98468830434612</v>
          </cell>
          <cell r="R53">
            <v>106.49255873814613</v>
          </cell>
          <cell r="S53">
            <v>106.00269296795065</v>
          </cell>
          <cell r="T53">
            <v>105.51508058029808</v>
          </cell>
          <cell r="U53">
            <v>105.0297112096287</v>
          </cell>
          <cell r="V53">
            <v>104.54657453806439</v>
          </cell>
          <cell r="W53">
            <v>104.0656602951893</v>
          </cell>
          <cell r="X53">
            <v>103.58695825783141</v>
          </cell>
          <cell r="Y53">
            <v>103.11045824984539</v>
          </cell>
          <cell r="Z53">
            <v>102.6361501418961</v>
          </cell>
          <cell r="AA53">
            <v>102.16402385124337</v>
          </cell>
          <cell r="AB53">
            <v>101.69406934152764</v>
          </cell>
          <cell r="AC53">
            <v>101.2262766225566</v>
          </cell>
          <cell r="AD53">
            <v>100.76063575009285</v>
          </cell>
          <cell r="AE53">
            <v>100.29713682564241</v>
          </cell>
        </row>
        <row r="54">
          <cell r="G54" t="str">
            <v>RegionK-12Stock 2016</v>
          </cell>
          <cell r="H54" t="str">
            <v>Com</v>
          </cell>
          <cell r="I54" t="str">
            <v>K-12</v>
          </cell>
          <cell r="J54" t="str">
            <v>Stock 2016</v>
          </cell>
          <cell r="K54" t="str">
            <v>Millions SqFt</v>
          </cell>
          <cell r="L54">
            <v>241.11763975818661</v>
          </cell>
          <cell r="M54">
            <v>240.12905743517803</v>
          </cell>
          <cell r="N54">
            <v>239.14452829969383</v>
          </cell>
          <cell r="O54">
            <v>238.16403573366509</v>
          </cell>
          <cell r="P54">
            <v>237.18756318715711</v>
          </cell>
          <cell r="Q54">
            <v>236.21509417808971</v>
          </cell>
          <cell r="R54">
            <v>235.24661229195956</v>
          </cell>
          <cell r="S54">
            <v>234.28210118156252</v>
          </cell>
          <cell r="T54">
            <v>233.32154456671807</v>
          </cell>
          <cell r="U54">
            <v>232.36492623399457</v>
          </cell>
          <cell r="V54">
            <v>231.41223003643518</v>
          </cell>
          <cell r="W54">
            <v>230.46343989328579</v>
          </cell>
          <cell r="X54">
            <v>229.51853978972335</v>
          </cell>
          <cell r="Y54">
            <v>228.57751377658545</v>
          </cell>
          <cell r="Z54">
            <v>227.64034597010144</v>
          </cell>
          <cell r="AA54">
            <v>226.70702055162403</v>
          </cell>
          <cell r="AB54">
            <v>225.77752176736234</v>
          </cell>
          <cell r="AC54">
            <v>224.85183392811618</v>
          </cell>
          <cell r="AD54">
            <v>223.92994140901092</v>
          </cell>
          <cell r="AE54">
            <v>223.01182864923393</v>
          </cell>
        </row>
        <row r="55">
          <cell r="G55" t="str">
            <v>RegionUniversityStock 2016</v>
          </cell>
          <cell r="H55" t="str">
            <v>Com</v>
          </cell>
          <cell r="I55" t="str">
            <v>University</v>
          </cell>
          <cell r="J55" t="str">
            <v>Stock 2016</v>
          </cell>
          <cell r="K55" t="str">
            <v>Millions SqFt</v>
          </cell>
          <cell r="L55">
            <v>122.15340627232256</v>
          </cell>
          <cell r="M55">
            <v>121.65257730660603</v>
          </cell>
          <cell r="N55">
            <v>121.15380173964894</v>
          </cell>
          <cell r="O55">
            <v>120.65707115251638</v>
          </cell>
          <cell r="P55">
            <v>120.16237716079107</v>
          </cell>
          <cell r="Q55">
            <v>119.66971141443182</v>
          </cell>
          <cell r="R55">
            <v>119.17906559763266</v>
          </cell>
          <cell r="S55">
            <v>118.69043142868237</v>
          </cell>
          <cell r="T55">
            <v>118.20380065982476</v>
          </cell>
          <cell r="U55">
            <v>117.71916507711948</v>
          </cell>
          <cell r="V55">
            <v>117.23651650030328</v>
          </cell>
          <cell r="W55">
            <v>116.75584678265207</v>
          </cell>
          <cell r="X55">
            <v>116.27714781084319</v>
          </cell>
          <cell r="Y55">
            <v>115.80041150481873</v>
          </cell>
          <cell r="Z55">
            <v>115.32562981764897</v>
          </cell>
          <cell r="AA55">
            <v>114.8527947353966</v>
          </cell>
          <cell r="AB55">
            <v>114.38189827698147</v>
          </cell>
          <cell r="AC55">
            <v>113.91293249404585</v>
          </cell>
          <cell r="AD55">
            <v>113.44588947082025</v>
          </cell>
          <cell r="AE55">
            <v>112.98076132398991</v>
          </cell>
        </row>
        <row r="56">
          <cell r="G56" t="str">
            <v>RegionWarehouseStock 2016</v>
          </cell>
          <cell r="H56" t="str">
            <v>Com</v>
          </cell>
          <cell r="I56" t="str">
            <v>Warehouse</v>
          </cell>
          <cell r="J56" t="str">
            <v>Stock 2016</v>
          </cell>
          <cell r="K56" t="str">
            <v>Millions SqFt</v>
          </cell>
          <cell r="L56">
            <v>448.69829599576161</v>
          </cell>
          <cell r="M56">
            <v>447.03811230057732</v>
          </cell>
          <cell r="N56">
            <v>445.3840712850652</v>
          </cell>
          <cell r="O56">
            <v>443.73615022131042</v>
          </cell>
          <cell r="P56">
            <v>442.09432646549152</v>
          </cell>
          <cell r="Q56">
            <v>440.45857745756916</v>
          </cell>
          <cell r="R56">
            <v>438.82888072097626</v>
          </cell>
          <cell r="S56">
            <v>437.2052138623086</v>
          </cell>
          <cell r="T56">
            <v>435.58755457101802</v>
          </cell>
          <cell r="U56">
            <v>433.97588061910528</v>
          </cell>
          <cell r="V56">
            <v>432.37016986081449</v>
          </cell>
          <cell r="W56">
            <v>430.77040023232951</v>
          </cell>
          <cell r="X56">
            <v>429.17654975146979</v>
          </cell>
          <cell r="Y56">
            <v>427.58859651738936</v>
          </cell>
          <cell r="Z56">
            <v>426.00651871027503</v>
          </cell>
          <cell r="AA56">
            <v>424.43029459104702</v>
          </cell>
          <cell r="AB56">
            <v>422.85990250106011</v>
          </cell>
          <cell r="AC56">
            <v>421.2953208618062</v>
          </cell>
          <cell r="AD56">
            <v>419.73652817461749</v>
          </cell>
          <cell r="AE56">
            <v>418.18350302037135</v>
          </cell>
        </row>
        <row r="57">
          <cell r="G57" t="str">
            <v>RegionSupermarketStock 2016</v>
          </cell>
          <cell r="H57" t="str">
            <v>Com</v>
          </cell>
          <cell r="I57" t="str">
            <v>Supermarket</v>
          </cell>
          <cell r="J57" t="str">
            <v>Stock 2016</v>
          </cell>
          <cell r="K57" t="str">
            <v>Millions SqFt</v>
          </cell>
          <cell r="L57">
            <v>53.720939527021244</v>
          </cell>
          <cell r="M57">
            <v>53.237451071278059</v>
          </cell>
          <cell r="N57">
            <v>52.758314011636557</v>
          </cell>
          <cell r="O57">
            <v>52.283489185531828</v>
          </cell>
          <cell r="P57">
            <v>51.812937782862043</v>
          </cell>
          <cell r="Q57">
            <v>51.346621342816277</v>
          </cell>
          <cell r="R57">
            <v>50.884501750730934</v>
          </cell>
          <cell r="S57">
            <v>50.426541234974358</v>
          </cell>
          <cell r="T57">
            <v>49.97270236385959</v>
          </cell>
          <cell r="U57">
            <v>49.522948042584851</v>
          </cell>
          <cell r="V57">
            <v>49.077241510201581</v>
          </cell>
          <cell r="W57">
            <v>48.635546336609778</v>
          </cell>
          <cell r="X57">
            <v>48.197826419580288</v>
          </cell>
          <cell r="Y57">
            <v>47.76404598180406</v>
          </cell>
          <cell r="Z57">
            <v>47.33416956796782</v>
          </cell>
          <cell r="AA57">
            <v>46.908162041856116</v>
          </cell>
          <cell r="AB57">
            <v>46.485988583479411</v>
          </cell>
          <cell r="AC57">
            <v>46.067614686228097</v>
          </cell>
          <cell r="AD57">
            <v>45.653006154052044</v>
          </cell>
          <cell r="AE57">
            <v>45.242129098665572</v>
          </cell>
        </row>
        <row r="58">
          <cell r="G58" t="str">
            <v>RegionMiniMartStock 2016</v>
          </cell>
          <cell r="H58" t="str">
            <v>Com</v>
          </cell>
          <cell r="I58" t="str">
            <v>MiniMart</v>
          </cell>
          <cell r="J58" t="str">
            <v>Stock 2016</v>
          </cell>
          <cell r="K58" t="str">
            <v>Millions SqFt</v>
          </cell>
          <cell r="L58">
            <v>22.491017060912501</v>
          </cell>
          <cell r="M58">
            <v>22.384859460384995</v>
          </cell>
          <cell r="N58">
            <v>22.279202923731983</v>
          </cell>
          <cell r="O58">
            <v>22.174045085931969</v>
          </cell>
          <cell r="P58">
            <v>22.069383593126368</v>
          </cell>
          <cell r="Q58">
            <v>21.965216102566814</v>
          </cell>
          <cell r="R58">
            <v>21.8615402825627</v>
          </cell>
          <cell r="S58">
            <v>21.758353812429004</v>
          </cell>
          <cell r="T58">
            <v>21.655654382434342</v>
          </cell>
          <cell r="U58">
            <v>21.553439693749251</v>
          </cell>
          <cell r="V58">
            <v>21.451707458394754</v>
          </cell>
          <cell r="W58">
            <v>21.350455399191134</v>
          </cell>
          <cell r="X58">
            <v>21.249681249706953</v>
          </cell>
          <cell r="Y58">
            <v>21.149382754208336</v>
          </cell>
          <cell r="Z58">
            <v>21.049557667608472</v>
          </cell>
          <cell r="AA58">
            <v>20.950203755417366</v>
          </cell>
          <cell r="AB58">
            <v>20.851318793691796</v>
          </cell>
          <cell r="AC58">
            <v>20.75290056898557</v>
          </cell>
          <cell r="AD58">
            <v>20.654946878299963</v>
          </cell>
          <cell r="AE58">
            <v>20.557455529034385</v>
          </cell>
        </row>
        <row r="59">
          <cell r="G59" t="str">
            <v>RegionRestaurantStock 2016</v>
          </cell>
          <cell r="H59" t="str">
            <v>Com</v>
          </cell>
          <cell r="I59" t="str">
            <v>Restaurant</v>
          </cell>
          <cell r="J59" t="str">
            <v>Stock 2016</v>
          </cell>
          <cell r="K59" t="str">
            <v>Millions SqFt</v>
          </cell>
          <cell r="L59">
            <v>51.550857208753726</v>
          </cell>
          <cell r="M59">
            <v>51.307537162728408</v>
          </cell>
          <cell r="N59">
            <v>51.065365587320336</v>
          </cell>
          <cell r="O59">
            <v>50.824337061748189</v>
          </cell>
          <cell r="P59">
            <v>50.584446190816735</v>
          </cell>
          <cell r="Q59">
            <v>50.345687604796083</v>
          </cell>
          <cell r="R59">
            <v>50.108055959301453</v>
          </cell>
          <cell r="S59">
            <v>49.871545935173543</v>
          </cell>
          <cell r="T59">
            <v>49.636152238359529</v>
          </cell>
          <cell r="U59">
            <v>49.40186959979448</v>
          </cell>
          <cell r="V59">
            <v>49.168692775283453</v>
          </cell>
          <cell r="W59">
            <v>48.936616545384119</v>
          </cell>
          <cell r="X59">
            <v>48.705635715289908</v>
          </cell>
          <cell r="Y59">
            <v>48.475745114713739</v>
          </cell>
          <cell r="Z59">
            <v>48.246939597772297</v>
          </cell>
          <cell r="AA59">
            <v>48.019214042870807</v>
          </cell>
          <cell r="AB59">
            <v>47.792563352588466</v>
          </cell>
          <cell r="AC59">
            <v>47.56698245356425</v>
          </cell>
          <cell r="AD59">
            <v>47.342466296383435</v>
          </cell>
          <cell r="AE59">
            <v>47.119009855464505</v>
          </cell>
        </row>
        <row r="60">
          <cell r="G60" t="str">
            <v>RegionLodgingStock 2016</v>
          </cell>
          <cell r="H60" t="str">
            <v>Com</v>
          </cell>
          <cell r="I60" t="str">
            <v>Lodging</v>
          </cell>
          <cell r="J60" t="str">
            <v>Stock 2016</v>
          </cell>
          <cell r="K60" t="str">
            <v>Millions SqFt</v>
          </cell>
          <cell r="L60">
            <v>170.15189589049527</v>
          </cell>
          <cell r="M60">
            <v>169.74353134035809</v>
          </cell>
          <cell r="N60">
            <v>169.33614686514122</v>
          </cell>
          <cell r="O60">
            <v>168.92974011266489</v>
          </cell>
          <cell r="P60">
            <v>168.52430873639449</v>
          </cell>
          <cell r="Q60">
            <v>168.11985039542716</v>
          </cell>
          <cell r="R60">
            <v>167.71636275447813</v>
          </cell>
          <cell r="S60">
            <v>167.31384348386743</v>
          </cell>
          <cell r="T60">
            <v>166.91229025950614</v>
          </cell>
          <cell r="U60">
            <v>166.51170076288332</v>
          </cell>
          <cell r="V60">
            <v>166.11207268105238</v>
          </cell>
          <cell r="W60">
            <v>165.7134037066179</v>
          </cell>
          <cell r="X60">
            <v>165.31569153772202</v>
          </cell>
          <cell r="Y60">
            <v>164.91893387803151</v>
          </cell>
          <cell r="Z60">
            <v>164.52312843672422</v>
          </cell>
          <cell r="AA60">
            <v>164.12827292847609</v>
          </cell>
          <cell r="AB60">
            <v>163.73436507344778</v>
          </cell>
          <cell r="AC60">
            <v>163.3414025972715</v>
          </cell>
          <cell r="AD60">
            <v>162.94938323103807</v>
          </cell>
          <cell r="AE60">
            <v>162.55830471128357</v>
          </cell>
        </row>
        <row r="61">
          <cell r="G61" t="str">
            <v>RegionHospitalStock 2016</v>
          </cell>
          <cell r="H61" t="str">
            <v>Com</v>
          </cell>
          <cell r="I61" t="str">
            <v>Hospital</v>
          </cell>
          <cell r="J61" t="str">
            <v>Stock 2016</v>
          </cell>
          <cell r="K61" t="str">
            <v>Millions SqFt</v>
          </cell>
          <cell r="L61">
            <v>105.02947953487826</v>
          </cell>
          <cell r="M61">
            <v>104.80891762785501</v>
          </cell>
          <cell r="N61">
            <v>104.58881890083651</v>
          </cell>
          <cell r="O61">
            <v>104.36918238114475</v>
          </cell>
          <cell r="P61">
            <v>104.15000709814436</v>
          </cell>
          <cell r="Q61">
            <v>103.93129208323826</v>
          </cell>
          <cell r="R61">
            <v>103.71303636986346</v>
          </cell>
          <cell r="S61">
            <v>103.49523899348674</v>
          </cell>
          <cell r="T61">
            <v>103.27789899160042</v>
          </cell>
          <cell r="U61">
            <v>103.06101540371807</v>
          </cell>
          <cell r="V61">
            <v>102.84458727137024</v>
          </cell>
          <cell r="W61">
            <v>102.62861363810038</v>
          </cell>
          <cell r="X61">
            <v>102.41309354946036</v>
          </cell>
          <cell r="Y61">
            <v>102.19802605300649</v>
          </cell>
          <cell r="Z61">
            <v>101.98341019829519</v>
          </cell>
          <cell r="AA61">
            <v>101.76924503687877</v>
          </cell>
          <cell r="AB61">
            <v>101.55552962230132</v>
          </cell>
          <cell r="AC61">
            <v>101.3422630100945</v>
          </cell>
          <cell r="AD61">
            <v>101.1294442577733</v>
          </cell>
          <cell r="AE61">
            <v>100.91707242483197</v>
          </cell>
        </row>
        <row r="62">
          <cell r="G62" t="str">
            <v>RegionOtherHealthStock 2016</v>
          </cell>
          <cell r="H62" t="str">
            <v>Com</v>
          </cell>
          <cell r="I62" t="str">
            <v>OtherHealth</v>
          </cell>
          <cell r="J62" t="str">
            <v>Stock 2016</v>
          </cell>
          <cell r="K62" t="str">
            <v>Millions SqFt</v>
          </cell>
          <cell r="L62">
            <v>128.74820917277606</v>
          </cell>
          <cell r="M62">
            <v>128.43921347076139</v>
          </cell>
          <cell r="N62">
            <v>128.1309593584316</v>
          </cell>
          <cell r="O62">
            <v>127.82344505597135</v>
          </cell>
          <cell r="P62">
            <v>127.51666878783702</v>
          </cell>
          <cell r="Q62">
            <v>127.21062878274621</v>
          </cell>
          <cell r="R62">
            <v>126.90532327366765</v>
          </cell>
          <cell r="S62">
            <v>126.60075049781085</v>
          </cell>
          <cell r="T62">
            <v>126.29690869661611</v>
          </cell>
          <cell r="U62">
            <v>125.99379611574425</v>
          </cell>
          <cell r="V62">
            <v>125.69141100506647</v>
          </cell>
          <cell r="W62">
            <v>125.3897516186543</v>
          </cell>
          <cell r="X62">
            <v>125.08881621476955</v>
          </cell>
          <cell r="Y62">
            <v>124.78860305585408</v>
          </cell>
          <cell r="Z62">
            <v>124.48911040852005</v>
          </cell>
          <cell r="AA62">
            <v>124.1903365435396</v>
          </cell>
          <cell r="AB62">
            <v>123.8922797358351</v>
          </cell>
          <cell r="AC62">
            <v>123.59493826446912</v>
          </cell>
          <cell r="AD62">
            <v>123.29831041263438</v>
          </cell>
          <cell r="AE62">
            <v>123.00239446764408</v>
          </cell>
        </row>
        <row r="63">
          <cell r="G63" t="str">
            <v>RegionAssemblyStock 2016</v>
          </cell>
          <cell r="H63" t="str">
            <v>Com</v>
          </cell>
          <cell r="I63" t="str">
            <v>Assembly</v>
          </cell>
          <cell r="J63" t="str">
            <v>Stock 2016</v>
          </cell>
          <cell r="K63" t="str">
            <v>Millions SqFt</v>
          </cell>
          <cell r="L63">
            <v>375.90224900649127</v>
          </cell>
          <cell r="M63">
            <v>374.21570091594884</v>
          </cell>
          <cell r="N63">
            <v>372.53671980450594</v>
          </cell>
          <cell r="O63">
            <v>370.86527172164978</v>
          </cell>
          <cell r="P63">
            <v>369.20132286919198</v>
          </cell>
          <cell r="Q63">
            <v>367.54483960058553</v>
          </cell>
          <cell r="R63">
            <v>365.89578842024423</v>
          </cell>
          <cell r="S63">
            <v>364.25413598286536</v>
          </cell>
          <cell r="T63">
            <v>362.6198490927556</v>
          </cell>
          <cell r="U63">
            <v>360.99289470315949</v>
          </cell>
          <cell r="V63">
            <v>359.37323991559134</v>
          </cell>
          <cell r="W63">
            <v>357.76085197917007</v>
          </cell>
          <cell r="X63">
            <v>356.15569828995689</v>
          </cell>
          <cell r="Y63">
            <v>354.55774639029596</v>
          </cell>
          <cell r="Z63">
            <v>352.96696396815821</v>
          </cell>
          <cell r="AA63">
            <v>351.38331885648773</v>
          </cell>
          <cell r="AB63">
            <v>349.80677903255156</v>
          </cell>
          <cell r="AC63">
            <v>348.23731261729228</v>
          </cell>
          <cell r="AD63">
            <v>346.67488787468267</v>
          </cell>
          <cell r="AE63">
            <v>345.11947321108494</v>
          </cell>
        </row>
        <row r="64">
          <cell r="G64" t="str">
            <v>RegionOtherStock 2016</v>
          </cell>
          <cell r="H64" t="str">
            <v>Com</v>
          </cell>
          <cell r="I64" t="str">
            <v>Other</v>
          </cell>
          <cell r="J64" t="str">
            <v>Stock 2016</v>
          </cell>
          <cell r="K64" t="str">
            <v>Millions SqFt</v>
          </cell>
          <cell r="L64">
            <v>342.64988330108076</v>
          </cell>
          <cell r="M64">
            <v>339.56603435137106</v>
          </cell>
          <cell r="N64">
            <v>336.50994004220871</v>
          </cell>
          <cell r="O64">
            <v>333.48135058182885</v>
          </cell>
          <cell r="P64">
            <v>330.48001842659238</v>
          </cell>
          <cell r="Q64">
            <v>327.50569826075304</v>
          </cell>
          <cell r="R64">
            <v>324.55814697640625</v>
          </cell>
          <cell r="S64">
            <v>321.63712365361863</v>
          </cell>
          <cell r="T64">
            <v>318.7423895407361</v>
          </cell>
          <cell r="U64">
            <v>315.87370803486942</v>
          </cell>
          <cell r="V64">
            <v>313.03084466255564</v>
          </cell>
          <cell r="W64">
            <v>310.21356706059254</v>
          </cell>
          <cell r="X64">
            <v>307.42164495704725</v>
          </cell>
          <cell r="Y64">
            <v>304.65485015243382</v>
          </cell>
          <cell r="Z64">
            <v>301.9129565010619</v>
          </cell>
          <cell r="AA64">
            <v>299.19573989255235</v>
          </cell>
          <cell r="AB64">
            <v>296.50297823351934</v>
          </cell>
          <cell r="AC64">
            <v>293.83445142941764</v>
          </cell>
          <cell r="AD64">
            <v>291.18994136655289</v>
          </cell>
          <cell r="AE64">
            <v>288.5692318942539</v>
          </cell>
        </row>
      </sheetData>
      <sheetData sheetId="2">
        <row r="3">
          <cell r="H3">
            <v>100</v>
          </cell>
        </row>
        <row r="4">
          <cell r="H4">
            <v>100</v>
          </cell>
        </row>
      </sheetData>
      <sheetData sheetId="3">
        <row r="24">
          <cell r="G24">
            <v>19224</v>
          </cell>
          <cell r="H24">
            <v>20881</v>
          </cell>
          <cell r="I24">
            <v>22030</v>
          </cell>
          <cell r="J24">
            <v>26693</v>
          </cell>
          <cell r="K24">
            <v>29534</v>
          </cell>
          <cell r="L24">
            <v>25256</v>
          </cell>
          <cell r="M24">
            <v>32825</v>
          </cell>
          <cell r="N24">
            <v>33591</v>
          </cell>
          <cell r="O24">
            <v>34363</v>
          </cell>
          <cell r="P24">
            <v>28330</v>
          </cell>
          <cell r="Q24">
            <v>28658</v>
          </cell>
          <cell r="R24">
            <v>28846</v>
          </cell>
          <cell r="S24">
            <v>29714</v>
          </cell>
          <cell r="T24">
            <v>28101</v>
          </cell>
          <cell r="U24">
            <v>25350</v>
          </cell>
          <cell r="V24">
            <v>26054</v>
          </cell>
          <cell r="W24">
            <v>30098</v>
          </cell>
          <cell r="X24">
            <v>34243</v>
          </cell>
          <cell r="Y24">
            <v>36326</v>
          </cell>
          <cell r="Z24">
            <v>40247</v>
          </cell>
          <cell r="AA24">
            <v>36985</v>
          </cell>
          <cell r="AB24">
            <v>30373</v>
          </cell>
          <cell r="AC24">
            <v>18826</v>
          </cell>
          <cell r="AD24">
            <v>13391</v>
          </cell>
          <cell r="AE24">
            <v>14886</v>
          </cell>
        </row>
        <row r="25">
          <cell r="G25">
            <v>14869.183557824352</v>
          </cell>
          <cell r="H25">
            <v>15220.21190520253</v>
          </cell>
          <cell r="I25">
            <v>18940.327900324999</v>
          </cell>
          <cell r="J25">
            <v>18837.087988326672</v>
          </cell>
          <cell r="K25">
            <v>17883.866659845167</v>
          </cell>
          <cell r="L25">
            <v>8123.2235993523336</v>
          </cell>
          <cell r="M25">
            <v>7903.1488702815295</v>
          </cell>
          <cell r="N25">
            <v>7592.1801314599406</v>
          </cell>
          <cell r="O25">
            <v>9401.6361134168346</v>
          </cell>
          <cell r="P25">
            <v>9701.2779324751245</v>
          </cell>
          <cell r="Q25">
            <v>11104.526723200062</v>
          </cell>
          <cell r="R25">
            <v>10897.632074550364</v>
          </cell>
          <cell r="S25">
            <v>12645.60766842474</v>
          </cell>
          <cell r="T25">
            <v>11965.262831791384</v>
          </cell>
          <cell r="U25">
            <v>10483.919915783859</v>
          </cell>
          <cell r="V25">
            <v>9971.9026959155963</v>
          </cell>
          <cell r="W25">
            <v>7253.9578552287549</v>
          </cell>
          <cell r="X25">
            <v>7119.6062546632547</v>
          </cell>
          <cell r="Y25">
            <v>7985.0504417912043</v>
          </cell>
          <cell r="Z25">
            <v>8677.2745487052198</v>
          </cell>
          <cell r="AA25">
            <v>9569.5883473366248</v>
          </cell>
          <cell r="AB25">
            <v>10771.842399662728</v>
          </cell>
          <cell r="AC25">
            <v>8763.9200796845034</v>
          </cell>
          <cell r="AD25">
            <v>2981.3702838569475</v>
          </cell>
          <cell r="AE25">
            <v>3522.5521445353306</v>
          </cell>
        </row>
        <row r="26">
          <cell r="G26">
            <v>968.81644217564758</v>
          </cell>
          <cell r="H26">
            <v>1167.7880947974693</v>
          </cell>
          <cell r="I26">
            <v>1180.6720996750003</v>
          </cell>
          <cell r="J26">
            <v>1129.91201167333</v>
          </cell>
          <cell r="K26">
            <v>657.13334015483224</v>
          </cell>
          <cell r="L26">
            <v>654.77640064766615</v>
          </cell>
          <cell r="M26">
            <v>652.8511297184707</v>
          </cell>
          <cell r="N26">
            <v>756.81986854005959</v>
          </cell>
          <cell r="O26">
            <v>787.36388658316514</v>
          </cell>
          <cell r="P26">
            <v>872.72206752487591</v>
          </cell>
          <cell r="Q26">
            <v>879.4732767999385</v>
          </cell>
          <cell r="R26">
            <v>984.36792544963578</v>
          </cell>
          <cell r="S26">
            <v>957.39233157526019</v>
          </cell>
          <cell r="T26">
            <v>887.73716820861637</v>
          </cell>
          <cell r="U26">
            <v>863.08008421613988</v>
          </cell>
          <cell r="V26">
            <v>722.09730408440362</v>
          </cell>
          <cell r="W26">
            <v>726.04214477124526</v>
          </cell>
          <cell r="X26">
            <v>786.3937453367455</v>
          </cell>
          <cell r="Y26">
            <v>838.94955820879602</v>
          </cell>
          <cell r="Z26">
            <v>904.72545129478021</v>
          </cell>
          <cell r="AA26">
            <v>978.41165266337521</v>
          </cell>
          <cell r="AB26">
            <v>852.15760033727156</v>
          </cell>
          <cell r="AC26">
            <v>520.07992031549577</v>
          </cell>
          <cell r="AD26">
            <v>564.62971614305252</v>
          </cell>
          <cell r="AE26">
            <v>705.44785546466926</v>
          </cell>
        </row>
        <row r="27">
          <cell r="G27">
            <v>4550</v>
          </cell>
          <cell r="H27">
            <v>3873</v>
          </cell>
          <cell r="I27">
            <v>4184</v>
          </cell>
          <cell r="J27">
            <v>4397</v>
          </cell>
          <cell r="K27">
            <v>5645</v>
          </cell>
          <cell r="L27">
            <v>5353</v>
          </cell>
          <cell r="M27">
            <v>5964</v>
          </cell>
          <cell r="N27">
            <v>6849</v>
          </cell>
          <cell r="O27">
            <v>7332</v>
          </cell>
          <cell r="P27">
            <v>7252</v>
          </cell>
          <cell r="Q27">
            <v>6257</v>
          </cell>
          <cell r="R27">
            <v>6419</v>
          </cell>
          <cell r="S27">
            <v>6874</v>
          </cell>
          <cell r="T27">
            <v>5339</v>
          </cell>
          <cell r="U27">
            <v>3853</v>
          </cell>
          <cell r="V27">
            <v>2971</v>
          </cell>
          <cell r="W27">
            <v>2933</v>
          </cell>
          <cell r="X27">
            <v>2868</v>
          </cell>
          <cell r="Y27">
            <v>2705</v>
          </cell>
          <cell r="Z27">
            <v>2723</v>
          </cell>
          <cell r="AA27">
            <v>2653</v>
          </cell>
          <cell r="AB27">
            <v>2063</v>
          </cell>
          <cell r="AC27">
            <v>1621</v>
          </cell>
          <cell r="AD27">
            <v>859</v>
          </cell>
          <cell r="AE27">
            <v>681</v>
          </cell>
        </row>
        <row r="34">
          <cell r="G34">
            <v>2868</v>
          </cell>
          <cell r="H34">
            <v>2692</v>
          </cell>
          <cell r="I34">
            <v>2813</v>
          </cell>
          <cell r="J34">
            <v>3536</v>
          </cell>
          <cell r="K34">
            <v>4754</v>
          </cell>
          <cell r="L34">
            <v>5803</v>
          </cell>
          <cell r="M34">
            <v>8453</v>
          </cell>
          <cell r="N34">
            <v>9522</v>
          </cell>
          <cell r="O34">
            <v>10120</v>
          </cell>
          <cell r="P34">
            <v>8784</v>
          </cell>
          <cell r="Q34">
            <v>9538</v>
          </cell>
          <cell r="R34">
            <v>9107</v>
          </cell>
          <cell r="S34">
            <v>10575</v>
          </cell>
          <cell r="T34">
            <v>10544</v>
          </cell>
          <cell r="U34">
            <v>9631</v>
          </cell>
          <cell r="V34">
            <v>9441</v>
          </cell>
          <cell r="W34">
            <v>10730</v>
          </cell>
          <cell r="X34">
            <v>12976</v>
          </cell>
          <cell r="Y34">
            <v>15094</v>
          </cell>
          <cell r="Z34">
            <v>18771</v>
          </cell>
          <cell r="AA34">
            <v>15444</v>
          </cell>
          <cell r="AB34">
            <v>9693</v>
          </cell>
          <cell r="AC34">
            <v>6027</v>
          </cell>
          <cell r="AD34">
            <v>4336</v>
          </cell>
          <cell r="AE34">
            <v>3706</v>
          </cell>
        </row>
        <row r="35">
          <cell r="G35">
            <v>848.82991832591654</v>
          </cell>
          <cell r="H35">
            <v>518.17882714524762</v>
          </cell>
          <cell r="I35">
            <v>288.37484437276629</v>
          </cell>
          <cell r="J35">
            <v>818.68632809921849</v>
          </cell>
          <cell r="K35">
            <v>922.54881309467987</v>
          </cell>
          <cell r="L35">
            <v>713.12107820425172</v>
          </cell>
          <cell r="M35">
            <v>1322.6430437243826</v>
          </cell>
          <cell r="N35">
            <v>1874.8440142054371</v>
          </cell>
          <cell r="O35">
            <v>2484.0690897878753</v>
          </cell>
          <cell r="P35">
            <v>1754.5624245646084</v>
          </cell>
          <cell r="Q35">
            <v>1502.6818009503679</v>
          </cell>
          <cell r="R35">
            <v>1099.0598706051132</v>
          </cell>
          <cell r="S35">
            <v>998.51700550573537</v>
          </cell>
          <cell r="T35">
            <v>1279.6542411025091</v>
          </cell>
          <cell r="U35">
            <v>931.97705912690287</v>
          </cell>
          <cell r="V35">
            <v>1416.4873706075907</v>
          </cell>
          <cell r="W35">
            <v>1622.1096316302473</v>
          </cell>
          <cell r="X35">
            <v>1725.2037386728252</v>
          </cell>
          <cell r="Y35">
            <v>1627.7922787378966</v>
          </cell>
          <cell r="Z35">
            <v>1461.0310065714518</v>
          </cell>
          <cell r="AA35">
            <v>1503.1641209172849</v>
          </cell>
          <cell r="AB35">
            <v>1434.6085653222435</v>
          </cell>
          <cell r="AC35">
            <v>616.53672479350837</v>
          </cell>
          <cell r="AD35">
            <v>410.6655928821981</v>
          </cell>
          <cell r="AE35">
            <v>283.5340494616637</v>
          </cell>
        </row>
        <row r="36">
          <cell r="G36">
            <v>45.170081674083427</v>
          </cell>
          <cell r="H36">
            <v>35.82117285475239</v>
          </cell>
          <cell r="I36">
            <v>62.625155627233696</v>
          </cell>
          <cell r="J36">
            <v>68.313671900781529</v>
          </cell>
          <cell r="K36">
            <v>60.451186905320142</v>
          </cell>
          <cell r="L36">
            <v>93.878921795748312</v>
          </cell>
          <cell r="M36">
            <v>125.35695627561738</v>
          </cell>
          <cell r="N36">
            <v>157.15598579456281</v>
          </cell>
          <cell r="O36">
            <v>120.93091021212476</v>
          </cell>
          <cell r="P36">
            <v>108.43757543539168</v>
          </cell>
          <cell r="Q36">
            <v>88.318199049632</v>
          </cell>
          <cell r="R36">
            <v>84.940129394886824</v>
          </cell>
          <cell r="S36">
            <v>100.48299449426467</v>
          </cell>
          <cell r="T36">
            <v>84.345758897490967</v>
          </cell>
          <cell r="U36">
            <v>113.02294087309717</v>
          </cell>
          <cell r="V36">
            <v>126.51262939240925</v>
          </cell>
          <cell r="W36">
            <v>133.89036836975254</v>
          </cell>
          <cell r="X36">
            <v>129.79626132717482</v>
          </cell>
          <cell r="Y36">
            <v>122.20772126210333</v>
          </cell>
          <cell r="Z36">
            <v>125.96899342854817</v>
          </cell>
          <cell r="AA36">
            <v>120.8358790827151</v>
          </cell>
          <cell r="AB36">
            <v>73.391434677756436</v>
          </cell>
          <cell r="AC36">
            <v>61.463275206491645</v>
          </cell>
          <cell r="AD36">
            <v>55.334407117801909</v>
          </cell>
          <cell r="AE36">
            <v>72.465950538336273</v>
          </cell>
        </row>
        <row r="37">
          <cell r="G37">
            <v>838</v>
          </cell>
          <cell r="H37">
            <v>605</v>
          </cell>
          <cell r="I37">
            <v>572</v>
          </cell>
          <cell r="J37">
            <v>703</v>
          </cell>
          <cell r="K37">
            <v>820</v>
          </cell>
          <cell r="L37">
            <v>1089</v>
          </cell>
          <cell r="M37">
            <v>1696</v>
          </cell>
          <cell r="N37">
            <v>2779</v>
          </cell>
          <cell r="O37">
            <v>3712</v>
          </cell>
          <cell r="P37">
            <v>3167</v>
          </cell>
          <cell r="Q37">
            <v>2635</v>
          </cell>
          <cell r="R37">
            <v>2634</v>
          </cell>
          <cell r="S37">
            <v>2980</v>
          </cell>
          <cell r="T37">
            <v>2343</v>
          </cell>
          <cell r="U37">
            <v>1317</v>
          </cell>
          <cell r="V37">
            <v>998</v>
          </cell>
          <cell r="W37">
            <v>1042</v>
          </cell>
          <cell r="X37">
            <v>785</v>
          </cell>
          <cell r="Y37">
            <v>765</v>
          </cell>
          <cell r="Z37">
            <v>798</v>
          </cell>
          <cell r="AA37">
            <v>849</v>
          </cell>
          <cell r="AB37">
            <v>721</v>
          </cell>
          <cell r="AC37">
            <v>526</v>
          </cell>
          <cell r="AD37">
            <v>273</v>
          </cell>
          <cell r="AE37">
            <v>283</v>
          </cell>
        </row>
        <row r="44">
          <cell r="G44">
            <v>972.4</v>
          </cell>
          <cell r="H44">
            <v>825.5</v>
          </cell>
          <cell r="I44">
            <v>730.6</v>
          </cell>
          <cell r="J44">
            <v>696.80000000000007</v>
          </cell>
          <cell r="K44">
            <v>925.6</v>
          </cell>
          <cell r="L44">
            <v>1349.4</v>
          </cell>
          <cell r="M44">
            <v>2454.4</v>
          </cell>
          <cell r="N44">
            <v>2601.3000000000002</v>
          </cell>
          <cell r="O44">
            <v>2906.8</v>
          </cell>
          <cell r="P44">
            <v>2382.9</v>
          </cell>
          <cell r="Q44">
            <v>2070.9</v>
          </cell>
          <cell r="R44">
            <v>1963</v>
          </cell>
          <cell r="S44">
            <v>1986.4</v>
          </cell>
          <cell r="T44">
            <v>2096.9</v>
          </cell>
          <cell r="U44">
            <v>2020.2</v>
          </cell>
          <cell r="V44">
            <v>2246.4</v>
          </cell>
          <cell r="W44">
            <v>2694.9</v>
          </cell>
          <cell r="X44">
            <v>3138.2000000000003</v>
          </cell>
          <cell r="Y44">
            <v>4468.1000000000004</v>
          </cell>
          <cell r="Z44">
            <v>4390.1000000000004</v>
          </cell>
          <cell r="AA44">
            <v>4347.2</v>
          </cell>
          <cell r="AB44">
            <v>3862.3</v>
          </cell>
          <cell r="AC44">
            <v>2616.9</v>
          </cell>
          <cell r="AD44">
            <v>1831.7</v>
          </cell>
          <cell r="AE44">
            <v>1666.6000000000001</v>
          </cell>
        </row>
        <row r="45">
          <cell r="G45">
            <v>474.93825094095956</v>
          </cell>
          <cell r="H45">
            <v>125.55342428746027</v>
          </cell>
          <cell r="I45">
            <v>239.38975865025668</v>
          </cell>
          <cell r="J45">
            <v>86.494038342320181</v>
          </cell>
          <cell r="K45">
            <v>253.07778115310504</v>
          </cell>
          <cell r="L45">
            <v>443.40968982992769</v>
          </cell>
          <cell r="M45">
            <v>238.40668933003624</v>
          </cell>
          <cell r="N45">
            <v>450.83862929341456</v>
          </cell>
          <cell r="O45">
            <v>732.37259269994001</v>
          </cell>
          <cell r="P45">
            <v>865.92745922778568</v>
          </cell>
          <cell r="Q45">
            <v>1098.5131099856153</v>
          </cell>
          <cell r="R45">
            <v>785.96545249482699</v>
          </cell>
          <cell r="S45">
            <v>745.40877474760293</v>
          </cell>
          <cell r="T45">
            <v>685.7461288484983</v>
          </cell>
          <cell r="U45">
            <v>667.72203160881213</v>
          </cell>
          <cell r="V45">
            <v>593.63332238391354</v>
          </cell>
          <cell r="W45">
            <v>1035.9518784735571</v>
          </cell>
          <cell r="X45">
            <v>903.3500469773611</v>
          </cell>
          <cell r="Y45">
            <v>893.8619142539435</v>
          </cell>
          <cell r="Z45">
            <v>928.12087639779793</v>
          </cell>
          <cell r="AA45">
            <v>772.11945727824411</v>
          </cell>
          <cell r="AB45">
            <v>709.88601514140555</v>
          </cell>
          <cell r="AC45">
            <v>356.68663359518177</v>
          </cell>
          <cell r="AD45">
            <v>136.66696241508441</v>
          </cell>
          <cell r="AE45">
            <v>367.84636582419688</v>
          </cell>
        </row>
        <row r="46">
          <cell r="G46">
            <v>26.061749059040462</v>
          </cell>
          <cell r="H46">
            <v>31.446575712539726</v>
          </cell>
          <cell r="I46">
            <v>24.610241349743323</v>
          </cell>
          <cell r="J46">
            <v>33.505961657679826</v>
          </cell>
          <cell r="K46">
            <v>42.922218846894957</v>
          </cell>
          <cell r="L46">
            <v>33.5903101700723</v>
          </cell>
          <cell r="M46">
            <v>45.593310669963749</v>
          </cell>
          <cell r="N46">
            <v>61.161370706585451</v>
          </cell>
          <cell r="O46">
            <v>69.627407300060014</v>
          </cell>
          <cell r="P46">
            <v>82.072540772214268</v>
          </cell>
          <cell r="Q46">
            <v>66.486890014384684</v>
          </cell>
          <cell r="R46">
            <v>65.034547505173009</v>
          </cell>
          <cell r="S46">
            <v>62.591225252397024</v>
          </cell>
          <cell r="T46">
            <v>62.253871151501713</v>
          </cell>
          <cell r="U46">
            <v>60.277968391187819</v>
          </cell>
          <cell r="V46">
            <v>85.366677616086406</v>
          </cell>
          <cell r="W46">
            <v>79.048121526442912</v>
          </cell>
          <cell r="X46">
            <v>79.649953022638883</v>
          </cell>
          <cell r="Y46">
            <v>82.138085746056518</v>
          </cell>
          <cell r="Z46">
            <v>73.879123602202057</v>
          </cell>
          <cell r="AA46">
            <v>69.880542721755916</v>
          </cell>
          <cell r="AB46">
            <v>49.113984858594421</v>
          </cell>
          <cell r="AC46">
            <v>37.313366404818197</v>
          </cell>
          <cell r="AD46">
            <v>52.333037584915587</v>
          </cell>
          <cell r="AE46">
            <v>68.15363417580312</v>
          </cell>
        </row>
        <row r="47">
          <cell r="G47">
            <v>667</v>
          </cell>
          <cell r="H47">
            <v>514</v>
          </cell>
          <cell r="I47">
            <v>441</v>
          </cell>
          <cell r="J47">
            <v>480</v>
          </cell>
          <cell r="K47">
            <v>505</v>
          </cell>
          <cell r="L47">
            <v>653</v>
          </cell>
          <cell r="M47">
            <v>1021</v>
          </cell>
          <cell r="N47">
            <v>1453</v>
          </cell>
          <cell r="O47">
            <v>1871</v>
          </cell>
          <cell r="P47">
            <v>1772</v>
          </cell>
          <cell r="Q47">
            <v>1749</v>
          </cell>
          <cell r="R47">
            <v>1681</v>
          </cell>
          <cell r="S47">
            <v>1919</v>
          </cell>
          <cell r="T47">
            <v>1736</v>
          </cell>
          <cell r="U47">
            <v>1195</v>
          </cell>
          <cell r="V47">
            <v>922</v>
          </cell>
          <cell r="W47">
            <v>972</v>
          </cell>
          <cell r="X47">
            <v>827</v>
          </cell>
          <cell r="Y47">
            <v>697</v>
          </cell>
          <cell r="Z47">
            <v>641</v>
          </cell>
          <cell r="AA47">
            <v>611</v>
          </cell>
          <cell r="AB47">
            <v>593</v>
          </cell>
          <cell r="AC47">
            <v>437</v>
          </cell>
          <cell r="AD47">
            <v>290</v>
          </cell>
          <cell r="AE47">
            <v>325</v>
          </cell>
        </row>
        <row r="54">
          <cell r="G54">
            <v>29614.268</v>
          </cell>
          <cell r="H54">
            <v>32248.535</v>
          </cell>
          <cell r="I54">
            <v>34559.441999999995</v>
          </cell>
          <cell r="J54">
            <v>42040.175999999999</v>
          </cell>
          <cell r="K54">
            <v>48415.591999999997</v>
          </cell>
          <cell r="L54">
            <v>44234.157999999996</v>
          </cell>
          <cell r="M54">
            <v>57584.008000000002</v>
          </cell>
          <cell r="N54">
            <v>61360.741000000002</v>
          </cell>
          <cell r="O54">
            <v>63637.876000000004</v>
          </cell>
          <cell r="P54">
            <v>54867.252999999997</v>
          </cell>
          <cell r="Q54">
            <v>57384.413</v>
          </cell>
          <cell r="R54">
            <v>56006.91</v>
          </cell>
          <cell r="S54">
            <v>58939.248</v>
          </cell>
          <cell r="T54">
            <v>56527.233</v>
          </cell>
          <cell r="U54">
            <v>51608.513999999996</v>
          </cell>
          <cell r="V54">
            <v>52738.448000000004</v>
          </cell>
          <cell r="W54">
            <v>59782.093000000001</v>
          </cell>
          <cell r="X54">
            <v>67688.774000000005</v>
          </cell>
          <cell r="Y54">
            <v>74522.816999999995</v>
          </cell>
          <cell r="Z54">
            <v>84872.357000000004</v>
          </cell>
          <cell r="AA54">
            <v>75289.903999999995</v>
          </cell>
          <cell r="AB54">
            <v>57664.510999999999</v>
          </cell>
          <cell r="AC54">
            <v>34509.633000000002</v>
          </cell>
          <cell r="AD54">
            <v>24099.069</v>
          </cell>
          <cell r="AE54">
            <v>24846.962</v>
          </cell>
        </row>
        <row r="55">
          <cell r="G55">
            <v>18929.763197074921</v>
          </cell>
          <cell r="H55">
            <v>19012.285997102455</v>
          </cell>
          <cell r="I55">
            <v>22080.05399967837</v>
          </cell>
          <cell r="J55">
            <v>28601.778161129085</v>
          </cell>
          <cell r="K55">
            <v>27202.893689869059</v>
          </cell>
          <cell r="L55">
            <v>12390.210937882894</v>
          </cell>
          <cell r="M55">
            <v>12173.152842775997</v>
          </cell>
          <cell r="N55">
            <v>12361.89700061282</v>
          </cell>
          <cell r="O55">
            <v>17122.743158401601</v>
          </cell>
          <cell r="P55">
            <v>18662.733640245107</v>
          </cell>
          <cell r="Q55">
            <v>21954.730458996564</v>
          </cell>
          <cell r="R55">
            <v>20000.57314201623</v>
          </cell>
          <cell r="S55">
            <v>20642.129902132976</v>
          </cell>
          <cell r="T55">
            <v>18328.494801049026</v>
          </cell>
          <cell r="U55">
            <v>14151.270582179823</v>
          </cell>
          <cell r="V55">
            <v>14626.267683576692</v>
          </cell>
          <cell r="W55">
            <v>12028.647109827845</v>
          </cell>
          <cell r="X55">
            <v>13046.576324182057</v>
          </cell>
          <cell r="Y55">
            <v>13957.232094298251</v>
          </cell>
          <cell r="Z55">
            <v>13931.004497270837</v>
          </cell>
          <cell r="AA55">
            <v>15900.995334173014</v>
          </cell>
          <cell r="AB55">
            <v>15570.247880584542</v>
          </cell>
          <cell r="AC55">
            <v>11944.723214001346</v>
          </cell>
          <cell r="AD55">
            <v>4141.9202192737603</v>
          </cell>
          <cell r="AE55">
            <v>4082.3550519108021</v>
          </cell>
        </row>
        <row r="56">
          <cell r="G56">
            <v>1541.8068029250769</v>
          </cell>
          <cell r="H56">
            <v>1789.2040028975434</v>
          </cell>
          <cell r="I56">
            <v>2697.4260003216259</v>
          </cell>
          <cell r="J56">
            <v>2452.6218388709185</v>
          </cell>
          <cell r="K56">
            <v>1250.8263101309403</v>
          </cell>
          <cell r="L56">
            <v>1272.6790621171076</v>
          </cell>
          <cell r="M56">
            <v>1783.7271572240043</v>
          </cell>
          <cell r="N56">
            <v>2321.94299938718</v>
          </cell>
          <cell r="O56">
            <v>2678.3968415983995</v>
          </cell>
          <cell r="P56">
            <v>3071.6263597548932</v>
          </cell>
          <cell r="Q56">
            <v>2881.3195410034377</v>
          </cell>
          <cell r="R56">
            <v>2811.4968579837696</v>
          </cell>
          <cell r="S56">
            <v>2476.4300978670262</v>
          </cell>
          <cell r="T56">
            <v>2052.8651989509744</v>
          </cell>
          <cell r="U56">
            <v>2155.6894178201746</v>
          </cell>
          <cell r="V56">
            <v>2035.7623164233073</v>
          </cell>
          <cell r="W56">
            <v>2249.9028901721549</v>
          </cell>
          <cell r="X56">
            <v>2341.7336758179449</v>
          </cell>
          <cell r="Y56">
            <v>2340.0879057017487</v>
          </cell>
          <cell r="Z56">
            <v>2581.1355027291629</v>
          </cell>
          <cell r="AA56">
            <v>2450.9446658269858</v>
          </cell>
          <cell r="AB56">
            <v>2125.3821194154557</v>
          </cell>
          <cell r="AC56">
            <v>1478.8567859986533</v>
          </cell>
          <cell r="AD56">
            <v>1471.80978072624</v>
          </cell>
          <cell r="AE56">
            <v>1909.1649480891979</v>
          </cell>
        </row>
        <row r="57">
          <cell r="G57">
            <v>8065.1900000000005</v>
          </cell>
          <cell r="H57">
            <v>7680.98</v>
          </cell>
          <cell r="I57">
            <v>8859.369999999999</v>
          </cell>
          <cell r="J57">
            <v>9760.6</v>
          </cell>
          <cell r="K57">
            <v>11657.85</v>
          </cell>
          <cell r="L57">
            <v>11534.21</v>
          </cell>
          <cell r="M57">
            <v>13344.97</v>
          </cell>
          <cell r="N57">
            <v>16910.21</v>
          </cell>
          <cell r="O57">
            <v>19707.47</v>
          </cell>
          <cell r="P57">
            <v>18879.04</v>
          </cell>
          <cell r="Q57">
            <v>16372.93</v>
          </cell>
          <cell r="R57">
            <v>16578.169999999998</v>
          </cell>
          <cell r="S57">
            <v>17170.830000000002</v>
          </cell>
          <cell r="T57">
            <v>13873.52</v>
          </cell>
          <cell r="U57">
            <v>9050.15</v>
          </cell>
          <cell r="V57">
            <v>6886.54</v>
          </cell>
          <cell r="W57">
            <v>7046.04</v>
          </cell>
          <cell r="X57">
            <v>6539.3899999999994</v>
          </cell>
          <cell r="Y57">
            <v>6359.29</v>
          </cell>
          <cell r="Z57">
            <v>6381.37</v>
          </cell>
          <cell r="AA57">
            <v>6080.27</v>
          </cell>
          <cell r="AB57">
            <v>4894.01</v>
          </cell>
          <cell r="AC57">
            <v>3674.09</v>
          </cell>
          <cell r="AD57">
            <v>2014.3</v>
          </cell>
          <cell r="AE57">
            <v>1796.25</v>
          </cell>
        </row>
      </sheetData>
      <sheetData sheetId="4">
        <row r="14">
          <cell r="C14" t="str">
            <v>OR_Single Family</v>
          </cell>
          <cell r="D14" t="str">
            <v>Single Family</v>
          </cell>
          <cell r="E14" t="str">
            <v>New</v>
          </cell>
          <cell r="F14">
            <v>6704</v>
          </cell>
          <cell r="G14">
            <v>6968</v>
          </cell>
          <cell r="H14">
            <v>8205</v>
          </cell>
          <cell r="I14">
            <v>9300</v>
          </cell>
          <cell r="J14">
            <v>11414</v>
          </cell>
          <cell r="K14">
            <v>13600</v>
          </cell>
          <cell r="L14">
            <v>12406</v>
          </cell>
          <cell r="M14">
            <v>14907</v>
          </cell>
          <cell r="N14">
            <v>16765</v>
          </cell>
          <cell r="O14">
            <v>17498</v>
          </cell>
          <cell r="P14">
            <v>16395</v>
          </cell>
          <cell r="Q14">
            <v>18008</v>
          </cell>
          <cell r="R14">
            <v>16935</v>
          </cell>
          <cell r="S14">
            <v>17518</v>
          </cell>
          <cell r="T14">
            <v>16687</v>
          </cell>
          <cell r="U14">
            <v>15476</v>
          </cell>
          <cell r="V14">
            <v>15963</v>
          </cell>
          <cell r="W14">
            <v>17418</v>
          </cell>
          <cell r="X14">
            <v>18681</v>
          </cell>
          <cell r="Y14">
            <v>20556</v>
          </cell>
          <cell r="Z14">
            <v>23352</v>
          </cell>
          <cell r="AA14">
            <v>20383</v>
          </cell>
          <cell r="AB14">
            <v>15397</v>
          </cell>
          <cell r="AC14">
            <v>8164.9999999999991</v>
          </cell>
          <cell r="AD14">
            <v>5328</v>
          </cell>
          <cell r="AE14">
            <v>5305</v>
          </cell>
          <cell r="AF14">
            <v>5050</v>
          </cell>
          <cell r="AG14">
            <v>6513</v>
          </cell>
          <cell r="AH14">
            <v>8720</v>
          </cell>
          <cell r="AI14">
            <v>11272</v>
          </cell>
          <cell r="AJ14">
            <v>15952</v>
          </cell>
          <cell r="AK14">
            <v>17272</v>
          </cell>
          <cell r="AL14">
            <v>16727</v>
          </cell>
          <cell r="AM14">
            <v>16202.000000000002</v>
          </cell>
          <cell r="AN14">
            <v>15889</v>
          </cell>
          <cell r="AO14">
            <v>15686</v>
          </cell>
          <cell r="AP14">
            <v>15088</v>
          </cell>
          <cell r="AQ14">
            <v>14772</v>
          </cell>
          <cell r="AR14">
            <v>14734</v>
          </cell>
          <cell r="AS14">
            <v>14757</v>
          </cell>
          <cell r="AT14">
            <v>15342</v>
          </cell>
          <cell r="AU14">
            <v>15526</v>
          </cell>
          <cell r="AV14">
            <v>15254</v>
          </cell>
          <cell r="AW14">
            <v>14608</v>
          </cell>
          <cell r="AX14">
            <v>14523</v>
          </cell>
          <cell r="AY14">
            <v>14775</v>
          </cell>
          <cell r="AZ14">
            <v>14714</v>
          </cell>
          <cell r="BA14">
            <v>14158</v>
          </cell>
          <cell r="BB14">
            <v>14093</v>
          </cell>
          <cell r="BC14">
            <v>14173</v>
          </cell>
          <cell r="BD14">
            <v>14330</v>
          </cell>
        </row>
        <row r="15">
          <cell r="C15" t="str">
            <v>OR_Multi Family</v>
          </cell>
          <cell r="D15" t="str">
            <v>Multifamily - Low Rise</v>
          </cell>
          <cell r="E15" t="str">
            <v>New</v>
          </cell>
          <cell r="F15">
            <v>3772.8448706752683</v>
          </cell>
          <cell r="G15">
            <v>2941.0349178883071</v>
          </cell>
          <cell r="H15">
            <v>3202.3298129108261</v>
          </cell>
          <cell r="I15">
            <v>2714.899092549962</v>
          </cell>
          <cell r="J15">
            <v>8896.7022428480705</v>
          </cell>
          <cell r="K15">
            <v>8252.2238816719419</v>
          </cell>
          <cell r="L15">
            <v>3301.122737123248</v>
          </cell>
          <cell r="M15">
            <v>2811.4691158519631</v>
          </cell>
          <cell r="N15">
            <v>2637.894836250196</v>
          </cell>
          <cell r="O15">
            <v>4819.5855773579242</v>
          </cell>
          <cell r="P15">
            <v>6713.3146314455371</v>
          </cell>
          <cell r="Q15">
            <v>8721.3694621543327</v>
          </cell>
          <cell r="R15">
            <v>7555.8808889387019</v>
          </cell>
          <cell r="S15">
            <v>6573.1222265963652</v>
          </cell>
          <cell r="T15">
            <v>4692.7024347114893</v>
          </cell>
          <cell r="U15">
            <v>2354.7720492520393</v>
          </cell>
          <cell r="V15">
            <v>2899.5066232946756</v>
          </cell>
          <cell r="W15">
            <v>2562.0870522389155</v>
          </cell>
          <cell r="X15">
            <v>3686.8568040688797</v>
          </cell>
          <cell r="Y15">
            <v>3834.8880826444029</v>
          </cell>
          <cell r="Z15">
            <v>3263.6700424474207</v>
          </cell>
          <cell r="AA15">
            <v>4388.1347752705051</v>
          </cell>
          <cell r="AB15">
            <v>2959.161886968971</v>
          </cell>
          <cell r="AC15">
            <v>2360.9550283740805</v>
          </cell>
          <cell r="AD15">
            <v>671.9841739580163</v>
          </cell>
          <cell r="AE15">
            <v>66.596429394015331</v>
          </cell>
          <cell r="AF15">
            <v>949.87426015052506</v>
          </cell>
          <cell r="AG15">
            <v>2297.5049440684579</v>
          </cell>
          <cell r="AH15">
            <v>4512.1309043270476</v>
          </cell>
          <cell r="AI15">
            <v>4834.4211617459714</v>
          </cell>
          <cell r="AJ15">
            <v>6816.6588407441923</v>
          </cell>
          <cell r="AK15">
            <v>7232.862016530873</v>
          </cell>
          <cell r="AL15">
            <v>7009.2519401018944</v>
          </cell>
          <cell r="AM15">
            <v>7026.167603814305</v>
          </cell>
          <cell r="AN15">
            <v>7441.1769135052737</v>
          </cell>
          <cell r="AO15">
            <v>7431.377897912399</v>
          </cell>
          <cell r="AP15">
            <v>6971.963329889757</v>
          </cell>
          <cell r="AQ15">
            <v>6761.3209416287918</v>
          </cell>
          <cell r="AR15">
            <v>6554.7240085809162</v>
          </cell>
          <cell r="AS15">
            <v>6621.6730773670097</v>
          </cell>
          <cell r="AT15">
            <v>6557.8368230103088</v>
          </cell>
          <cell r="AU15">
            <v>6522.0493084879608</v>
          </cell>
          <cell r="AV15">
            <v>6282.365298704045</v>
          </cell>
          <cell r="AW15">
            <v>6009.1462390877323</v>
          </cell>
          <cell r="AX15">
            <v>5504.874605946914</v>
          </cell>
          <cell r="AY15">
            <v>5132.8554374960586</v>
          </cell>
          <cell r="AZ15">
            <v>4866.3598178070824</v>
          </cell>
          <cell r="BA15">
            <v>4605.8340776656614</v>
          </cell>
          <cell r="BB15">
            <v>4391.1894980251245</v>
          </cell>
          <cell r="BC15">
            <v>3931.255214930798</v>
          </cell>
          <cell r="BD15">
            <v>3779.4583907174715</v>
          </cell>
        </row>
        <row r="16">
          <cell r="C16" t="str">
            <v>OR</v>
          </cell>
          <cell r="D16" t="str">
            <v>Multifamily - High Rise</v>
          </cell>
          <cell r="E16" t="str">
            <v>New</v>
          </cell>
          <cell r="F16">
            <v>468.15512932473166</v>
          </cell>
          <cell r="G16">
            <v>512.96508211169294</v>
          </cell>
          <cell r="H16">
            <v>567.67018708917408</v>
          </cell>
          <cell r="I16">
            <v>1440.100907450038</v>
          </cell>
          <cell r="J16">
            <v>1235.2977571519298</v>
          </cell>
          <cell r="K16">
            <v>508.77611832805769</v>
          </cell>
          <cell r="L16">
            <v>504.87726287675196</v>
          </cell>
          <cell r="M16">
            <v>979.53088414803699</v>
          </cell>
          <cell r="N16">
            <v>1373.1051637498038</v>
          </cell>
          <cell r="O16">
            <v>1730.4144226420756</v>
          </cell>
          <cell r="P16">
            <v>2043.6853685544634</v>
          </cell>
          <cell r="Q16">
            <v>1875.6305378456677</v>
          </cell>
          <cell r="R16">
            <v>1705.1191110612986</v>
          </cell>
          <cell r="S16">
            <v>1382.877773403635</v>
          </cell>
          <cell r="T16">
            <v>1045.2975652885109</v>
          </cell>
          <cell r="U16">
            <v>1145.2279507479607</v>
          </cell>
          <cell r="V16">
            <v>1138.4933767053251</v>
          </cell>
          <cell r="W16">
            <v>1344.9129477610845</v>
          </cell>
          <cell r="X16">
            <v>1380.1431959311205</v>
          </cell>
          <cell r="Y16">
            <v>1332.1119173555971</v>
          </cell>
          <cell r="Z16">
            <v>1508.3299575525793</v>
          </cell>
          <cell r="AA16">
            <v>1311.8652247294947</v>
          </cell>
          <cell r="AB16">
            <v>1171.838113031029</v>
          </cell>
          <cell r="AC16">
            <v>876.04497162591952</v>
          </cell>
          <cell r="AD16">
            <v>822.0158260419837</v>
          </cell>
          <cell r="AE16">
            <v>1092.4035706059847</v>
          </cell>
          <cell r="AF16">
            <v>1676.1257398494749</v>
          </cell>
          <cell r="AG16">
            <v>1050.4950559315419</v>
          </cell>
          <cell r="AH16">
            <v>1179.8690956729522</v>
          </cell>
          <cell r="AI16">
            <v>1558.5788382540286</v>
          </cell>
          <cell r="AJ16">
            <v>1628.3411592558075</v>
          </cell>
          <cell r="AK16">
            <v>1590.137983469127</v>
          </cell>
          <cell r="AL16">
            <v>1606.7480598981056</v>
          </cell>
          <cell r="AM16">
            <v>1679.8323961856952</v>
          </cell>
          <cell r="AN16">
            <v>1660.8230864947266</v>
          </cell>
          <cell r="AO16">
            <v>1567.6221020876008</v>
          </cell>
          <cell r="AP16">
            <v>1522.0366701102428</v>
          </cell>
          <cell r="AQ16">
            <v>1485.6790583712077</v>
          </cell>
          <cell r="AR16">
            <v>1495.2759914190849</v>
          </cell>
          <cell r="AS16">
            <v>1480.3269226329903</v>
          </cell>
          <cell r="AT16">
            <v>1463.1631769896919</v>
          </cell>
          <cell r="AU16">
            <v>1405.9506915120394</v>
          </cell>
          <cell r="AV16">
            <v>1335.6347012959552</v>
          </cell>
          <cell r="AW16">
            <v>1227.8537609122679</v>
          </cell>
          <cell r="AX16">
            <v>1148.1253940530855</v>
          </cell>
          <cell r="AY16">
            <v>1088.1445625039419</v>
          </cell>
          <cell r="AZ16">
            <v>1029.6401821929173</v>
          </cell>
          <cell r="BA16">
            <v>973.16592233433857</v>
          </cell>
          <cell r="BB16">
            <v>881.81050197487571</v>
          </cell>
          <cell r="BC16">
            <v>846.74478506920184</v>
          </cell>
          <cell r="BD16">
            <v>808.54160928252838</v>
          </cell>
        </row>
        <row r="17">
          <cell r="C17" t="str">
            <v>OR_Other Family</v>
          </cell>
          <cell r="D17" t="str">
            <v>Manufactured</v>
          </cell>
          <cell r="E17" t="str">
            <v>New</v>
          </cell>
          <cell r="F17">
            <v>2370</v>
          </cell>
          <cell r="G17">
            <v>2297</v>
          </cell>
          <cell r="H17">
            <v>2910</v>
          </cell>
          <cell r="I17">
            <v>3852</v>
          </cell>
          <cell r="J17">
            <v>4387</v>
          </cell>
          <cell r="K17">
            <v>4905</v>
          </cell>
          <cell r="L17">
            <v>4720</v>
          </cell>
          <cell r="M17">
            <v>5103</v>
          </cell>
          <cell r="N17">
            <v>6454</v>
          </cell>
          <cell r="O17">
            <v>7597</v>
          </cell>
          <cell r="P17">
            <v>7450</v>
          </cell>
          <cell r="Q17">
            <v>6484</v>
          </cell>
          <cell r="R17">
            <v>6567</v>
          </cell>
          <cell r="S17">
            <v>6223</v>
          </cell>
          <cell r="T17">
            <v>5202</v>
          </cell>
          <cell r="U17">
            <v>3199</v>
          </cell>
          <cell r="V17">
            <v>2392</v>
          </cell>
          <cell r="W17">
            <v>2517</v>
          </cell>
          <cell r="X17">
            <v>2415</v>
          </cell>
          <cell r="Y17">
            <v>2492</v>
          </cell>
          <cell r="Z17">
            <v>2495</v>
          </cell>
          <cell r="AA17">
            <v>2230</v>
          </cell>
          <cell r="AB17">
            <v>1772</v>
          </cell>
          <cell r="AC17">
            <v>1278</v>
          </cell>
          <cell r="AD17">
            <v>717</v>
          </cell>
          <cell r="AE17">
            <v>647</v>
          </cell>
          <cell r="AF17">
            <v>445</v>
          </cell>
          <cell r="AG17">
            <v>473</v>
          </cell>
          <cell r="AH17">
            <v>888.66666666666663</v>
          </cell>
          <cell r="AI17">
            <v>741.44444444444446</v>
          </cell>
          <cell r="AJ17">
            <v>652.01851851851848</v>
          </cell>
          <cell r="AK17">
            <v>641.18827160493822</v>
          </cell>
          <cell r="AL17">
            <v>640.21965020576124</v>
          </cell>
          <cell r="AM17">
            <v>672.75625857338821</v>
          </cell>
          <cell r="AN17">
            <v>706.04896833561952</v>
          </cell>
          <cell r="AO17">
            <v>675.61268528044502</v>
          </cell>
          <cell r="AP17">
            <v>664.64072541977851</v>
          </cell>
          <cell r="AQ17">
            <v>666.74442656998838</v>
          </cell>
          <cell r="AR17">
            <v>671.00378573083015</v>
          </cell>
          <cell r="AS17">
            <v>676.1344749850083</v>
          </cell>
          <cell r="AT17">
            <v>676.69751105361161</v>
          </cell>
          <cell r="AU17">
            <v>671.80560150661029</v>
          </cell>
          <cell r="AV17">
            <v>671.17108754430456</v>
          </cell>
          <cell r="AW17">
            <v>672.25948123172554</v>
          </cell>
          <cell r="AX17">
            <v>673.17865700868174</v>
          </cell>
          <cell r="AY17">
            <v>673.54113555499043</v>
          </cell>
          <cell r="AZ17">
            <v>673.10891231665403</v>
          </cell>
          <cell r="BA17">
            <v>672.51081252716119</v>
          </cell>
          <cell r="BB17">
            <v>672.62834769725293</v>
          </cell>
          <cell r="BC17">
            <v>672.87122438941094</v>
          </cell>
          <cell r="BD17">
            <v>672.97318158235862</v>
          </cell>
        </row>
        <row r="18">
          <cell r="C18" t="str">
            <v>OR_Single Family</v>
          </cell>
          <cell r="D18" t="str">
            <v>Single Family</v>
          </cell>
          <cell r="E18" t="str">
            <v>Existing</v>
          </cell>
          <cell r="AK18">
            <v>1281442</v>
          </cell>
          <cell r="AL18">
            <v>1278532.125467059</v>
          </cell>
          <cell r="AM18">
            <v>1275628.858622798</v>
          </cell>
          <cell r="AN18">
            <v>1272732.1844626011</v>
          </cell>
          <cell r="AO18">
            <v>1269842.0880159247</v>
          </cell>
          <cell r="AP18">
            <v>1266958.5543462196</v>
          </cell>
          <cell r="AQ18">
            <v>1264081.5685508549</v>
          </cell>
          <cell r="AR18">
            <v>1261211.1157610398</v>
          </cell>
          <cell r="AS18">
            <v>1258347.1811417476</v>
          </cell>
          <cell r="AT18">
            <v>1255489.7498916385</v>
          </cell>
          <cell r="AU18">
            <v>1252638.8072429833</v>
          </cell>
          <cell r="AV18">
            <v>1249794.338461587</v>
          </cell>
          <cell r="AW18">
            <v>1246956.3288467131</v>
          </cell>
          <cell r="AX18">
            <v>1244124.763731007</v>
          </cell>
          <cell r="AY18">
            <v>1241299.6284804204</v>
          </cell>
          <cell r="AZ18">
            <v>1238480.9084941361</v>
          </cell>
          <cell r="BA18">
            <v>1235668.5892044916</v>
          </cell>
          <cell r="BB18">
            <v>1232862.6560769046</v>
          </cell>
          <cell r="BC18">
            <v>1230063.0946097979</v>
          </cell>
          <cell r="BD18">
            <v>1227269.890334524</v>
          </cell>
        </row>
        <row r="19">
          <cell r="C19" t="str">
            <v>OR_Multi Family</v>
          </cell>
          <cell r="D19" t="str">
            <v>Multifamily - Low Rise</v>
          </cell>
          <cell r="E19" t="str">
            <v>Existing</v>
          </cell>
          <cell r="AK19">
            <v>277837.92835758231</v>
          </cell>
          <cell r="AL19">
            <v>277207.00904135435</v>
          </cell>
          <cell r="AM19">
            <v>276577.52242794685</v>
          </cell>
          <cell r="AN19">
            <v>275949.46526395273</v>
          </cell>
          <cell r="AO19">
            <v>275322.83430335281</v>
          </cell>
          <cell r="AP19">
            <v>274697.62630749901</v>
          </cell>
          <cell r="AQ19">
            <v>274073.83804509765</v>
          </cell>
          <cell r="AR19">
            <v>273451.46629219269</v>
          </cell>
          <cell r="AS19">
            <v>272830.50783214916</v>
          </cell>
          <cell r="AT19">
            <v>272210.95945563645</v>
          </cell>
          <cell r="AU19">
            <v>271592.81796061178</v>
          </cell>
          <cell r="AV19">
            <v>270976.08015230362</v>
          </cell>
          <cell r="AW19">
            <v>270360.74284319516</v>
          </cell>
          <cell r="AX19">
            <v>269746.80285300786</v>
          </cell>
          <cell r="AY19">
            <v>269134.25700868503</v>
          </cell>
          <cell r="AZ19">
            <v>268523.10214437544</v>
          </cell>
          <cell r="BA19">
            <v>267913.33510141686</v>
          </cell>
          <cell r="BB19">
            <v>267304.95272831985</v>
          </cell>
          <cell r="BC19">
            <v>266697.95188075147</v>
          </cell>
          <cell r="BD19">
            <v>266092.32942151889</v>
          </cell>
        </row>
        <row r="20">
          <cell r="D20" t="str">
            <v>Multifamily - High Rise</v>
          </cell>
          <cell r="E20" t="str">
            <v>Existing</v>
          </cell>
          <cell r="AK20">
            <v>63346.033033662934</v>
          </cell>
          <cell r="AL20">
            <v>63202.185733607068</v>
          </cell>
          <cell r="AM20">
            <v>63058.665084562206</v>
          </cell>
          <cell r="AN20">
            <v>62915.470344763409</v>
          </cell>
          <cell r="AO20">
            <v>62772.600774130158</v>
          </cell>
          <cell r="AP20">
            <v>62630.05563426252</v>
          </cell>
          <cell r="AQ20">
            <v>62487.834188437337</v>
          </cell>
          <cell r="AR20">
            <v>62345.935701604409</v>
          </cell>
          <cell r="AS20">
            <v>62204.359440382708</v>
          </cell>
          <cell r="AT20">
            <v>62063.104673056572</v>
          </cell>
          <cell r="AU20">
            <v>61922.17066957194</v>
          </cell>
          <cell r="AV20">
            <v>61781.556701532572</v>
          </cell>
          <cell r="AW20">
            <v>61641.262042196271</v>
          </cell>
          <cell r="AX20">
            <v>61501.28596647115</v>
          </cell>
          <cell r="AY20">
            <v>61361.627750911874</v>
          </cell>
          <cell r="AZ20">
            <v>61222.286673715913</v>
          </cell>
          <cell r="BA20">
            <v>61083.262014719818</v>
          </cell>
          <cell r="BB20">
            <v>60944.55305539551</v>
          </cell>
          <cell r="BC20">
            <v>60806.159078846555</v>
          </cell>
          <cell r="BD20">
            <v>60668.079369804451</v>
          </cell>
        </row>
        <row r="21">
          <cell r="C21" t="str">
            <v>OR_Other Family</v>
          </cell>
          <cell r="D21" t="str">
            <v>Manufactured</v>
          </cell>
          <cell r="E21" t="str">
            <v>Existing</v>
          </cell>
          <cell r="AK21">
            <v>202413.31790123455</v>
          </cell>
          <cell r="AL21">
            <v>200250.12950997456</v>
          </cell>
          <cell r="AM21">
            <v>198110.05908380006</v>
          </cell>
          <cell r="AN21">
            <v>195992.85956133081</v>
          </cell>
          <cell r="AO21">
            <v>193898.28652152821</v>
          </cell>
          <cell r="AP21">
            <v>191826.09815547793</v>
          </cell>
          <cell r="AQ21">
            <v>189776.05523847431</v>
          </cell>
          <cell r="AR21">
            <v>187747.92110240282</v>
          </cell>
          <cell r="AS21">
            <v>185741.46160841791</v>
          </cell>
          <cell r="AT21">
            <v>183756.44511991271</v>
          </cell>
          <cell r="AU21">
            <v>181792.64247577763</v>
          </cell>
          <cell r="AV21">
            <v>179849.82696394474</v>
          </cell>
          <cell r="AW21">
            <v>177927.77429521491</v>
          </cell>
          <cell r="AX21">
            <v>176026.26257736469</v>
          </cell>
          <cell r="AY21">
            <v>174145.07228952978</v>
          </cell>
          <cell r="AZ21">
            <v>172283.98625686244</v>
          </cell>
          <cell r="BA21">
            <v>170442.78962545953</v>
          </cell>
          <cell r="BB21">
            <v>168621.26983755868</v>
          </cell>
          <cell r="BC21">
            <v>166819.21660699949</v>
          </cell>
          <cell r="BD21">
            <v>165036.42189494686</v>
          </cell>
        </row>
        <row r="23">
          <cell r="D23" t="str">
            <v>WASHINGTON</v>
          </cell>
        </row>
        <row r="24">
          <cell r="C24" t="str">
            <v>WA_Single Family</v>
          </cell>
          <cell r="D24" t="str">
            <v>Single Family</v>
          </cell>
          <cell r="E24" t="str">
            <v>New</v>
          </cell>
          <cell r="F24">
            <v>17836</v>
          </cell>
          <cell r="G24">
            <v>19224</v>
          </cell>
          <cell r="H24">
            <v>20881</v>
          </cell>
          <cell r="I24">
            <v>22030</v>
          </cell>
          <cell r="J24">
            <v>26693</v>
          </cell>
          <cell r="K24">
            <v>29534</v>
          </cell>
          <cell r="L24">
            <v>25256</v>
          </cell>
          <cell r="M24">
            <v>32825</v>
          </cell>
          <cell r="N24">
            <v>33591</v>
          </cell>
          <cell r="O24">
            <v>34363</v>
          </cell>
          <cell r="P24">
            <v>28330</v>
          </cell>
          <cell r="Q24">
            <v>28658</v>
          </cell>
          <cell r="R24">
            <v>28846</v>
          </cell>
          <cell r="S24">
            <v>29714</v>
          </cell>
          <cell r="T24">
            <v>28101</v>
          </cell>
          <cell r="U24">
            <v>25350</v>
          </cell>
          <cell r="V24">
            <v>26054</v>
          </cell>
          <cell r="W24">
            <v>30098</v>
          </cell>
          <cell r="X24">
            <v>34243</v>
          </cell>
          <cell r="Y24">
            <v>36326</v>
          </cell>
          <cell r="Z24">
            <v>40247</v>
          </cell>
          <cell r="AA24">
            <v>36985</v>
          </cell>
          <cell r="AB24">
            <v>30373</v>
          </cell>
          <cell r="AC24">
            <v>18826</v>
          </cell>
          <cell r="AD24">
            <v>13391</v>
          </cell>
          <cell r="AE24">
            <v>14886</v>
          </cell>
          <cell r="AF24">
            <v>13829</v>
          </cell>
          <cell r="AG24">
            <v>16887</v>
          </cell>
          <cell r="AH24">
            <v>18274</v>
          </cell>
          <cell r="AI24">
            <v>24247</v>
          </cell>
          <cell r="AJ24">
            <v>30852</v>
          </cell>
          <cell r="AK24">
            <v>33055</v>
          </cell>
          <cell r="AL24">
            <v>31044</v>
          </cell>
          <cell r="AM24">
            <v>28849</v>
          </cell>
          <cell r="AN24">
            <v>27415</v>
          </cell>
          <cell r="AO24">
            <v>26216</v>
          </cell>
          <cell r="AP24">
            <v>24554</v>
          </cell>
          <cell r="AQ24">
            <v>23488</v>
          </cell>
          <cell r="AR24">
            <v>23152</v>
          </cell>
          <cell r="AS24">
            <v>22514</v>
          </cell>
          <cell r="AT24">
            <v>22375</v>
          </cell>
          <cell r="AU24">
            <v>22305</v>
          </cell>
          <cell r="AV24">
            <v>21816</v>
          </cell>
          <cell r="AW24">
            <v>21213</v>
          </cell>
          <cell r="AX24">
            <v>21215</v>
          </cell>
          <cell r="AY24">
            <v>21402</v>
          </cell>
          <cell r="AZ24">
            <v>21237</v>
          </cell>
          <cell r="BA24">
            <v>20416</v>
          </cell>
          <cell r="BB24">
            <v>20299</v>
          </cell>
          <cell r="BC24">
            <v>20303</v>
          </cell>
          <cell r="BD24">
            <v>20372</v>
          </cell>
        </row>
        <row r="25">
          <cell r="C25" t="str">
            <v>WA_Multi Family</v>
          </cell>
          <cell r="D25" t="str">
            <v>Multifamily - Low Rise</v>
          </cell>
          <cell r="E25" t="str">
            <v>New</v>
          </cell>
          <cell r="F25">
            <v>15061.883667534441</v>
          </cell>
          <cell r="G25">
            <v>14869.183557824352</v>
          </cell>
          <cell r="H25">
            <v>15220.21190520253</v>
          </cell>
          <cell r="I25">
            <v>18940.327900324999</v>
          </cell>
          <cell r="J25">
            <v>18837.087988326672</v>
          </cell>
          <cell r="K25">
            <v>17883.866659845167</v>
          </cell>
          <cell r="L25">
            <v>8123.2235993523336</v>
          </cell>
          <cell r="M25">
            <v>7903.1488702815295</v>
          </cell>
          <cell r="N25">
            <v>7592.1801314599406</v>
          </cell>
          <cell r="O25">
            <v>9401.6361134168346</v>
          </cell>
          <cell r="P25">
            <v>9701.2779324751245</v>
          </cell>
          <cell r="Q25">
            <v>11104.526723200062</v>
          </cell>
          <cell r="R25">
            <v>10897.632074550364</v>
          </cell>
          <cell r="S25">
            <v>12645.60766842474</v>
          </cell>
          <cell r="T25">
            <v>11965.262831791384</v>
          </cell>
          <cell r="U25">
            <v>10483.919915783859</v>
          </cell>
          <cell r="V25">
            <v>9971.9026959155963</v>
          </cell>
          <cell r="W25">
            <v>7253.9578552287549</v>
          </cell>
          <cell r="X25">
            <v>7119.6062546632547</v>
          </cell>
          <cell r="Y25">
            <v>7985.0504417912043</v>
          </cell>
          <cell r="Z25">
            <v>8677.2745487052198</v>
          </cell>
          <cell r="AA25">
            <v>9569.5883473366248</v>
          </cell>
          <cell r="AB25">
            <v>10771.842399662728</v>
          </cell>
          <cell r="AC25">
            <v>8763.9200796845034</v>
          </cell>
          <cell r="AD25">
            <v>2981.3702838569475</v>
          </cell>
          <cell r="AE25">
            <v>3522.5521445353306</v>
          </cell>
          <cell r="AF25">
            <v>5265.721927064159</v>
          </cell>
          <cell r="AG25">
            <v>8692.3033155335615</v>
          </cell>
          <cell r="AH25">
            <v>12312.39973222512</v>
          </cell>
          <cell r="AI25">
            <v>11883.279860328872</v>
          </cell>
          <cell r="AJ25">
            <v>13265.608797275603</v>
          </cell>
          <cell r="AK25">
            <v>13028.433829152391</v>
          </cell>
          <cell r="AL25">
            <v>13080.239965534132</v>
          </cell>
          <cell r="AM25">
            <v>12923.202614626804</v>
          </cell>
          <cell r="AN25">
            <v>11912.982955180836</v>
          </cell>
          <cell r="AO25">
            <v>10886.573878115541</v>
          </cell>
          <cell r="AP25">
            <v>10714.966051350757</v>
          </cell>
          <cell r="AQ25">
            <v>10719.822876636612</v>
          </cell>
          <cell r="AR25">
            <v>11250.835774550411</v>
          </cell>
          <cell r="AS25">
            <v>11653.142802390561</v>
          </cell>
          <cell r="AT25">
            <v>12252.151254305772</v>
          </cell>
          <cell r="AU25">
            <v>12363.048764997984</v>
          </cell>
          <cell r="AV25">
            <v>12613.98473809777</v>
          </cell>
          <cell r="AW25">
            <v>12900.537429959741</v>
          </cell>
          <cell r="AX25">
            <v>13132.046101915988</v>
          </cell>
          <cell r="AY25">
            <v>13215.421602655624</v>
          </cell>
          <cell r="AZ25">
            <v>13014.672824175932</v>
          </cell>
          <cell r="BA25">
            <v>12900.537429959741</v>
          </cell>
          <cell r="BB25">
            <v>12809.067220410498</v>
          </cell>
          <cell r="BC25">
            <v>12840.636584768163</v>
          </cell>
          <cell r="BD25">
            <v>12863.301769435224</v>
          </cell>
        </row>
        <row r="26">
          <cell r="C26" t="str">
            <v>WA</v>
          </cell>
          <cell r="D26" t="str">
            <v>Multifamily - High Rise</v>
          </cell>
          <cell r="E26" t="str">
            <v>New</v>
          </cell>
          <cell r="F26">
            <v>926.11633246555948</v>
          </cell>
          <cell r="G26">
            <v>968.81644217564758</v>
          </cell>
          <cell r="H26">
            <v>1167.7880947974693</v>
          </cell>
          <cell r="I26">
            <v>1180.6720996750003</v>
          </cell>
          <cell r="J26">
            <v>1129.91201167333</v>
          </cell>
          <cell r="K26">
            <v>657.13334015483224</v>
          </cell>
          <cell r="L26">
            <v>654.77640064766615</v>
          </cell>
          <cell r="M26">
            <v>652.8511297184707</v>
          </cell>
          <cell r="N26">
            <v>756.81986854005959</v>
          </cell>
          <cell r="O26">
            <v>787.36388658316514</v>
          </cell>
          <cell r="P26">
            <v>872.72206752487591</v>
          </cell>
          <cell r="Q26">
            <v>879.4732767999385</v>
          </cell>
          <cell r="R26">
            <v>984.36792544963578</v>
          </cell>
          <cell r="S26">
            <v>957.39233157526019</v>
          </cell>
          <cell r="T26">
            <v>887.73716820861637</v>
          </cell>
          <cell r="U26">
            <v>863.08008421613988</v>
          </cell>
          <cell r="V26">
            <v>722.09730408440362</v>
          </cell>
          <cell r="W26">
            <v>726.04214477124526</v>
          </cell>
          <cell r="X26">
            <v>786.3937453367455</v>
          </cell>
          <cell r="Y26">
            <v>838.94955820879602</v>
          </cell>
          <cell r="Z26">
            <v>904.72545129478021</v>
          </cell>
          <cell r="AA26">
            <v>978.41165266337521</v>
          </cell>
          <cell r="AB26">
            <v>852.15760033727156</v>
          </cell>
          <cell r="AC26">
            <v>520.07992031549577</v>
          </cell>
          <cell r="AD26">
            <v>564.62971614305252</v>
          </cell>
          <cell r="AE26">
            <v>705.44785546466926</v>
          </cell>
          <cell r="AF26">
            <v>1217.2780729358408</v>
          </cell>
          <cell r="AG26">
            <v>806.69668446643777</v>
          </cell>
          <cell r="AH26">
            <v>792.60026777487974</v>
          </cell>
          <cell r="AI26">
            <v>992.72013967112821</v>
          </cell>
          <cell r="AJ26">
            <v>3024.5103613152296</v>
          </cell>
          <cell r="AK26">
            <v>2970.4353347186084</v>
          </cell>
          <cell r="AL26">
            <v>2982.246944623661</v>
          </cell>
          <cell r="AM26">
            <v>2946.4430020989594</v>
          </cell>
          <cell r="AN26">
            <v>2716.1166089502017</v>
          </cell>
          <cell r="AO26">
            <v>2482.099087706139</v>
          </cell>
          <cell r="AP26">
            <v>2442.9731298956272</v>
          </cell>
          <cell r="AQ26">
            <v>2444.0804683242377</v>
          </cell>
          <cell r="AR26">
            <v>2565.1494698511356</v>
          </cell>
          <cell r="AS26">
            <v>2656.874003020107</v>
          </cell>
          <cell r="AT26">
            <v>2793.4457425474475</v>
          </cell>
          <cell r="AU26">
            <v>2818.729970000426</v>
          </cell>
          <cell r="AV26">
            <v>2875.9424554781176</v>
          </cell>
          <cell r="AW26">
            <v>2941.2754227654787</v>
          </cell>
          <cell r="AX26">
            <v>2994.0585545287277</v>
          </cell>
          <cell r="AY26">
            <v>3013.0678642196926</v>
          </cell>
          <cell r="AZ26">
            <v>2967.2978758375662</v>
          </cell>
          <cell r="BA26">
            <v>2941.2754227654787</v>
          </cell>
          <cell r="BB26">
            <v>2920.4205490268364</v>
          </cell>
          <cell r="BC26">
            <v>2927.6182488127561</v>
          </cell>
          <cell r="BD26">
            <v>2932.7858281462154</v>
          </cell>
        </row>
        <row r="27">
          <cell r="C27" t="str">
            <v>WA_Other Family</v>
          </cell>
          <cell r="D27" t="str">
            <v>Manufactured</v>
          </cell>
          <cell r="E27" t="str">
            <v>New</v>
          </cell>
          <cell r="F27">
            <v>5597</v>
          </cell>
          <cell r="G27">
            <v>4550</v>
          </cell>
          <cell r="H27">
            <v>3873</v>
          </cell>
          <cell r="I27">
            <v>4184</v>
          </cell>
          <cell r="J27">
            <v>4397</v>
          </cell>
          <cell r="K27">
            <v>5645</v>
          </cell>
          <cell r="L27">
            <v>5353</v>
          </cell>
          <cell r="M27">
            <v>5964</v>
          </cell>
          <cell r="N27">
            <v>6849</v>
          </cell>
          <cell r="O27">
            <v>7332</v>
          </cell>
          <cell r="P27">
            <v>7252</v>
          </cell>
          <cell r="Q27">
            <v>6257</v>
          </cell>
          <cell r="R27">
            <v>6419</v>
          </cell>
          <cell r="S27">
            <v>6874</v>
          </cell>
          <cell r="T27">
            <v>5339</v>
          </cell>
          <cell r="U27">
            <v>3853</v>
          </cell>
          <cell r="V27">
            <v>2971</v>
          </cell>
          <cell r="W27">
            <v>2933</v>
          </cell>
          <cell r="X27">
            <v>2868</v>
          </cell>
          <cell r="Y27">
            <v>2705</v>
          </cell>
          <cell r="Z27">
            <v>2723</v>
          </cell>
          <cell r="AA27">
            <v>2653</v>
          </cell>
          <cell r="AB27">
            <v>2063</v>
          </cell>
          <cell r="AC27">
            <v>1621</v>
          </cell>
          <cell r="AD27">
            <v>859</v>
          </cell>
          <cell r="AE27">
            <v>681</v>
          </cell>
          <cell r="AF27">
            <v>563</v>
          </cell>
          <cell r="AG27">
            <v>560</v>
          </cell>
          <cell r="AH27">
            <v>1057.8333333333333</v>
          </cell>
          <cell r="AI27">
            <v>890.30555555555554</v>
          </cell>
          <cell r="AJ27">
            <v>768.52314814814815</v>
          </cell>
          <cell r="AK27">
            <v>753.44367283950612</v>
          </cell>
          <cell r="AL27">
            <v>765.51761831275724</v>
          </cell>
          <cell r="AM27">
            <v>799.27055469821664</v>
          </cell>
          <cell r="AN27">
            <v>839.14898048125281</v>
          </cell>
          <cell r="AO27">
            <v>802.70158833923949</v>
          </cell>
          <cell r="AP27">
            <v>788.10092713652</v>
          </cell>
          <cell r="AQ27">
            <v>791.36389030124872</v>
          </cell>
          <cell r="AR27">
            <v>797.68392654487252</v>
          </cell>
          <cell r="AS27">
            <v>803.04497791689175</v>
          </cell>
          <cell r="AT27">
            <v>803.6740484533376</v>
          </cell>
          <cell r="AU27">
            <v>797.76155978201825</v>
          </cell>
          <cell r="AV27">
            <v>796.93822168914812</v>
          </cell>
          <cell r="AW27">
            <v>798.41110411458612</v>
          </cell>
          <cell r="AX27">
            <v>799.58563975014238</v>
          </cell>
          <cell r="AY27">
            <v>799.90259195102078</v>
          </cell>
          <cell r="AZ27">
            <v>799.37886095670899</v>
          </cell>
          <cell r="BA27">
            <v>798.6629963739374</v>
          </cell>
          <cell r="BB27">
            <v>798.81323580592414</v>
          </cell>
          <cell r="BC27">
            <v>799.12573815872008</v>
          </cell>
          <cell r="BD27">
            <v>799.24484383274228</v>
          </cell>
        </row>
        <row r="28">
          <cell r="C28" t="str">
            <v>WA_Single Family</v>
          </cell>
          <cell r="D28" t="str">
            <v>Single Family</v>
          </cell>
          <cell r="E28" t="str">
            <v>Existing</v>
          </cell>
          <cell r="AK28">
            <v>2177155</v>
          </cell>
          <cell r="AL28">
            <v>2172211.1571348798</v>
          </cell>
          <cell r="AM28">
            <v>2167278.5406556972</v>
          </cell>
          <cell r="AN28">
            <v>2162357.1250697845</v>
          </cell>
          <cell r="AO28">
            <v>2157446.8849423626</v>
          </cell>
          <cell r="AP28">
            <v>2152547.7948964094</v>
          </cell>
          <cell r="AQ28">
            <v>2147659.8296125284</v>
          </cell>
          <cell r="AR28">
            <v>2142782.9638288179</v>
          </cell>
          <cell r="AS28">
            <v>2137917.1723407404</v>
          </cell>
          <cell r="AT28">
            <v>2133062.4300009925</v>
          </cell>
          <cell r="AU28">
            <v>2128218.7117193746</v>
          </cell>
          <cell r="AV28">
            <v>2123385.9924626616</v>
          </cell>
          <cell r="AW28">
            <v>2118564.2472544736</v>
          </cell>
          <cell r="AX28">
            <v>2113753.4511751467</v>
          </cell>
          <cell r="AY28">
            <v>2108953.5793616036</v>
          </cell>
          <cell r="AZ28">
            <v>2104164.6070072255</v>
          </cell>
          <cell r="BA28">
            <v>2099386.5093617244</v>
          </cell>
          <cell r="BB28">
            <v>2094619.2617310151</v>
          </cell>
          <cell r="BC28">
            <v>2089862.8394770864</v>
          </cell>
          <cell r="BD28">
            <v>2085117.2180178757</v>
          </cell>
        </row>
        <row r="29">
          <cell r="C29" t="str">
            <v>WA_Multi Family</v>
          </cell>
          <cell r="D29" t="str">
            <v>Multifamily - Low Rise</v>
          </cell>
          <cell r="E29" t="str">
            <v>Existing</v>
          </cell>
          <cell r="AK29">
            <v>558037.0832749434</v>
          </cell>
          <cell r="AL29">
            <v>556769.88272716023</v>
          </cell>
          <cell r="AM29">
            <v>555505.55976095074</v>
          </cell>
          <cell r="AN29">
            <v>554244.10784185154</v>
          </cell>
          <cell r="AO29">
            <v>552985.52045023767</v>
          </cell>
          <cell r="AP29">
            <v>551729.79108128918</v>
          </cell>
          <cell r="AQ29">
            <v>550476.91324495722</v>
          </cell>
          <cell r="AR29">
            <v>549226.88046593068</v>
          </cell>
          <cell r="AS29">
            <v>547979.68628360284</v>
          </cell>
          <cell r="AT29">
            <v>546735.3242520378</v>
          </cell>
          <cell r="AU29">
            <v>545493.78793993709</v>
          </cell>
          <cell r="AV29">
            <v>544255.07093060669</v>
          </cell>
          <cell r="AW29">
            <v>543019.16682192357</v>
          </cell>
          <cell r="AX29">
            <v>541786.06922630291</v>
          </cell>
          <cell r="AY29">
            <v>540555.77177066484</v>
          </cell>
          <cell r="AZ29">
            <v>539328.26809640159</v>
          </cell>
          <cell r="BA29">
            <v>538103.55185934459</v>
          </cell>
          <cell r="BB29">
            <v>536881.6167297319</v>
          </cell>
          <cell r="BC29">
            <v>535662.45639217517</v>
          </cell>
          <cell r="BD29">
            <v>534446.06454562722</v>
          </cell>
        </row>
        <row r="30">
          <cell r="D30" t="str">
            <v>Multifamily - High Rise</v>
          </cell>
          <cell r="E30" t="str">
            <v>Existing</v>
          </cell>
          <cell r="AK30">
            <v>127230.41710003006</v>
          </cell>
          <cell r="AL30">
            <v>126941.50000280481</v>
          </cell>
          <cell r="AM30">
            <v>126653.23898366978</v>
          </cell>
          <cell r="AN30">
            <v>126365.63255279115</v>
          </cell>
          <cell r="AO30">
            <v>126078.67922371827</v>
          </cell>
          <cell r="AP30">
            <v>125792.3775133759</v>
          </cell>
          <cell r="AQ30">
            <v>125506.72594205666</v>
          </cell>
          <cell r="AR30">
            <v>125221.72303341323</v>
          </cell>
          <cell r="AS30">
            <v>124937.36731445088</v>
          </cell>
          <cell r="AT30">
            <v>124653.65731551975</v>
          </cell>
          <cell r="AU30">
            <v>124370.5915703073</v>
          </cell>
          <cell r="AV30">
            <v>124088.1686158307</v>
          </cell>
          <cell r="AW30">
            <v>123806.3869924293</v>
          </cell>
          <cell r="AX30">
            <v>123525.24524375708</v>
          </cell>
          <cell r="AY30">
            <v>123244.74191677509</v>
          </cell>
          <cell r="AZ30">
            <v>122964.875561744</v>
          </cell>
          <cell r="BA30">
            <v>122685.64473221656</v>
          </cell>
          <cell r="BB30">
            <v>122407.04798503013</v>
          </cell>
          <cell r="BC30">
            <v>122129.08388029925</v>
          </cell>
          <cell r="BD30">
            <v>121851.75098140814</v>
          </cell>
        </row>
        <row r="31">
          <cell r="C31" t="str">
            <v>WA_Other Family</v>
          </cell>
          <cell r="D31" t="str">
            <v>Manufactured</v>
          </cell>
          <cell r="E31" t="str">
            <v>Existing</v>
          </cell>
          <cell r="AK31">
            <v>244055.10570987655</v>
          </cell>
          <cell r="AL31">
            <v>241446.89209541003</v>
          </cell>
          <cell r="AM31">
            <v>238866.55242457156</v>
          </cell>
          <cell r="AN31">
            <v>236313.78880890249</v>
          </cell>
          <cell r="AO31">
            <v>233788.30654347411</v>
          </cell>
          <cell r="AP31">
            <v>231289.81407286532</v>
          </cell>
          <cell r="AQ31">
            <v>228818.02295750388</v>
          </cell>
          <cell r="AR31">
            <v>226372.64784036731</v>
          </cell>
          <cell r="AS31">
            <v>223953.40641403978</v>
          </cell>
          <cell r="AT31">
            <v>221560.01938812103</v>
          </cell>
          <cell r="AU31">
            <v>219192.21045698351</v>
          </cell>
          <cell r="AV31">
            <v>216849.70626787416</v>
          </cell>
          <cell r="AW31">
            <v>214532.23638935713</v>
          </cell>
          <cell r="AX31">
            <v>212239.53328009363</v>
          </cell>
          <cell r="AY31">
            <v>209971.33225795557</v>
          </cell>
          <cell r="AZ31">
            <v>207727.37146946916</v>
          </cell>
          <cell r="BA31">
            <v>205507.39185958516</v>
          </cell>
          <cell r="BB31">
            <v>203311.13714177214</v>
          </cell>
          <cell r="BC31">
            <v>201138.35376842934</v>
          </cell>
          <cell r="BD31">
            <v>198988.79090161584</v>
          </cell>
        </row>
        <row r="33">
          <cell r="D33" t="str">
            <v>IDAHO</v>
          </cell>
        </row>
        <row r="34">
          <cell r="C34" t="str">
            <v>ID_Single Family</v>
          </cell>
          <cell r="D34" t="str">
            <v>Single Family</v>
          </cell>
          <cell r="E34" t="str">
            <v>New</v>
          </cell>
          <cell r="F34">
            <v>3059</v>
          </cell>
          <cell r="G34">
            <v>2868</v>
          </cell>
          <cell r="H34">
            <v>2692</v>
          </cell>
          <cell r="I34">
            <v>2813</v>
          </cell>
          <cell r="J34">
            <v>3536</v>
          </cell>
          <cell r="K34">
            <v>4754</v>
          </cell>
          <cell r="L34">
            <v>5803</v>
          </cell>
          <cell r="M34">
            <v>8453</v>
          </cell>
          <cell r="N34">
            <v>9522</v>
          </cell>
          <cell r="O34">
            <v>10120</v>
          </cell>
          <cell r="P34">
            <v>8784</v>
          </cell>
          <cell r="Q34">
            <v>9538</v>
          </cell>
          <cell r="R34">
            <v>9107</v>
          </cell>
          <cell r="S34">
            <v>10575</v>
          </cell>
          <cell r="T34">
            <v>10544</v>
          </cell>
          <cell r="U34">
            <v>9631</v>
          </cell>
          <cell r="V34">
            <v>9441</v>
          </cell>
          <cell r="W34">
            <v>10730</v>
          </cell>
          <cell r="X34">
            <v>12976</v>
          </cell>
          <cell r="Y34">
            <v>15094</v>
          </cell>
          <cell r="Z34">
            <v>18771</v>
          </cell>
          <cell r="AA34">
            <v>15444</v>
          </cell>
          <cell r="AB34">
            <v>9693</v>
          </cell>
          <cell r="AC34">
            <v>6027</v>
          </cell>
          <cell r="AD34">
            <v>4336</v>
          </cell>
          <cell r="AE34">
            <v>3706</v>
          </cell>
          <cell r="AF34">
            <v>3258</v>
          </cell>
          <cell r="AG34">
            <v>5091</v>
          </cell>
          <cell r="AH34">
            <v>7002</v>
          </cell>
          <cell r="AI34">
            <v>7509</v>
          </cell>
          <cell r="AJ34">
            <v>9778</v>
          </cell>
          <cell r="AK34">
            <v>10507</v>
          </cell>
          <cell r="AL34">
            <v>10382</v>
          </cell>
          <cell r="AM34">
            <v>10055</v>
          </cell>
          <cell r="AN34">
            <v>10071</v>
          </cell>
          <cell r="AO34">
            <v>10039</v>
          </cell>
          <cell r="AP34">
            <v>9821</v>
          </cell>
          <cell r="AQ34">
            <v>9813</v>
          </cell>
          <cell r="AR34">
            <v>9958</v>
          </cell>
          <cell r="AS34">
            <v>10085</v>
          </cell>
          <cell r="AT34">
            <v>10505</v>
          </cell>
          <cell r="AU34">
            <v>10749</v>
          </cell>
          <cell r="AV34">
            <v>10878</v>
          </cell>
          <cell r="AW34">
            <v>10846</v>
          </cell>
          <cell r="AX34">
            <v>10975</v>
          </cell>
          <cell r="AY34">
            <v>11099</v>
          </cell>
          <cell r="AZ34">
            <v>11121</v>
          </cell>
          <cell r="BA34">
            <v>10926</v>
          </cell>
          <cell r="BB34">
            <v>11030</v>
          </cell>
          <cell r="BC34">
            <v>11073</v>
          </cell>
          <cell r="BD34">
            <v>11167</v>
          </cell>
        </row>
        <row r="35">
          <cell r="C35" t="str">
            <v>ID_Multi Family</v>
          </cell>
          <cell r="D35" t="str">
            <v>Multifamily - Low Rise</v>
          </cell>
          <cell r="E35" t="str">
            <v>New</v>
          </cell>
          <cell r="F35">
            <v>945.31021109984124</v>
          </cell>
          <cell r="G35">
            <v>848.82991832591654</v>
          </cell>
          <cell r="H35">
            <v>518.17882714524762</v>
          </cell>
          <cell r="I35">
            <v>288.37484437276629</v>
          </cell>
          <cell r="J35">
            <v>818.68632809921849</v>
          </cell>
          <cell r="K35">
            <v>922.54881309467987</v>
          </cell>
          <cell r="L35">
            <v>713.12107820425172</v>
          </cell>
          <cell r="M35">
            <v>1322.6430437243826</v>
          </cell>
          <cell r="N35">
            <v>1874.8440142054371</v>
          </cell>
          <cell r="O35">
            <v>2484.0690897878753</v>
          </cell>
          <cell r="P35">
            <v>1754.5624245646084</v>
          </cell>
          <cell r="Q35">
            <v>1502.6818009503679</v>
          </cell>
          <cell r="R35">
            <v>1099.0598706051132</v>
          </cell>
          <cell r="S35">
            <v>998.51700550573537</v>
          </cell>
          <cell r="T35">
            <v>1279.6542411025091</v>
          </cell>
          <cell r="U35">
            <v>931.97705912690287</v>
          </cell>
          <cell r="V35">
            <v>1416.4873706075907</v>
          </cell>
          <cell r="W35">
            <v>1622.1096316302473</v>
          </cell>
          <cell r="X35">
            <v>1725.2037386728252</v>
          </cell>
          <cell r="Y35">
            <v>1627.7922787378966</v>
          </cell>
          <cell r="Z35">
            <v>1461.0310065714518</v>
          </cell>
          <cell r="AA35">
            <v>1503.1641209172849</v>
          </cell>
          <cell r="AB35">
            <v>1434.6085653222435</v>
          </cell>
          <cell r="AC35">
            <v>616.53672479350837</v>
          </cell>
          <cell r="AD35">
            <v>410.6655928821981</v>
          </cell>
          <cell r="AE35">
            <v>283.5340494616637</v>
          </cell>
          <cell r="AF35">
            <v>511.5577769900774</v>
          </cell>
          <cell r="AG35">
            <v>753.64796270668967</v>
          </cell>
          <cell r="AH35">
            <v>1498.8895230864375</v>
          </cell>
          <cell r="AI35">
            <v>1723.6804258697659</v>
          </cell>
          <cell r="AJ35">
            <v>2047.1518579637404</v>
          </cell>
          <cell r="AK35">
            <v>2037.4382073921424</v>
          </cell>
          <cell r="AL35">
            <v>2026.9150859395779</v>
          </cell>
          <cell r="AM35">
            <v>2022.8677315347454</v>
          </cell>
          <cell r="AN35">
            <v>1909.5418081994781</v>
          </cell>
          <cell r="AO35">
            <v>1724.9824473391584</v>
          </cell>
          <cell r="AP35">
            <v>1653.7490098141207</v>
          </cell>
          <cell r="AQ35">
            <v>1669.9384274334507</v>
          </cell>
          <cell r="AR35">
            <v>1698.2699082672639</v>
          </cell>
          <cell r="AS35">
            <v>1706.3646170769289</v>
          </cell>
          <cell r="AT35">
            <v>1733.8866270297899</v>
          </cell>
          <cell r="AU35">
            <v>1733.0771561488234</v>
          </cell>
          <cell r="AV35">
            <v>1759.7896952207038</v>
          </cell>
          <cell r="AW35">
            <v>1788.1211760545311</v>
          </cell>
          <cell r="AX35">
            <v>1819.6905404122106</v>
          </cell>
          <cell r="AY35">
            <v>1830.2136618647751</v>
          </cell>
          <cell r="AZ35">
            <v>1848.8314921269903</v>
          </cell>
          <cell r="BA35">
            <v>1873.925089436952</v>
          </cell>
          <cell r="BB35">
            <v>1904.6849829136791</v>
          </cell>
          <cell r="BC35">
            <v>1945.9679978429422</v>
          </cell>
          <cell r="BD35">
            <v>1994.5362507009463</v>
          </cell>
        </row>
        <row r="36">
          <cell r="C36" t="str">
            <v>ID</v>
          </cell>
          <cell r="D36" t="str">
            <v>Multifamily - High Rise</v>
          </cell>
          <cell r="E36" t="str">
            <v>New</v>
          </cell>
          <cell r="F36">
            <v>60.689788900158746</v>
          </cell>
          <cell r="G36">
            <v>45.170081674083427</v>
          </cell>
          <cell r="H36">
            <v>35.82117285475239</v>
          </cell>
          <cell r="I36">
            <v>62.625155627233696</v>
          </cell>
          <cell r="J36">
            <v>68.313671900781529</v>
          </cell>
          <cell r="K36">
            <v>60.451186905320142</v>
          </cell>
          <cell r="L36">
            <v>93.878921795748312</v>
          </cell>
          <cell r="M36">
            <v>125.35695627561738</v>
          </cell>
          <cell r="N36">
            <v>157.15598579456281</v>
          </cell>
          <cell r="O36">
            <v>120.93091021212476</v>
          </cell>
          <cell r="P36">
            <v>108.43757543539168</v>
          </cell>
          <cell r="Q36">
            <v>88.318199049632</v>
          </cell>
          <cell r="R36">
            <v>84.940129394886824</v>
          </cell>
          <cell r="S36">
            <v>100.48299449426467</v>
          </cell>
          <cell r="T36">
            <v>84.345758897490967</v>
          </cell>
          <cell r="U36">
            <v>113.02294087309717</v>
          </cell>
          <cell r="V36">
            <v>126.51262939240925</v>
          </cell>
          <cell r="W36">
            <v>133.89036836975254</v>
          </cell>
          <cell r="X36">
            <v>129.79626132717482</v>
          </cell>
          <cell r="Y36">
            <v>122.20772126210333</v>
          </cell>
          <cell r="Z36">
            <v>125.96899342854817</v>
          </cell>
          <cell r="AA36">
            <v>120.8358790827151</v>
          </cell>
          <cell r="AB36">
            <v>73.391434677756436</v>
          </cell>
          <cell r="AC36">
            <v>61.463275206491645</v>
          </cell>
          <cell r="AD36">
            <v>55.334407117801909</v>
          </cell>
          <cell r="AE36">
            <v>72.465950538336273</v>
          </cell>
          <cell r="AF36">
            <v>121.44222300992257</v>
          </cell>
          <cell r="AG36">
            <v>99.352037293310332</v>
          </cell>
          <cell r="AH36">
            <v>115.11047691356247</v>
          </cell>
          <cell r="AI36">
            <v>146.31957413023412</v>
          </cell>
          <cell r="AJ36">
            <v>466.74314765475788</v>
          </cell>
          <cell r="AK36">
            <v>464.52847079755878</v>
          </cell>
          <cell r="AL36">
            <v>462.12923753559477</v>
          </cell>
          <cell r="AM36">
            <v>461.20645551175875</v>
          </cell>
          <cell r="AN36">
            <v>435.3685588444369</v>
          </cell>
          <cell r="AO36">
            <v>393.28969855764842</v>
          </cell>
          <cell r="AP36">
            <v>377.04873493818434</v>
          </cell>
          <cell r="AQ36">
            <v>380.7398630335195</v>
          </cell>
          <cell r="AR36">
            <v>387.1993372003484</v>
          </cell>
          <cell r="AS36">
            <v>389.04490124801771</v>
          </cell>
          <cell r="AT36">
            <v>395.31981901007907</v>
          </cell>
          <cell r="AU36">
            <v>395.13526260531506</v>
          </cell>
          <cell r="AV36">
            <v>401.22562396261065</v>
          </cell>
          <cell r="AW36">
            <v>407.6850981294449</v>
          </cell>
          <cell r="AX36">
            <v>414.88279791534046</v>
          </cell>
          <cell r="AY36">
            <v>417.28203117730709</v>
          </cell>
          <cell r="AZ36">
            <v>421.52682848694133</v>
          </cell>
          <cell r="BA36">
            <v>427.24807703470356</v>
          </cell>
          <cell r="BB36">
            <v>434.26122041583335</v>
          </cell>
          <cell r="BC36">
            <v>443.67359705893341</v>
          </cell>
          <cell r="BD36">
            <v>454.74698134493076</v>
          </cell>
        </row>
        <row r="37">
          <cell r="C37" t="str">
            <v>ID_Other Family</v>
          </cell>
          <cell r="D37" t="str">
            <v>Manufactured</v>
          </cell>
          <cell r="E37" t="str">
            <v>New</v>
          </cell>
          <cell r="F37">
            <v>1200</v>
          </cell>
          <cell r="G37">
            <v>838</v>
          </cell>
          <cell r="H37">
            <v>605</v>
          </cell>
          <cell r="I37">
            <v>572</v>
          </cell>
          <cell r="J37">
            <v>703</v>
          </cell>
          <cell r="K37">
            <v>820</v>
          </cell>
          <cell r="L37">
            <v>1089</v>
          </cell>
          <cell r="M37">
            <v>1696</v>
          </cell>
          <cell r="N37">
            <v>2779</v>
          </cell>
          <cell r="O37">
            <v>3712</v>
          </cell>
          <cell r="P37">
            <v>3167</v>
          </cell>
          <cell r="Q37">
            <v>2635</v>
          </cell>
          <cell r="R37">
            <v>2634</v>
          </cell>
          <cell r="S37">
            <v>2980</v>
          </cell>
          <cell r="T37">
            <v>2343</v>
          </cell>
          <cell r="U37">
            <v>1317</v>
          </cell>
          <cell r="V37">
            <v>998</v>
          </cell>
          <cell r="W37">
            <v>1042</v>
          </cell>
          <cell r="X37">
            <v>785</v>
          </cell>
          <cell r="Y37">
            <v>765</v>
          </cell>
          <cell r="Z37">
            <v>798</v>
          </cell>
          <cell r="AA37">
            <v>849</v>
          </cell>
          <cell r="AB37">
            <v>721</v>
          </cell>
          <cell r="AC37">
            <v>526</v>
          </cell>
          <cell r="AD37">
            <v>273</v>
          </cell>
          <cell r="AE37">
            <v>283</v>
          </cell>
          <cell r="AF37">
            <v>264</v>
          </cell>
          <cell r="AG37">
            <v>217</v>
          </cell>
          <cell r="AH37">
            <v>268.84999999999997</v>
          </cell>
          <cell r="AI37">
            <v>305.30833333333334</v>
          </cell>
          <cell r="AJ37">
            <v>268.5263888888889</v>
          </cell>
          <cell r="AK37">
            <v>267.78078703703704</v>
          </cell>
          <cell r="AL37">
            <v>265.24425154320988</v>
          </cell>
          <cell r="AM37">
            <v>265.45162680041153</v>
          </cell>
          <cell r="AN37">
            <v>273.52689793381347</v>
          </cell>
          <cell r="AO37">
            <v>274.30638092278235</v>
          </cell>
          <cell r="AP37">
            <v>269.13938885435721</v>
          </cell>
          <cell r="AQ37">
            <v>269.2415555152686</v>
          </cell>
          <cell r="AR37">
            <v>269.48501692830718</v>
          </cell>
          <cell r="AS37">
            <v>270.19181115915677</v>
          </cell>
          <cell r="AT37">
            <v>270.9818418856143</v>
          </cell>
          <cell r="AU37">
            <v>270.55766587758109</v>
          </cell>
          <cell r="AV37">
            <v>269.93288003671415</v>
          </cell>
          <cell r="AW37">
            <v>270.06512856710702</v>
          </cell>
          <cell r="AX37">
            <v>270.2023907424134</v>
          </cell>
          <cell r="AY37">
            <v>270.32195304476443</v>
          </cell>
          <cell r="AZ37">
            <v>270.34364335903234</v>
          </cell>
          <cell r="BA37">
            <v>270.23727693793541</v>
          </cell>
          <cell r="BB37">
            <v>270.18387878132779</v>
          </cell>
          <cell r="BC37">
            <v>270.22571190543005</v>
          </cell>
          <cell r="BD37">
            <v>270.25247579515059</v>
          </cell>
        </row>
        <row r="38">
          <cell r="C38" t="str">
            <v>ID_Single Family</v>
          </cell>
          <cell r="D38" t="str">
            <v>Single Family</v>
          </cell>
          <cell r="E38" t="str">
            <v>Existing</v>
          </cell>
          <cell r="AK38">
            <v>560451</v>
          </cell>
          <cell r="AL38">
            <v>559178.33834862499</v>
          </cell>
          <cell r="AM38">
            <v>557908.56663353147</v>
          </cell>
          <cell r="AN38">
            <v>556641.67829230614</v>
          </cell>
          <cell r="AO38">
            <v>555377.66677743755</v>
          </cell>
          <cell r="AP38">
            <v>554116.52555628214</v>
          </cell>
          <cell r="AQ38">
            <v>552858.24811103067</v>
          </cell>
          <cell r="AR38">
            <v>551602.82793867437</v>
          </cell>
          <cell r="AS38">
            <v>550350.25855097128</v>
          </cell>
          <cell r="AT38">
            <v>549100.5334744131</v>
          </cell>
          <cell r="AU38">
            <v>547853.64625019114</v>
          </cell>
          <cell r="AV38">
            <v>546609.59043416334</v>
          </cell>
          <cell r="AW38">
            <v>545368.35959682101</v>
          </cell>
          <cell r="AX38">
            <v>544129.94732325536</v>
          </cell>
          <cell r="AY38">
            <v>542894.34721312439</v>
          </cell>
          <cell r="AZ38">
            <v>541661.55288062</v>
          </cell>
          <cell r="BA38">
            <v>540431.55795443489</v>
          </cell>
          <cell r="BB38">
            <v>539204.35607772938</v>
          </cell>
          <cell r="BC38">
            <v>537979.94090809906</v>
          </cell>
          <cell r="BD38">
            <v>536758.30611754162</v>
          </cell>
        </row>
        <row r="39">
          <cell r="C39" t="str">
            <v>ID_Multi Family</v>
          </cell>
          <cell r="D39" t="str">
            <v>Multifamily - Low Rise</v>
          </cell>
          <cell r="E39" t="str">
            <v>Existing</v>
          </cell>
          <cell r="AK39">
            <v>62297.688470046371</v>
          </cell>
          <cell r="AL39">
            <v>62156.22176949741</v>
          </cell>
          <cell r="AM39">
            <v>62015.076314051694</v>
          </cell>
          <cell r="AN39">
            <v>61874.251374220112</v>
          </cell>
          <cell r="AO39">
            <v>61733.746222170106</v>
          </cell>
          <cell r="AP39">
            <v>61593.560131721882</v>
          </cell>
          <cell r="AQ39">
            <v>61453.692378344676</v>
          </cell>
          <cell r="AR39">
            <v>61314.142239152992</v>
          </cell>
          <cell r="AS39">
            <v>61174.908992902885</v>
          </cell>
          <cell r="AT39">
            <v>61035.991919988213</v>
          </cell>
          <cell r="AU39">
            <v>60897.390302436943</v>
          </cell>
          <cell r="AV39">
            <v>60759.103423907414</v>
          </cell>
          <cell r="AW39">
            <v>60621.130569684647</v>
          </cell>
          <cell r="AX39">
            <v>60483.471026676656</v>
          </cell>
          <cell r="AY39">
            <v>60346.124083410752</v>
          </cell>
          <cell r="AZ39">
            <v>60209.089030029871</v>
          </cell>
          <cell r="BA39">
            <v>60072.365158288914</v>
          </cell>
          <cell r="BB39">
            <v>59935.951761551063</v>
          </cell>
          <cell r="BC39">
            <v>59799.848134784159</v>
          </cell>
          <cell r="BD39">
            <v>59664.053574557031</v>
          </cell>
        </row>
        <row r="40">
          <cell r="D40" t="str">
            <v>Multifamily - High Rise</v>
          </cell>
          <cell r="E40" t="str">
            <v>Existing</v>
          </cell>
          <cell r="AK40">
            <v>14203.645467243141</v>
          </cell>
          <cell r="AL40">
            <v>14171.391576137949</v>
          </cell>
          <cell r="AM40">
            <v>14139.210927743146</v>
          </cell>
          <cell r="AN40">
            <v>14107.103355737881</v>
          </cell>
          <cell r="AO40">
            <v>14075.068694178986</v>
          </cell>
          <cell r="AP40">
            <v>14043.106777500123</v>
          </cell>
          <cell r="AQ40">
            <v>14011.21744051092</v>
          </cell>
          <cell r="AR40">
            <v>13979.400518396127</v>
          </cell>
          <cell r="AS40">
            <v>13947.655846714757</v>
          </cell>
          <cell r="AT40">
            <v>13915.983261399238</v>
          </cell>
          <cell r="AU40">
            <v>13884.382598754568</v>
          </cell>
          <cell r="AV40">
            <v>13852.853695457465</v>
          </cell>
          <cell r="AW40">
            <v>13821.396388555522</v>
          </cell>
          <cell r="AX40">
            <v>13790.010515466372</v>
          </cell>
          <cell r="AY40">
            <v>13758.695913976841</v>
          </cell>
          <cell r="AZ40">
            <v>13727.45242224211</v>
          </cell>
          <cell r="BA40">
            <v>13696.279878784881</v>
          </cell>
          <cell r="BB40">
            <v>13665.178122494543</v>
          </cell>
          <cell r="BC40">
            <v>13634.146992626336</v>
          </cell>
          <cell r="BD40">
            <v>13603.186328800522</v>
          </cell>
        </row>
        <row r="41">
          <cell r="C41" t="str">
            <v>ID_Other Family</v>
          </cell>
          <cell r="D41" t="str">
            <v>Manufactured</v>
          </cell>
          <cell r="E41" t="str">
            <v>Existing</v>
          </cell>
          <cell r="AK41">
            <v>84820.465509259258</v>
          </cell>
          <cell r="AL41">
            <v>83913.990341353419</v>
          </cell>
          <cell r="AM41">
            <v>83017.202661309115</v>
          </cell>
          <cell r="AN41">
            <v>82129.998939074561</v>
          </cell>
          <cell r="AO41">
            <v>81252.276751022233</v>
          </cell>
          <cell r="AP41">
            <v>80383.934768124556</v>
          </cell>
          <cell r="AQ41">
            <v>79524.872744255888</v>
          </cell>
          <cell r="AR41">
            <v>78674.991504619567</v>
          </cell>
          <cell r="AS41">
            <v>77834.19293429864</v>
          </cell>
          <cell r="AT41">
            <v>77002.379966928973</v>
          </cell>
          <cell r="AU41">
            <v>76179.456573493328</v>
          </cell>
          <cell r="AV41">
            <v>75365.32775123528</v>
          </cell>
          <cell r="AW41">
            <v>74559.899512691583</v>
          </cell>
          <cell r="AX41">
            <v>73763.07887484174</v>
          </cell>
          <cell r="AY41">
            <v>72974.773848373516</v>
          </cell>
          <cell r="AZ41">
            <v>72194.893427063245</v>
          </cell>
          <cell r="BA41">
            <v>71423.347577269524</v>
          </cell>
          <cell r="BB41">
            <v>70660.047227539253</v>
          </cell>
          <cell r="BC41">
            <v>69904.90425832475</v>
          </cell>
          <cell r="BD41">
            <v>69157.831491810764</v>
          </cell>
        </row>
        <row r="43">
          <cell r="D43" t="str">
            <v>MONTANA</v>
          </cell>
          <cell r="E43">
            <v>0.56999999999999995</v>
          </cell>
          <cell r="F43" t="str">
            <v>Western MT portion of state</v>
          </cell>
        </row>
        <row r="44">
          <cell r="C44" t="str">
            <v>MT_Single Family</v>
          </cell>
          <cell r="D44" t="str">
            <v>Single Family</v>
          </cell>
          <cell r="E44" t="str">
            <v>New</v>
          </cell>
          <cell r="F44">
            <v>1313</v>
          </cell>
          <cell r="G44">
            <v>972.4</v>
          </cell>
          <cell r="H44">
            <v>825.5</v>
          </cell>
          <cell r="I44">
            <v>730.6</v>
          </cell>
          <cell r="J44">
            <v>696.80000000000007</v>
          </cell>
          <cell r="K44">
            <v>925.6</v>
          </cell>
          <cell r="L44">
            <v>1349.4</v>
          </cell>
          <cell r="M44">
            <v>2454.4</v>
          </cell>
          <cell r="N44">
            <v>2601.3000000000002</v>
          </cell>
          <cell r="O44">
            <v>2906.8</v>
          </cell>
          <cell r="P44">
            <v>2382.9</v>
          </cell>
          <cell r="Q44">
            <v>2070.9</v>
          </cell>
          <cell r="R44">
            <v>1963</v>
          </cell>
          <cell r="S44">
            <v>1986.4</v>
          </cell>
          <cell r="T44">
            <v>2096.9</v>
          </cell>
          <cell r="U44">
            <v>2020.2</v>
          </cell>
          <cell r="V44">
            <v>2246.4</v>
          </cell>
          <cell r="W44">
            <v>2694.9</v>
          </cell>
          <cell r="X44">
            <v>3138.2000000000003</v>
          </cell>
          <cell r="Y44">
            <v>4468.1000000000004</v>
          </cell>
          <cell r="Z44">
            <v>4390.1000000000004</v>
          </cell>
          <cell r="AA44">
            <v>4347.2</v>
          </cell>
          <cell r="AB44">
            <v>3862.3</v>
          </cell>
          <cell r="AC44">
            <v>2616.9</v>
          </cell>
          <cell r="AD44">
            <v>1831.7</v>
          </cell>
          <cell r="AE44">
            <v>1666.6000000000001</v>
          </cell>
          <cell r="AF44">
            <v>1527.5</v>
          </cell>
          <cell r="AG44">
            <v>2199.6</v>
          </cell>
          <cell r="AH44">
            <v>2615.6</v>
          </cell>
          <cell r="AI44">
            <v>2434.9</v>
          </cell>
          <cell r="AJ44">
            <v>3003</v>
          </cell>
          <cell r="AK44">
            <v>3248.7000000000003</v>
          </cell>
          <cell r="AL44">
            <v>3173.3</v>
          </cell>
          <cell r="AM44">
            <v>3031.6</v>
          </cell>
          <cell r="AN44">
            <v>2824.9</v>
          </cell>
          <cell r="AO44">
            <v>2748.2000000000003</v>
          </cell>
          <cell r="AP44">
            <v>2665</v>
          </cell>
          <cell r="AQ44">
            <v>2611.7000000000003</v>
          </cell>
          <cell r="AR44">
            <v>2597.4</v>
          </cell>
          <cell r="AS44">
            <v>2561</v>
          </cell>
          <cell r="AT44">
            <v>2563.6</v>
          </cell>
          <cell r="AU44">
            <v>2544.1</v>
          </cell>
          <cell r="AV44">
            <v>2525.9</v>
          </cell>
          <cell r="AW44">
            <v>2477.8000000000002</v>
          </cell>
          <cell r="AX44">
            <v>2484.3000000000002</v>
          </cell>
          <cell r="AY44">
            <v>2481.7000000000003</v>
          </cell>
          <cell r="AZ44">
            <v>2475.2000000000003</v>
          </cell>
          <cell r="BA44">
            <v>2419.3000000000002</v>
          </cell>
          <cell r="BB44">
            <v>2415.4</v>
          </cell>
          <cell r="BC44">
            <v>2401.1</v>
          </cell>
          <cell r="BD44">
            <v>2398.5</v>
          </cell>
        </row>
        <row r="45">
          <cell r="C45" t="str">
            <v>MT_Multi Family</v>
          </cell>
          <cell r="D45" t="str">
            <v>Multifamily - Low Rise</v>
          </cell>
          <cell r="E45" t="str">
            <v>New</v>
          </cell>
          <cell r="F45">
            <v>860.82519174945844</v>
          </cell>
          <cell r="G45">
            <v>474.93825094095956</v>
          </cell>
          <cell r="H45">
            <v>125.55342428746027</v>
          </cell>
          <cell r="I45">
            <v>239.38975865025668</v>
          </cell>
          <cell r="J45">
            <v>86.494038342320181</v>
          </cell>
          <cell r="K45">
            <v>253.07778115310504</v>
          </cell>
          <cell r="L45">
            <v>443.40968982992769</v>
          </cell>
          <cell r="M45">
            <v>238.40668933003624</v>
          </cell>
          <cell r="N45">
            <v>450.83862929341456</v>
          </cell>
          <cell r="O45">
            <v>732.37259269994001</v>
          </cell>
          <cell r="P45">
            <v>865.92745922778568</v>
          </cell>
          <cell r="Q45">
            <v>1098.5131099856153</v>
          </cell>
          <cell r="R45">
            <v>785.96545249482699</v>
          </cell>
          <cell r="S45">
            <v>745.40877474760293</v>
          </cell>
          <cell r="T45">
            <v>685.7461288484983</v>
          </cell>
          <cell r="U45">
            <v>667.72203160881213</v>
          </cell>
          <cell r="V45">
            <v>593.63332238391354</v>
          </cell>
          <cell r="W45">
            <v>1035.9518784735571</v>
          </cell>
          <cell r="X45">
            <v>903.3500469773611</v>
          </cell>
          <cell r="Y45">
            <v>893.8619142539435</v>
          </cell>
          <cell r="Z45">
            <v>928.12087639779793</v>
          </cell>
          <cell r="AA45">
            <v>772.11945727824411</v>
          </cell>
          <cell r="AB45">
            <v>709.88601514140555</v>
          </cell>
          <cell r="AC45">
            <v>356.68663359518177</v>
          </cell>
          <cell r="AD45">
            <v>136.66696241508441</v>
          </cell>
          <cell r="AE45">
            <v>367.84636582419688</v>
          </cell>
          <cell r="AF45">
            <v>584.82600096441138</v>
          </cell>
          <cell r="AG45">
            <v>746.00336992138523</v>
          </cell>
          <cell r="AH45">
            <v>1413.6131024199028</v>
          </cell>
          <cell r="AI45">
            <v>1716.9789419190136</v>
          </cell>
          <cell r="AJ45">
            <v>1648.045460109282</v>
          </cell>
          <cell r="AK45">
            <v>1722.1281540862396</v>
          </cell>
          <cell r="AL45">
            <v>1580.7212534439332</v>
          </cell>
          <cell r="AM45">
            <v>1472.5799608727305</v>
          </cell>
          <cell r="AN45">
            <v>1442.4819321350953</v>
          </cell>
          <cell r="AO45">
            <v>1359.5082188973515</v>
          </cell>
          <cell r="AP45">
            <v>1280.00164720679</v>
          </cell>
          <cell r="AQ45">
            <v>1292.5421730399576</v>
          </cell>
          <cell r="AR45">
            <v>1322.3745937064909</v>
          </cell>
          <cell r="AS45">
            <v>1349.4518116826594</v>
          </cell>
          <cell r="AT45">
            <v>1351.6834656111594</v>
          </cell>
          <cell r="AU45">
            <v>1377.387737087626</v>
          </cell>
          <cell r="AV45">
            <v>1321.0487447305225</v>
          </cell>
          <cell r="AW45">
            <v>1307.9885038256584</v>
          </cell>
          <cell r="AX45">
            <v>1321.4989092063927</v>
          </cell>
          <cell r="AY45">
            <v>1360.8548786347953</v>
          </cell>
          <cell r="AZ45">
            <v>1395.7475402061953</v>
          </cell>
          <cell r="BA45">
            <v>1395.1035096345979</v>
          </cell>
          <cell r="BB45">
            <v>1429.4425019916998</v>
          </cell>
          <cell r="BC45">
            <v>1435.6741559201971</v>
          </cell>
          <cell r="BD45">
            <v>1447.3521406344007</v>
          </cell>
        </row>
        <row r="46">
          <cell r="C46" t="str">
            <v>MT</v>
          </cell>
          <cell r="D46" t="str">
            <v>Multifamily - High Rise</v>
          </cell>
          <cell r="E46" t="str">
            <v>New</v>
          </cell>
          <cell r="F46">
            <v>42.174808250541538</v>
          </cell>
          <cell r="G46">
            <v>26.061749059040462</v>
          </cell>
          <cell r="H46">
            <v>31.446575712539726</v>
          </cell>
          <cell r="I46">
            <v>24.610241349743323</v>
          </cell>
          <cell r="J46">
            <v>33.505961657679826</v>
          </cell>
          <cell r="K46">
            <v>42.922218846894957</v>
          </cell>
          <cell r="L46">
            <v>33.5903101700723</v>
          </cell>
          <cell r="M46">
            <v>45.593310669963749</v>
          </cell>
          <cell r="N46">
            <v>61.161370706585451</v>
          </cell>
          <cell r="O46">
            <v>69.627407300060014</v>
          </cell>
          <cell r="P46">
            <v>82.072540772214268</v>
          </cell>
          <cell r="Q46">
            <v>66.486890014384684</v>
          </cell>
          <cell r="R46">
            <v>65.034547505173009</v>
          </cell>
          <cell r="S46">
            <v>62.591225252397024</v>
          </cell>
          <cell r="T46">
            <v>62.253871151501713</v>
          </cell>
          <cell r="U46">
            <v>60.277968391187819</v>
          </cell>
          <cell r="V46">
            <v>85.366677616086406</v>
          </cell>
          <cell r="W46">
            <v>79.048121526442912</v>
          </cell>
          <cell r="X46">
            <v>79.649953022638883</v>
          </cell>
          <cell r="Y46">
            <v>82.138085746056518</v>
          </cell>
          <cell r="Z46">
            <v>73.879123602202057</v>
          </cell>
          <cell r="AA46">
            <v>69.880542721755916</v>
          </cell>
          <cell r="AB46">
            <v>49.113984858594421</v>
          </cell>
          <cell r="AC46">
            <v>37.313366404818197</v>
          </cell>
          <cell r="AD46">
            <v>52.333037584915587</v>
          </cell>
          <cell r="AE46">
            <v>68.15363417580312</v>
          </cell>
          <cell r="AF46">
            <v>105.17399903558866</v>
          </cell>
          <cell r="AG46">
            <v>93.9966300786148</v>
          </cell>
          <cell r="AH46">
            <v>113.38689758009713</v>
          </cell>
          <cell r="AI46">
            <v>125.02105808098651</v>
          </cell>
          <cell r="AJ46">
            <v>382.95453989071814</v>
          </cell>
          <cell r="AK46">
            <v>352.8718459137603</v>
          </cell>
          <cell r="AL46">
            <v>331.27874655606695</v>
          </cell>
          <cell r="AM46">
            <v>322.42003912726955</v>
          </cell>
          <cell r="AN46">
            <v>304.51806786490465</v>
          </cell>
          <cell r="AO46">
            <v>290.49178110264859</v>
          </cell>
          <cell r="AP46">
            <v>293.99835279320996</v>
          </cell>
          <cell r="AQ46">
            <v>300.45782696004244</v>
          </cell>
          <cell r="AR46">
            <v>305.62540629350912</v>
          </cell>
          <cell r="AS46">
            <v>306.54818831734065</v>
          </cell>
          <cell r="AT46">
            <v>309.31653438884064</v>
          </cell>
          <cell r="AU46">
            <v>298.61226291237398</v>
          </cell>
          <cell r="AV46">
            <v>296.95125526947754</v>
          </cell>
          <cell r="AW46">
            <v>301.01149617434152</v>
          </cell>
          <cell r="AX46">
            <v>309.50109079360732</v>
          </cell>
          <cell r="AY46">
            <v>316.14512136520466</v>
          </cell>
          <cell r="AZ46">
            <v>317.25245979380469</v>
          </cell>
          <cell r="BA46">
            <v>323.89649036540203</v>
          </cell>
          <cell r="BB46">
            <v>325.55749800830023</v>
          </cell>
          <cell r="BC46">
            <v>328.32584407980289</v>
          </cell>
          <cell r="BD46">
            <v>331.6478593655994</v>
          </cell>
        </row>
        <row r="47">
          <cell r="C47" t="str">
            <v>MT_Other Family</v>
          </cell>
          <cell r="D47" t="str">
            <v>Manufactured</v>
          </cell>
          <cell r="E47" t="str">
            <v>New</v>
          </cell>
          <cell r="F47">
            <v>923</v>
          </cell>
          <cell r="G47">
            <v>667</v>
          </cell>
          <cell r="H47">
            <v>514</v>
          </cell>
          <cell r="I47">
            <v>441</v>
          </cell>
          <cell r="J47">
            <v>480</v>
          </cell>
          <cell r="K47">
            <v>505</v>
          </cell>
          <cell r="L47">
            <v>653</v>
          </cell>
          <cell r="M47">
            <v>1021</v>
          </cell>
          <cell r="N47">
            <v>1453</v>
          </cell>
          <cell r="O47">
            <v>1871</v>
          </cell>
          <cell r="P47">
            <v>1772</v>
          </cell>
          <cell r="Q47">
            <v>1749</v>
          </cell>
          <cell r="R47">
            <v>1681</v>
          </cell>
          <cell r="S47">
            <v>1919</v>
          </cell>
          <cell r="T47">
            <v>1736</v>
          </cell>
          <cell r="U47">
            <v>1195</v>
          </cell>
          <cell r="V47">
            <v>922</v>
          </cell>
          <cell r="W47">
            <v>972</v>
          </cell>
          <cell r="X47">
            <v>827</v>
          </cell>
          <cell r="Y47">
            <v>697</v>
          </cell>
          <cell r="Z47">
            <v>641</v>
          </cell>
          <cell r="AA47">
            <v>611</v>
          </cell>
          <cell r="AB47">
            <v>593</v>
          </cell>
          <cell r="AC47">
            <v>437</v>
          </cell>
          <cell r="AD47">
            <v>290</v>
          </cell>
          <cell r="AE47">
            <v>325</v>
          </cell>
          <cell r="AF47">
            <v>361</v>
          </cell>
          <cell r="AG47">
            <v>468</v>
          </cell>
          <cell r="AH47">
            <v>308.75</v>
          </cell>
          <cell r="AI47">
            <v>364.95833333333331</v>
          </cell>
          <cell r="AJ47">
            <v>352.95138888888891</v>
          </cell>
          <cell r="AK47">
            <v>363.44328703703701</v>
          </cell>
          <cell r="AL47">
            <v>369.85050154320987</v>
          </cell>
          <cell r="AM47">
            <v>371.32558513374482</v>
          </cell>
          <cell r="AN47">
            <v>355.2131826560356</v>
          </cell>
          <cell r="AO47">
            <v>362.95704643204158</v>
          </cell>
          <cell r="AP47">
            <v>362.62349861515963</v>
          </cell>
          <cell r="AQ47">
            <v>364.23551690287144</v>
          </cell>
          <cell r="AR47">
            <v>364.36755521384384</v>
          </cell>
          <cell r="AS47">
            <v>363.45373082561611</v>
          </cell>
          <cell r="AT47">
            <v>362.14175510759469</v>
          </cell>
          <cell r="AU47">
            <v>363.29651718285459</v>
          </cell>
          <cell r="AV47">
            <v>363.35309564132336</v>
          </cell>
          <cell r="AW47">
            <v>363.47469514568405</v>
          </cell>
          <cell r="AX47">
            <v>363.34789151948604</v>
          </cell>
          <cell r="AY47">
            <v>363.17794757042651</v>
          </cell>
          <cell r="AZ47">
            <v>363.13198369456154</v>
          </cell>
          <cell r="BA47">
            <v>363.29702179238939</v>
          </cell>
          <cell r="BB47">
            <v>363.29710589397854</v>
          </cell>
          <cell r="BC47">
            <v>363.28777426942105</v>
          </cell>
          <cell r="BD47">
            <v>363.25662079004383</v>
          </cell>
        </row>
        <row r="48">
          <cell r="C48" t="str">
            <v>MT_Single Family</v>
          </cell>
          <cell r="D48" t="str">
            <v>Single Family</v>
          </cell>
          <cell r="E48" t="str">
            <v>Existing</v>
          </cell>
          <cell r="AK48">
            <v>323649.60000000009</v>
          </cell>
          <cell r="AL48">
            <v>322914.66253998509</v>
          </cell>
          <cell r="AM48">
            <v>322181.39396221231</v>
          </cell>
          <cell r="AN48">
            <v>321449.79047701514</v>
          </cell>
          <cell r="AO48">
            <v>320719.84830333246</v>
          </cell>
          <cell r="AP48">
            <v>319991.56366868917</v>
          </cell>
          <cell r="AQ48">
            <v>319264.93280917662</v>
          </cell>
          <cell r="AR48">
            <v>318539.95196943317</v>
          </cell>
          <cell r="AS48">
            <v>317816.61740262475</v>
          </cell>
          <cell r="AT48">
            <v>317094.92537042563</v>
          </cell>
          <cell r="AU48">
            <v>316374.87214299885</v>
          </cell>
          <cell r="AV48">
            <v>315656.4539989772</v>
          </cell>
          <cell r="AW48">
            <v>314939.66722544387</v>
          </cell>
          <cell r="AX48">
            <v>314224.50811791327</v>
          </cell>
          <cell r="AY48">
            <v>313510.9729803119</v>
          </cell>
          <cell r="AZ48">
            <v>312799.05812495912</v>
          </cell>
          <cell r="BA48">
            <v>312088.7598725484</v>
          </cell>
          <cell r="BB48">
            <v>311380.07455212792</v>
          </cell>
          <cell r="BC48">
            <v>310672.99850108189</v>
          </cell>
          <cell r="BD48">
            <v>309967.52806511155</v>
          </cell>
        </row>
        <row r="49">
          <cell r="C49" t="str">
            <v>MT_Multi Family</v>
          </cell>
          <cell r="D49" t="str">
            <v>Multifamily - Low Rise</v>
          </cell>
          <cell r="E49" t="str">
            <v>Existing</v>
          </cell>
          <cell r="AK49">
            <v>49246.589456226939</v>
          </cell>
          <cell r="AL49">
            <v>49134.75942376897</v>
          </cell>
          <cell r="AM49">
            <v>49023.183336940492</v>
          </cell>
          <cell r="AN49">
            <v>48911.860619077241</v>
          </cell>
          <cell r="AO49">
            <v>48800.790694824464</v>
          </cell>
          <cell r="AP49">
            <v>48689.972990133923</v>
          </cell>
          <cell r="AQ49">
            <v>48579.406932260943</v>
          </cell>
          <cell r="AR49">
            <v>48469.091949761445</v>
          </cell>
          <cell r="AS49">
            <v>48359.027472489004</v>
          </cell>
          <cell r="AT49">
            <v>48249.212931591894</v>
          </cell>
          <cell r="AU49">
            <v>48139.647759510139</v>
          </cell>
          <cell r="AV49">
            <v>48030.331389972584</v>
          </cell>
          <cell r="AW49">
            <v>47921.263257993989</v>
          </cell>
          <cell r="AX49">
            <v>47812.442799872078</v>
          </cell>
          <cell r="AY49">
            <v>47703.869453184649</v>
          </cell>
          <cell r="AZ49">
            <v>47595.54265678666</v>
          </cell>
          <cell r="BA49">
            <v>47487.461850807311</v>
          </cell>
          <cell r="BB49">
            <v>47379.626476647187</v>
          </cell>
          <cell r="BC49">
            <v>47272.035976975341</v>
          </cell>
          <cell r="BD49">
            <v>47164.689795726423</v>
          </cell>
        </row>
        <row r="50">
          <cell r="C50" t="str">
            <v>MT</v>
          </cell>
          <cell r="D50" t="str">
            <v>Multifamily - High Rise</v>
          </cell>
          <cell r="E50" t="str">
            <v>Existing</v>
          </cell>
          <cell r="AK50">
            <v>11228.042553191075</v>
          </cell>
          <cell r="AL50">
            <v>11202.545714180957</v>
          </cell>
          <cell r="AM50">
            <v>11177.106773846983</v>
          </cell>
          <cell r="AN50">
            <v>11151.725600711807</v>
          </cell>
          <cell r="AO50">
            <v>11126.402063596644</v>
          </cell>
          <cell r="AP50">
            <v>11101.136031620596</v>
          </cell>
          <cell r="AQ50">
            <v>11075.927374199966</v>
          </cell>
          <cell r="AR50">
            <v>11050.775961047593</v>
          </cell>
          <cell r="AS50">
            <v>11025.681662172174</v>
          </cell>
          <cell r="AT50">
            <v>11000.644347877589</v>
          </cell>
          <cell r="AU50">
            <v>10975.663888762239</v>
          </cell>
          <cell r="AV50">
            <v>10950.740155718371</v>
          </cell>
          <cell r="AW50">
            <v>10925.87301993141</v>
          </cell>
          <cell r="AX50">
            <v>10901.062352879297</v>
          </cell>
          <cell r="AY50">
            <v>10876.308026331822</v>
          </cell>
          <cell r="AZ50">
            <v>10851.609912349968</v>
          </cell>
          <cell r="BA50">
            <v>10826.967883285235</v>
          </cell>
          <cell r="BB50">
            <v>10802.381811778998</v>
          </cell>
          <cell r="BC50">
            <v>10777.851570761834</v>
          </cell>
          <cell r="BD50">
            <v>10753.377033452874</v>
          </cell>
        </row>
        <row r="51">
          <cell r="C51" t="str">
            <v>MT_Other Family</v>
          </cell>
          <cell r="D51" t="str">
            <v>Manufactured</v>
          </cell>
          <cell r="E51" t="str">
            <v>Existing</v>
          </cell>
          <cell r="AK51">
            <v>71434.103009259255</v>
          </cell>
          <cell r="AL51">
            <v>70670.687716372748</v>
          </cell>
          <cell r="AM51">
            <v>69915.431032397973</v>
          </cell>
          <cell r="AN51">
            <v>69168.245766391818</v>
          </cell>
          <cell r="AO51">
            <v>68429.045659219599</v>
          </cell>
          <cell r="AP51">
            <v>67697.74537359683</v>
          </cell>
          <cell r="AQ51">
            <v>66974.260484237457</v>
          </cell>
          <cell r="AR51">
            <v>66258.507468107273</v>
          </cell>
          <cell r="AS51">
            <v>65550.403694781649</v>
          </cell>
          <cell r="AT51">
            <v>64849.867416906163</v>
          </cell>
          <cell r="AU51">
            <v>64156.817760759273</v>
          </cell>
          <cell r="AV51">
            <v>63471.174716915804</v>
          </cell>
          <cell r="AW51">
            <v>62792.859131010227</v>
          </cell>
          <cell r="AX51">
            <v>62121.792694598647</v>
          </cell>
          <cell r="AY51">
            <v>61457.897936118447</v>
          </cell>
          <cell r="AZ51">
            <v>60801.098211944554</v>
          </cell>
          <cell r="BA51">
            <v>60151.317697541279</v>
          </cell>
          <cell r="BB51">
            <v>59508.481378708726</v>
          </cell>
          <cell r="BC51">
            <v>58872.515042922729</v>
          </cell>
          <cell r="BD51">
            <v>58243.345270767371</v>
          </cell>
        </row>
        <row r="53">
          <cell r="D53" t="str">
            <v>REGION</v>
          </cell>
        </row>
        <row r="54">
          <cell r="D54" t="str">
            <v>Single Family</v>
          </cell>
          <cell r="E54" t="str">
            <v>New</v>
          </cell>
          <cell r="F54">
            <v>28347.41</v>
          </cell>
          <cell r="G54">
            <v>29614.268</v>
          </cell>
          <cell r="H54">
            <v>32248.535</v>
          </cell>
          <cell r="I54">
            <v>34559.442000000003</v>
          </cell>
          <cell r="J54">
            <v>42040.175999999999</v>
          </cell>
          <cell r="K54">
            <v>48415.591999999997</v>
          </cell>
          <cell r="L54">
            <v>44234.158000000003</v>
          </cell>
          <cell r="M54">
            <v>57584.008000000002</v>
          </cell>
          <cell r="N54">
            <v>61360.741000000002</v>
          </cell>
          <cell r="O54">
            <v>63637.875999999997</v>
          </cell>
          <cell r="P54">
            <v>54867.252999999997</v>
          </cell>
          <cell r="Q54">
            <v>57384.413</v>
          </cell>
          <cell r="R54">
            <v>56006.91</v>
          </cell>
          <cell r="S54">
            <v>58939.248</v>
          </cell>
          <cell r="T54">
            <v>56527.233</v>
          </cell>
          <cell r="U54">
            <v>51608.514000000003</v>
          </cell>
          <cell r="V54">
            <v>52738.447999999997</v>
          </cell>
          <cell r="W54">
            <v>59782.093000000001</v>
          </cell>
          <cell r="X54">
            <v>67688.774000000005</v>
          </cell>
          <cell r="Y54">
            <v>74522.816999999995</v>
          </cell>
          <cell r="Z54">
            <v>84872.357000000004</v>
          </cell>
          <cell r="AA54">
            <v>75289.903999999995</v>
          </cell>
          <cell r="AB54">
            <v>57664.510999999999</v>
          </cell>
          <cell r="AC54">
            <v>34509.633000000002</v>
          </cell>
          <cell r="AD54">
            <v>24099.069</v>
          </cell>
          <cell r="AE54">
            <v>24846.962</v>
          </cell>
          <cell r="AF54">
            <v>23007.674999999999</v>
          </cell>
          <cell r="AG54">
            <v>29744.772000000001</v>
          </cell>
          <cell r="AH54">
            <v>35486.892</v>
          </cell>
          <cell r="AI54">
            <v>44415.892999999996</v>
          </cell>
          <cell r="AJ54">
            <v>58293.71</v>
          </cell>
          <cell r="AK54">
            <v>62685.758999999998</v>
          </cell>
          <cell r="AL54">
            <v>59961.781000000003</v>
          </cell>
          <cell r="AM54">
            <v>56834.012000000002</v>
          </cell>
          <cell r="AN54">
            <v>54985.192999999999</v>
          </cell>
          <cell r="AO54">
            <v>53507.474000000002</v>
          </cell>
          <cell r="AP54">
            <v>50982.05</v>
          </cell>
          <cell r="AQ54">
            <v>49561.669000000002</v>
          </cell>
          <cell r="AR54">
            <v>49324.517999999996</v>
          </cell>
          <cell r="AS54">
            <v>48815.77</v>
          </cell>
          <cell r="AT54">
            <v>49683.252</v>
          </cell>
          <cell r="AU54">
            <v>50030.137000000002</v>
          </cell>
          <cell r="AV54">
            <v>49387.762999999999</v>
          </cell>
          <cell r="AW54">
            <v>48079.345999999998</v>
          </cell>
          <cell r="AX54">
            <v>48129.050999999999</v>
          </cell>
          <cell r="AY54">
            <v>48690.569000000003</v>
          </cell>
          <cell r="AZ54">
            <v>48482.864000000001</v>
          </cell>
          <cell r="BA54">
            <v>46879.000999999997</v>
          </cell>
          <cell r="BB54">
            <v>46798.777999999998</v>
          </cell>
          <cell r="BC54">
            <v>46917.627</v>
          </cell>
          <cell r="BD54">
            <v>47236.144999999997</v>
          </cell>
        </row>
        <row r="55">
          <cell r="D55" t="str">
            <v>Multifamily - Low Rise</v>
          </cell>
          <cell r="E55" t="str">
            <v>New</v>
          </cell>
          <cell r="F55">
            <v>20270.709108606741</v>
          </cell>
          <cell r="G55">
            <v>18929.763197074921</v>
          </cell>
          <cell r="H55">
            <v>19012.285997102455</v>
          </cell>
          <cell r="I55">
            <v>22080.053999678374</v>
          </cell>
          <cell r="J55">
            <v>28601.778161129085</v>
          </cell>
          <cell r="K55">
            <v>27202.893689869055</v>
          </cell>
          <cell r="L55">
            <v>12390.21093788289</v>
          </cell>
          <cell r="M55">
            <v>12173.152842775997</v>
          </cell>
          <cell r="N55">
            <v>12361.89700061282</v>
          </cell>
          <cell r="O55">
            <v>17122.743158401601</v>
          </cell>
          <cell r="P55">
            <v>18662.733640245107</v>
          </cell>
          <cell r="Q55">
            <v>21954.730458996564</v>
          </cell>
          <cell r="R55">
            <v>20000.57314201623</v>
          </cell>
          <cell r="S55">
            <v>20642.129902132972</v>
          </cell>
          <cell r="T55">
            <v>18328.494801049026</v>
          </cell>
          <cell r="U55">
            <v>14151.270582179823</v>
          </cell>
          <cell r="V55">
            <v>14626.267683576692</v>
          </cell>
          <cell r="W55">
            <v>12028.647109827847</v>
          </cell>
          <cell r="X55">
            <v>13046.576324182055</v>
          </cell>
          <cell r="Y55">
            <v>13957.232094298253</v>
          </cell>
          <cell r="Z55">
            <v>13931.004497270837</v>
          </cell>
          <cell r="AA55">
            <v>15900.995334173014</v>
          </cell>
          <cell r="AB55">
            <v>15570.247880584542</v>
          </cell>
          <cell r="AC55">
            <v>11944.723214001346</v>
          </cell>
          <cell r="AD55">
            <v>4141.9202192737603</v>
          </cell>
          <cell r="AE55">
            <v>4082.3550519108016</v>
          </cell>
          <cell r="AF55">
            <v>7060.5047847544756</v>
          </cell>
          <cell r="AG55">
            <v>12168.678143163897</v>
          </cell>
          <cell r="AH55">
            <v>19129.179628017948</v>
          </cell>
          <cell r="AI55">
            <v>19420.059444838447</v>
          </cell>
          <cell r="AJ55">
            <v>23068.805408245826</v>
          </cell>
          <cell r="AK55">
            <v>23280.347100904564</v>
          </cell>
          <cell r="AL55">
            <v>23017.418106038647</v>
          </cell>
          <cell r="AM55">
            <v>22811.60852767331</v>
          </cell>
          <cell r="AN55">
            <v>22085.916378202593</v>
          </cell>
          <cell r="AO55">
            <v>20817.853908138593</v>
          </cell>
          <cell r="AP55">
            <v>20070.279329962508</v>
          </cell>
          <cell r="AQ55">
            <v>19887.831284331631</v>
          </cell>
          <cell r="AR55">
            <v>20257.583209811291</v>
          </cell>
          <cell r="AS55">
            <v>20750.368029493613</v>
          </cell>
          <cell r="AT55">
            <v>21314.334279744231</v>
          </cell>
          <cell r="AU55">
            <v>21403.286239774712</v>
          </cell>
          <cell r="AV55">
            <v>21409.137516518917</v>
          </cell>
          <cell r="AW55">
            <v>21443.358292282628</v>
          </cell>
          <cell r="AX55">
            <v>21209.865626522758</v>
          </cell>
          <cell r="AY55">
            <v>20954.17798283829</v>
          </cell>
          <cell r="AZ55">
            <v>20525.44023202754</v>
          </cell>
          <cell r="BA55">
            <v>20175.505597554071</v>
          </cell>
          <cell r="BB55">
            <v>19919.723927484571</v>
          </cell>
          <cell r="BC55">
            <v>19536.194066416414</v>
          </cell>
          <cell r="BD55">
            <v>19462.287131015248</v>
          </cell>
        </row>
        <row r="56">
          <cell r="D56" t="str">
            <v>Multifamily - High Rise</v>
          </cell>
          <cell r="E56" t="str">
            <v>New</v>
          </cell>
          <cell r="F56">
            <v>1479.0008913932584</v>
          </cell>
          <cell r="G56">
            <v>1541.8068029250769</v>
          </cell>
          <cell r="H56">
            <v>1789.2040028975434</v>
          </cell>
          <cell r="I56">
            <v>2697.4260003216255</v>
          </cell>
          <cell r="J56">
            <v>2452.621838870919</v>
          </cell>
          <cell r="K56">
            <v>1250.8263101309401</v>
          </cell>
          <cell r="L56">
            <v>1272.6790621171076</v>
          </cell>
          <cell r="M56">
            <v>1783.7271572240045</v>
          </cell>
          <cell r="N56">
            <v>2321.9429993871795</v>
          </cell>
          <cell r="O56">
            <v>2678.3968415983995</v>
          </cell>
          <cell r="P56">
            <v>3071.6263597548932</v>
          </cell>
          <cell r="Q56">
            <v>2881.3195410034373</v>
          </cell>
          <cell r="R56">
            <v>2811.49685798377</v>
          </cell>
          <cell r="S56">
            <v>2476.4300978670262</v>
          </cell>
          <cell r="T56">
            <v>2052.865198950974</v>
          </cell>
          <cell r="U56">
            <v>2155.6894178201746</v>
          </cell>
          <cell r="V56">
            <v>2035.7623164233071</v>
          </cell>
          <cell r="W56">
            <v>2249.9028901721549</v>
          </cell>
          <cell r="X56">
            <v>2341.7336758179449</v>
          </cell>
          <cell r="Y56">
            <v>2340.0879057017487</v>
          </cell>
          <cell r="Z56">
            <v>2581.1355027291629</v>
          </cell>
          <cell r="AA56">
            <v>2450.9446658269862</v>
          </cell>
          <cell r="AB56">
            <v>2125.3821194154557</v>
          </cell>
          <cell r="AC56">
            <v>1478.8567859986533</v>
          </cell>
          <cell r="AD56">
            <v>1471.80978072624</v>
          </cell>
          <cell r="AE56">
            <v>1909.1649480891979</v>
          </cell>
          <cell r="AF56">
            <v>3074.7952152455237</v>
          </cell>
          <cell r="AG56">
            <v>2010.1218568361005</v>
          </cell>
          <cell r="AH56">
            <v>2152.2103719820498</v>
          </cell>
          <cell r="AI56">
            <v>2768.8805551615533</v>
          </cell>
          <cell r="AJ56">
            <v>5337.8787559635048</v>
          </cell>
          <cell r="AK56">
            <v>5226.2387411561367</v>
          </cell>
          <cell r="AL56">
            <v>5239.95312759432</v>
          </cell>
          <cell r="AM56">
            <v>5271.2612760989568</v>
          </cell>
          <cell r="AN56">
            <v>4985.883552972361</v>
          </cell>
          <cell r="AO56">
            <v>4608.5912035798974</v>
          </cell>
          <cell r="AP56">
            <v>4509.6375960361838</v>
          </cell>
          <cell r="AQ56">
            <v>4481.760351096189</v>
          </cell>
          <cell r="AR56">
            <v>4621.8312800578688</v>
          </cell>
          <cell r="AS56">
            <v>4700.9782942419988</v>
          </cell>
          <cell r="AT56">
            <v>4828.2391631488581</v>
          </cell>
          <cell r="AU56">
            <v>4790.0249139778334</v>
          </cell>
          <cell r="AV56">
            <v>4782.0649962402858</v>
          </cell>
          <cell r="AW56">
            <v>4748.3908346265653</v>
          </cell>
          <cell r="AX56">
            <v>4733.4823682495089</v>
          </cell>
          <cell r="AY56">
            <v>4698.697177079107</v>
          </cell>
          <cell r="AZ56">
            <v>4599.2987885998937</v>
          </cell>
          <cell r="BA56">
            <v>4526.3104216428001</v>
          </cell>
          <cell r="BB56">
            <v>4422.0600452822764</v>
          </cell>
          <cell r="BC56">
            <v>4405.182362066379</v>
          </cell>
          <cell r="BD56">
            <v>4385.1136986120664</v>
          </cell>
        </row>
        <row r="57">
          <cell r="D57" t="str">
            <v>Manufactured</v>
          </cell>
          <cell r="E57" t="str">
            <v>New</v>
          </cell>
          <cell r="F57">
            <v>9693.11</v>
          </cell>
          <cell r="G57">
            <v>8065.19</v>
          </cell>
          <cell r="H57">
            <v>7680.98</v>
          </cell>
          <cell r="I57">
            <v>8859.3700000000008</v>
          </cell>
          <cell r="J57">
            <v>9760.6</v>
          </cell>
          <cell r="K57">
            <v>11657.85</v>
          </cell>
          <cell r="L57">
            <v>11534.21</v>
          </cell>
          <cell r="M57">
            <v>13344.97</v>
          </cell>
          <cell r="N57">
            <v>16910.21</v>
          </cell>
          <cell r="O57">
            <v>19707.47</v>
          </cell>
          <cell r="P57">
            <v>18879.04</v>
          </cell>
          <cell r="Q57">
            <v>16372.93</v>
          </cell>
          <cell r="R57">
            <v>16578.169999999998</v>
          </cell>
          <cell r="S57">
            <v>17170.830000000002</v>
          </cell>
          <cell r="T57">
            <v>13873.52</v>
          </cell>
          <cell r="U57">
            <v>9050.15</v>
          </cell>
          <cell r="V57">
            <v>6886.54</v>
          </cell>
          <cell r="W57">
            <v>7046.04</v>
          </cell>
          <cell r="X57">
            <v>6539.39</v>
          </cell>
          <cell r="Y57">
            <v>6359.29</v>
          </cell>
          <cell r="Z57">
            <v>6381.37</v>
          </cell>
          <cell r="AA57">
            <v>6080.27</v>
          </cell>
          <cell r="AB57">
            <v>4894.01</v>
          </cell>
          <cell r="AC57">
            <v>3674.09</v>
          </cell>
          <cell r="AD57">
            <v>2014.3</v>
          </cell>
          <cell r="AE57">
            <v>1796.25</v>
          </cell>
          <cell r="AF57">
            <v>1477.77</v>
          </cell>
          <cell r="AG57">
            <v>1516.76</v>
          </cell>
          <cell r="AH57">
            <v>2391.3375000000001</v>
          </cell>
          <cell r="AI57">
            <v>2145.0845833333333</v>
          </cell>
          <cell r="AJ57">
            <v>1890.2503472222222</v>
          </cell>
          <cell r="AK57">
            <v>1869.5754050925925</v>
          </cell>
          <cell r="AL57">
            <v>1881.796305941358</v>
          </cell>
          <cell r="AM57">
            <v>1949.1340235982509</v>
          </cell>
          <cell r="AN57">
            <v>2021.1963608646258</v>
          </cell>
          <cell r="AO57">
            <v>1959.5061710087307</v>
          </cell>
          <cell r="AP57">
            <v>1928.5764356212967</v>
          </cell>
          <cell r="AQ57">
            <v>1934.9641170211423</v>
          </cell>
          <cell r="AR57">
            <v>1945.862235675901</v>
          </cell>
          <cell r="AS57">
            <v>1956.539890631658</v>
          </cell>
          <cell r="AT57">
            <v>1957.7742018038925</v>
          </cell>
          <cell r="AU57">
            <v>1947.2038419604366</v>
          </cell>
          <cell r="AV57">
            <v>1945.153453785721</v>
          </cell>
          <cell r="AW57">
            <v>1947.9162901464586</v>
          </cell>
          <cell r="AX57">
            <v>1950.0749856673444</v>
          </cell>
          <cell r="AY57">
            <v>1950.7771106659191</v>
          </cell>
          <cell r="AZ57">
            <v>1949.8166473382953</v>
          </cell>
          <cell r="BA57">
            <v>1948.4903882606959</v>
          </cell>
          <cell r="BB57">
            <v>1948.7048126440727</v>
          </cell>
          <cell r="BC57">
            <v>1949.296705787131</v>
          </cell>
          <cell r="BD57">
            <v>1949.5267750605763</v>
          </cell>
        </row>
        <row r="58">
          <cell r="D58" t="str">
            <v>Single Family</v>
          </cell>
          <cell r="E58" t="str">
            <v>Existing</v>
          </cell>
          <cell r="AK58">
            <v>4203528.2719999999</v>
          </cell>
          <cell r="AL58">
            <v>4193982.9785983553</v>
          </cell>
          <cell r="AM58">
            <v>4184459.3604704877</v>
          </cell>
          <cell r="AN58">
            <v>4174957.36839659</v>
          </cell>
          <cell r="AO58">
            <v>4165476.9532686244</v>
          </cell>
          <cell r="AP58">
            <v>4156018.0660900641</v>
          </cell>
          <cell r="AQ58">
            <v>4146580.6579756448</v>
          </cell>
          <cell r="AR58">
            <v>4137164.6801511091</v>
          </cell>
          <cell r="AS58">
            <v>4127770.0839529554</v>
          </cell>
          <cell r="AT58">
            <v>4118396.8208281873</v>
          </cell>
          <cell r="AU58">
            <v>4109044.8423340586</v>
          </cell>
          <cell r="AV58">
            <v>4099714.1001378288</v>
          </cell>
          <cell r="AW58">
            <v>4090404.5460165106</v>
          </cell>
          <cell r="AX58">
            <v>4081116.1318566194</v>
          </cell>
          <cell r="AY58">
            <v>4071848.8096539262</v>
          </cell>
          <cell r="AZ58">
            <v>4062602.5315132081</v>
          </cell>
          <cell r="BA58">
            <v>4053377.2496480034</v>
          </cell>
          <cell r="BB58">
            <v>4044172.9163803621</v>
          </cell>
          <cell r="BC58">
            <v>4034989.4841406001</v>
          </cell>
          <cell r="BD58">
            <v>4025826.9054670548</v>
          </cell>
        </row>
        <row r="59">
          <cell r="D59" t="str">
            <v>Multifamily - Low Rise</v>
          </cell>
          <cell r="E59" t="str">
            <v>Existing</v>
          </cell>
          <cell r="AK59">
            <v>926243.25609262148</v>
          </cell>
          <cell r="AL59">
            <v>924139.92640956037</v>
          </cell>
          <cell r="AM59">
            <v>922041.3730050053</v>
          </cell>
          <cell r="AN59">
            <v>919947.58503289847</v>
          </cell>
          <cell r="AO59">
            <v>917858.55167181045</v>
          </cell>
          <cell r="AP59">
            <v>915774.26212488639</v>
          </cell>
          <cell r="AQ59">
            <v>913694.70561978838</v>
          </cell>
          <cell r="AR59">
            <v>911619.87140864041</v>
          </cell>
          <cell r="AS59">
            <v>909549.74876797362</v>
          </cell>
          <cell r="AT59">
            <v>907484.32699866977</v>
          </cell>
          <cell r="AU59">
            <v>905423.59542590659</v>
          </cell>
          <cell r="AV59">
            <v>903367.54339910217</v>
          </cell>
          <cell r="AW59">
            <v>901316.16029185988</v>
          </cell>
          <cell r="AX59">
            <v>899269.43550191447</v>
          </cell>
          <cell r="AY59">
            <v>897227.35845107585</v>
          </cell>
          <cell r="AZ59">
            <v>895189.9185851753</v>
          </cell>
          <cell r="BA59">
            <v>893157.10537401051</v>
          </cell>
          <cell r="BB59">
            <v>891128.90831129183</v>
          </cell>
          <cell r="BC59">
            <v>889105.31691458682</v>
          </cell>
          <cell r="BD59">
            <v>887086.32072526717</v>
          </cell>
        </row>
        <row r="60">
          <cell r="D60" t="str">
            <v>Multifamily - High Rise</v>
          </cell>
          <cell r="E60" t="str">
            <v>Existing</v>
          </cell>
          <cell r="AK60">
            <v>211180.07985625503</v>
          </cell>
          <cell r="AL60">
            <v>210700.52836963299</v>
          </cell>
          <cell r="AM60">
            <v>210222.06585706791</v>
          </cell>
          <cell r="AN60">
            <v>209744.68984569819</v>
          </cell>
          <cell r="AO60">
            <v>209268.39786827751</v>
          </cell>
          <cell r="AP60">
            <v>208793.18746316229</v>
          </cell>
          <cell r="AQ60">
            <v>208319.05617429892</v>
          </cell>
          <cell r="AR60">
            <v>207846.00155121088</v>
          </cell>
          <cell r="AS60">
            <v>207374.0211489865</v>
          </cell>
          <cell r="AT60">
            <v>206903.11252826577</v>
          </cell>
          <cell r="AU60">
            <v>206433.27325522827</v>
          </cell>
          <cell r="AV60">
            <v>205964.50090158021</v>
          </cell>
          <cell r="AW60">
            <v>205496.79304454199</v>
          </cell>
          <cell r="AX60">
            <v>205030.14726683579</v>
          </cell>
          <cell r="AY60">
            <v>204564.56115667295</v>
          </cell>
          <cell r="AZ60">
            <v>204100.03230774152</v>
          </cell>
          <cell r="BA60">
            <v>203636.55831919383</v>
          </cell>
          <cell r="BB60">
            <v>203174.13679563423</v>
          </cell>
          <cell r="BC60">
            <v>202712.76534710638</v>
          </cell>
          <cell r="BD60">
            <v>202252.44158908122</v>
          </cell>
        </row>
        <row r="61">
          <cell r="D61" t="str">
            <v>Manufactured</v>
          </cell>
          <cell r="E61" t="str">
            <v>Existing</v>
          </cell>
          <cell r="AK61">
            <v>572006.3278356482</v>
          </cell>
          <cell r="AL61">
            <v>565893.30394507048</v>
          </cell>
          <cell r="AM61">
            <v>559845.60985814757</v>
          </cell>
          <cell r="AN61">
            <v>553862.54739615123</v>
          </cell>
          <cell r="AO61">
            <v>547943.42584177968</v>
          </cell>
          <cell r="AP61">
            <v>542087.56185941794</v>
          </cell>
          <cell r="AQ61">
            <v>536294.27941624937</v>
          </cell>
          <cell r="AR61">
            <v>530562.90970421082</v>
          </cell>
          <cell r="AS61">
            <v>524892.79106278194</v>
          </cell>
          <cell r="AT61">
            <v>519283.26890259917</v>
          </cell>
          <cell r="AU61">
            <v>513733.69562988722</v>
          </cell>
          <cell r="AV61">
            <v>508243.4305716962</v>
          </cell>
          <cell r="AW61">
            <v>502811.8399019395</v>
          </cell>
          <cell r="AX61">
            <v>497438.2965682213</v>
          </cell>
          <cell r="AY61">
            <v>492122.18021944637</v>
          </cell>
          <cell r="AZ61">
            <v>486862.87713420321</v>
          </cell>
          <cell r="BA61">
            <v>481659.78014991269</v>
          </cell>
          <cell r="BB61">
            <v>476512.28859273402</v>
          </cell>
          <cell r="BC61">
            <v>471419.80820821953</v>
          </cell>
          <cell r="BD61">
            <v>466381.75109271082</v>
          </cell>
        </row>
        <row r="63">
          <cell r="G63">
            <v>1986</v>
          </cell>
          <cell r="H63">
            <v>1987</v>
          </cell>
          <cell r="I63">
            <v>1988</v>
          </cell>
          <cell r="J63">
            <v>1989</v>
          </cell>
          <cell r="K63">
            <v>1990</v>
          </cell>
          <cell r="L63">
            <v>1991</v>
          </cell>
          <cell r="M63">
            <v>1992</v>
          </cell>
          <cell r="N63">
            <v>1993</v>
          </cell>
          <cell r="O63">
            <v>1994</v>
          </cell>
          <cell r="P63">
            <v>1995</v>
          </cell>
          <cell r="Q63">
            <v>1996</v>
          </cell>
          <cell r="R63">
            <v>1997</v>
          </cell>
          <cell r="S63">
            <v>1998</v>
          </cell>
          <cell r="T63">
            <v>1999</v>
          </cell>
          <cell r="U63">
            <v>2000</v>
          </cell>
          <cell r="V63">
            <v>2001</v>
          </cell>
          <cell r="W63">
            <v>2002</v>
          </cell>
          <cell r="X63">
            <v>2003</v>
          </cell>
          <cell r="Y63">
            <v>2004</v>
          </cell>
          <cell r="Z63">
            <v>2005</v>
          </cell>
          <cell r="AA63">
            <v>2006</v>
          </cell>
          <cell r="AB63">
            <v>2007</v>
          </cell>
          <cell r="AC63">
            <v>2008</v>
          </cell>
          <cell r="AD63">
            <v>2009</v>
          </cell>
          <cell r="AE63">
            <v>2010</v>
          </cell>
        </row>
        <row r="65">
          <cell r="G65">
            <v>1913.6278001779131</v>
          </cell>
          <cell r="H65">
            <v>1919.2670567662774</v>
          </cell>
          <cell r="I65">
            <v>1924.9063133546417</v>
          </cell>
          <cell r="J65">
            <v>1930.5455699430061</v>
          </cell>
          <cell r="K65">
            <v>1936.1848265313704</v>
          </cell>
          <cell r="L65">
            <v>1941.8240831197347</v>
          </cell>
          <cell r="M65">
            <v>1947.4633397080986</v>
          </cell>
          <cell r="N65">
            <v>1979.8855944438292</v>
          </cell>
          <cell r="O65">
            <v>2012.3078491795598</v>
          </cell>
          <cell r="P65">
            <v>2044.7301039152903</v>
          </cell>
          <cell r="Q65">
            <v>2077.1523586510211</v>
          </cell>
          <cell r="R65">
            <v>2109.5746133867519</v>
          </cell>
          <cell r="S65">
            <v>2141.9968681224827</v>
          </cell>
          <cell r="T65">
            <v>2174.4191228582135</v>
          </cell>
          <cell r="U65">
            <v>2206.8413775939443</v>
          </cell>
          <cell r="V65">
            <v>2239.2636323296751</v>
          </cell>
          <cell r="W65">
            <v>2271.685887065406</v>
          </cell>
          <cell r="X65">
            <v>2304.1081418011368</v>
          </cell>
          <cell r="Y65">
            <v>2336.5303965368676</v>
          </cell>
          <cell r="Z65">
            <v>2368.9526512725984</v>
          </cell>
          <cell r="AA65">
            <v>2206.8413775939434</v>
          </cell>
          <cell r="AB65">
            <v>2185.6308440789344</v>
          </cell>
          <cell r="AC65">
            <v>2164.4203105639253</v>
          </cell>
          <cell r="AD65">
            <v>2143.2097770489163</v>
          </cell>
          <cell r="AE65">
            <v>2121.9992435339072</v>
          </cell>
        </row>
        <row r="66">
          <cell r="G66">
            <v>698.06928427699506</v>
          </cell>
          <cell r="H66">
            <v>708.32070921300988</v>
          </cell>
          <cell r="I66">
            <v>718.57213414902469</v>
          </cell>
          <cell r="J66">
            <v>728.82355908503951</v>
          </cell>
          <cell r="K66">
            <v>739.07498402105432</v>
          </cell>
          <cell r="L66">
            <v>749.32640895706913</v>
          </cell>
          <cell r="M66">
            <v>759.57783389308383</v>
          </cell>
          <cell r="N66">
            <v>768.47360788626315</v>
          </cell>
          <cell r="O66">
            <v>777.36938187944247</v>
          </cell>
          <cell r="P66">
            <v>786.26515587262179</v>
          </cell>
          <cell r="Q66">
            <v>795.16092986580111</v>
          </cell>
          <cell r="R66">
            <v>804.05670385898043</v>
          </cell>
          <cell r="S66">
            <v>812.95247785215975</v>
          </cell>
          <cell r="T66">
            <v>821.84825184533906</v>
          </cell>
          <cell r="U66">
            <v>830.74402583851838</v>
          </cell>
          <cell r="V66">
            <v>839.6397998316977</v>
          </cell>
          <cell r="W66">
            <v>848.53557382487702</v>
          </cell>
          <cell r="X66">
            <v>857.43134781805634</v>
          </cell>
          <cell r="Y66">
            <v>866.32712181123566</v>
          </cell>
          <cell r="Z66">
            <v>875.22289580441497</v>
          </cell>
          <cell r="AA66">
            <v>830.74402583851884</v>
          </cell>
          <cell r="AB66">
            <v>841.39264921368215</v>
          </cell>
          <cell r="AC66">
            <v>852.04127258884546</v>
          </cell>
          <cell r="AD66">
            <v>862.68989596400877</v>
          </cell>
          <cell r="AE66">
            <v>873.33851933917208</v>
          </cell>
        </row>
        <row r="67">
          <cell r="G67">
            <v>1167</v>
          </cell>
          <cell r="H67">
            <v>1167</v>
          </cell>
          <cell r="I67">
            <v>1167</v>
          </cell>
          <cell r="J67">
            <v>1167</v>
          </cell>
          <cell r="K67">
            <v>1167</v>
          </cell>
          <cell r="L67">
            <v>1167</v>
          </cell>
          <cell r="M67">
            <v>1167</v>
          </cell>
          <cell r="N67">
            <v>1167</v>
          </cell>
          <cell r="O67">
            <v>1167</v>
          </cell>
          <cell r="P67">
            <v>1167</v>
          </cell>
          <cell r="Q67">
            <v>1167</v>
          </cell>
          <cell r="R67">
            <v>1167</v>
          </cell>
          <cell r="S67">
            <v>1167</v>
          </cell>
          <cell r="T67">
            <v>1167</v>
          </cell>
          <cell r="U67">
            <v>1167</v>
          </cell>
          <cell r="V67">
            <v>1167</v>
          </cell>
          <cell r="W67">
            <v>1167</v>
          </cell>
          <cell r="X67">
            <v>1167</v>
          </cell>
          <cell r="Y67">
            <v>1167</v>
          </cell>
          <cell r="Z67">
            <v>1167</v>
          </cell>
          <cell r="AA67">
            <v>1167</v>
          </cell>
          <cell r="AB67">
            <v>1167</v>
          </cell>
          <cell r="AC67">
            <v>1167</v>
          </cell>
          <cell r="AD67">
            <v>1167</v>
          </cell>
          <cell r="AE67">
            <v>1167</v>
          </cell>
        </row>
        <row r="68">
          <cell r="G68">
            <v>1029.0487523611168</v>
          </cell>
          <cell r="H68">
            <v>1097.2261598014015</v>
          </cell>
          <cell r="I68">
            <v>1165.4035672416862</v>
          </cell>
          <cell r="J68">
            <v>1233.5809746819709</v>
          </cell>
          <cell r="K68">
            <v>1301.7583821222556</v>
          </cell>
          <cell r="L68">
            <v>1369.9357895625403</v>
          </cell>
          <cell r="M68">
            <v>1438.1131970028248</v>
          </cell>
          <cell r="N68">
            <v>1454.5206034528924</v>
          </cell>
          <cell r="O68">
            <v>1470.9280099029602</v>
          </cell>
          <cell r="P68">
            <v>1487.335416353028</v>
          </cell>
          <cell r="Q68">
            <v>1503.7428228030958</v>
          </cell>
          <cell r="R68">
            <v>1520.1502292531636</v>
          </cell>
          <cell r="S68">
            <v>1536.5576357032314</v>
          </cell>
          <cell r="T68">
            <v>1552.9650421532992</v>
          </cell>
          <cell r="U68">
            <v>1569.372448603367</v>
          </cell>
          <cell r="V68">
            <v>1585.7798550534349</v>
          </cell>
          <cell r="W68">
            <v>1602.1872615035027</v>
          </cell>
          <cell r="X68">
            <v>1618.5946679535705</v>
          </cell>
          <cell r="Y68">
            <v>1635.0020744036383</v>
          </cell>
          <cell r="Z68">
            <v>1651.4094808537061</v>
          </cell>
          <cell r="AA68">
            <v>1569.3724486033664</v>
          </cell>
          <cell r="AB68">
            <v>1563.8258925279456</v>
          </cell>
          <cell r="AC68">
            <v>1558.2793364525248</v>
          </cell>
          <cell r="AD68">
            <v>1552.7327803771041</v>
          </cell>
          <cell r="AE68">
            <v>1547.1862243016833</v>
          </cell>
        </row>
        <row r="75">
          <cell r="G75">
            <v>2064.1078222566443</v>
          </cell>
          <cell r="H75">
            <v>2077.3226475548058</v>
          </cell>
          <cell r="I75">
            <v>2090.5374728529673</v>
          </cell>
          <cell r="J75">
            <v>2103.7522981511288</v>
          </cell>
          <cell r="K75">
            <v>2116.9671234492903</v>
          </cell>
          <cell r="L75">
            <v>2130.1819487474518</v>
          </cell>
          <cell r="M75">
            <v>2143.3967740456146</v>
          </cell>
          <cell r="N75">
            <v>2172.9935438846765</v>
          </cell>
          <cell r="O75">
            <v>2202.5903137237383</v>
          </cell>
          <cell r="P75">
            <v>2232.1870835628001</v>
          </cell>
          <cell r="Q75">
            <v>2261.783853401862</v>
          </cell>
          <cell r="R75">
            <v>2291.3806232409238</v>
          </cell>
          <cell r="S75">
            <v>2320.9773930799856</v>
          </cell>
          <cell r="T75">
            <v>2350.5741629190475</v>
          </cell>
          <cell r="U75">
            <v>2380.1709327581093</v>
          </cell>
          <cell r="V75">
            <v>2409.7677025971711</v>
          </cell>
          <cell r="W75">
            <v>2439.364472436233</v>
          </cell>
          <cell r="X75">
            <v>2468.9612422752948</v>
          </cell>
          <cell r="Y75">
            <v>2498.5580121143566</v>
          </cell>
          <cell r="Z75">
            <v>2528.1547819534185</v>
          </cell>
          <cell r="AA75">
            <v>2380.1709327581084</v>
          </cell>
          <cell r="AB75">
            <v>2386.7545055478154</v>
          </cell>
          <cell r="AC75">
            <v>2393.3380783375223</v>
          </cell>
          <cell r="AD75">
            <v>2399.9216511272293</v>
          </cell>
          <cell r="AE75">
            <v>2406.5052239169363</v>
          </cell>
        </row>
        <row r="76">
          <cell r="G76">
            <v>698.06928427699506</v>
          </cell>
          <cell r="H76">
            <v>708.32070921300988</v>
          </cell>
          <cell r="I76">
            <v>718.57213414902469</v>
          </cell>
          <cell r="J76">
            <v>728.82355908503951</v>
          </cell>
          <cell r="K76">
            <v>739.07498402105432</v>
          </cell>
          <cell r="L76">
            <v>749.32640895706913</v>
          </cell>
          <cell r="M76">
            <v>759.57783389308383</v>
          </cell>
          <cell r="N76">
            <v>768.01287342852402</v>
          </cell>
          <cell r="O76">
            <v>776.4479129639642</v>
          </cell>
          <cell r="P76">
            <v>784.88295249940438</v>
          </cell>
          <cell r="Q76">
            <v>793.31799203484456</v>
          </cell>
          <cell r="R76">
            <v>801.75303157028475</v>
          </cell>
          <cell r="S76">
            <v>810.18807110572493</v>
          </cell>
          <cell r="T76">
            <v>818.62311064116511</v>
          </cell>
          <cell r="U76">
            <v>827.0581501766053</v>
          </cell>
          <cell r="V76">
            <v>835.49318971204548</v>
          </cell>
          <cell r="W76">
            <v>843.92822924748566</v>
          </cell>
          <cell r="X76">
            <v>852.36326878292584</v>
          </cell>
          <cell r="Y76">
            <v>860.79830831836603</v>
          </cell>
          <cell r="Z76">
            <v>869.23334785380621</v>
          </cell>
          <cell r="AA76">
            <v>827.05815017660575</v>
          </cell>
          <cell r="AB76">
            <v>838.1675080095082</v>
          </cell>
          <cell r="AC76">
            <v>849.27686584241064</v>
          </cell>
          <cell r="AD76">
            <v>860.38622367531309</v>
          </cell>
          <cell r="AE76">
            <v>871.49558150821554</v>
          </cell>
        </row>
        <row r="77">
          <cell r="G77">
            <v>1167</v>
          </cell>
          <cell r="H77">
            <v>1167</v>
          </cell>
          <cell r="I77">
            <v>1167</v>
          </cell>
          <cell r="J77">
            <v>1167</v>
          </cell>
          <cell r="K77">
            <v>1167</v>
          </cell>
          <cell r="L77">
            <v>1167</v>
          </cell>
          <cell r="M77">
            <v>1167</v>
          </cell>
          <cell r="N77">
            <v>1167</v>
          </cell>
          <cell r="O77">
            <v>1167</v>
          </cell>
          <cell r="P77">
            <v>1167</v>
          </cell>
          <cell r="Q77">
            <v>1167</v>
          </cell>
          <cell r="R77">
            <v>1167</v>
          </cell>
          <cell r="S77">
            <v>1167</v>
          </cell>
          <cell r="T77">
            <v>1167</v>
          </cell>
          <cell r="U77">
            <v>1167</v>
          </cell>
          <cell r="V77">
            <v>1167</v>
          </cell>
          <cell r="W77">
            <v>1167</v>
          </cell>
          <cell r="X77">
            <v>1167</v>
          </cell>
          <cell r="Y77">
            <v>1167</v>
          </cell>
          <cell r="Z77">
            <v>1167</v>
          </cell>
          <cell r="AA77">
            <v>1167</v>
          </cell>
          <cell r="AB77">
            <v>1167</v>
          </cell>
          <cell r="AC77">
            <v>1167</v>
          </cell>
          <cell r="AD77">
            <v>1167</v>
          </cell>
          <cell r="AE77">
            <v>1167</v>
          </cell>
        </row>
        <row r="78">
          <cell r="G78">
            <v>1168.8738334833329</v>
          </cell>
          <cell r="H78">
            <v>1178.0613546668903</v>
          </cell>
          <cell r="I78">
            <v>1187.2488758504478</v>
          </cell>
          <cell r="J78">
            <v>1196.4363970340053</v>
          </cell>
          <cell r="K78">
            <v>1205.6239182175627</v>
          </cell>
          <cell r="L78">
            <v>1214.8114394011202</v>
          </cell>
          <cell r="M78">
            <v>1223.9989605846772</v>
          </cell>
          <cell r="N78">
            <v>1276.2228998482572</v>
          </cell>
          <cell r="O78">
            <v>1328.4468391118371</v>
          </cell>
          <cell r="P78">
            <v>1380.6707783754171</v>
          </cell>
          <cell r="Q78">
            <v>1432.894717638997</v>
          </cell>
          <cell r="R78">
            <v>1485.118656902577</v>
          </cell>
          <cell r="S78">
            <v>1537.3425961661569</v>
          </cell>
          <cell r="T78">
            <v>1589.5665354297369</v>
          </cell>
          <cell r="U78">
            <v>1641.7904746933168</v>
          </cell>
          <cell r="V78">
            <v>1694.0144139568968</v>
          </cell>
          <cell r="W78">
            <v>1746.2383532204767</v>
          </cell>
          <cell r="X78">
            <v>1798.4622924840567</v>
          </cell>
          <cell r="Y78">
            <v>1850.6862317476366</v>
          </cell>
          <cell r="Z78">
            <v>1902.9101710112166</v>
          </cell>
          <cell r="AA78">
            <v>1641.7904746933164</v>
          </cell>
          <cell r="AB78">
            <v>1579.0383181111101</v>
          </cell>
          <cell r="AC78">
            <v>1516.2861615289039</v>
          </cell>
          <cell r="AD78">
            <v>1453.5340049466977</v>
          </cell>
          <cell r="AE78">
            <v>1390.7818483644915</v>
          </cell>
        </row>
        <row r="85">
          <cell r="G85">
            <v>2155.8815029472858</v>
          </cell>
          <cell r="H85">
            <v>2184.9101777532496</v>
          </cell>
          <cell r="I85">
            <v>2213.9388525592135</v>
          </cell>
          <cell r="J85">
            <v>2242.9675273651774</v>
          </cell>
          <cell r="K85">
            <v>2271.9962021711412</v>
          </cell>
          <cell r="L85">
            <v>2301.0248769771051</v>
          </cell>
          <cell r="M85">
            <v>2330.0535517830704</v>
          </cell>
          <cell r="N85">
            <v>2314.0416857828459</v>
          </cell>
          <cell r="O85">
            <v>2298.0298197826214</v>
          </cell>
          <cell r="P85">
            <v>2282.0179537823969</v>
          </cell>
          <cell r="Q85">
            <v>2266.0060877821725</v>
          </cell>
          <cell r="R85">
            <v>2249.994221781948</v>
          </cell>
          <cell r="S85">
            <v>2233.9823557817235</v>
          </cell>
          <cell r="T85">
            <v>2217.9704897814991</v>
          </cell>
          <cell r="U85">
            <v>2201.9586237812746</v>
          </cell>
          <cell r="V85">
            <v>2185.9467577810501</v>
          </cell>
          <cell r="W85">
            <v>2169.9348917808256</v>
          </cell>
          <cell r="X85">
            <v>2153.9230257806012</v>
          </cell>
          <cell r="Y85">
            <v>2137.9111597803767</v>
          </cell>
          <cell r="Z85">
            <v>2121.8992937801522</v>
          </cell>
          <cell r="AA85">
            <v>2201.9586237812732</v>
          </cell>
          <cell r="AB85">
            <v>2240.9786175580202</v>
          </cell>
          <cell r="AC85">
            <v>2279.9986113347672</v>
          </cell>
          <cell r="AD85">
            <v>2319.0186051115143</v>
          </cell>
          <cell r="AE85">
            <v>2358.0385988882613</v>
          </cell>
        </row>
        <row r="86">
          <cell r="G86">
            <v>698.06928427699506</v>
          </cell>
          <cell r="H86">
            <v>708.32070921300988</v>
          </cell>
          <cell r="I86">
            <v>718.57213414902469</v>
          </cell>
          <cell r="J86">
            <v>728.82355908503951</v>
          </cell>
          <cell r="K86">
            <v>739.07498402105432</v>
          </cell>
          <cell r="L86">
            <v>749.32640895706913</v>
          </cell>
          <cell r="M86">
            <v>759.57783389308383</v>
          </cell>
          <cell r="N86">
            <v>768.01287342852402</v>
          </cell>
          <cell r="O86">
            <v>776.4479129639642</v>
          </cell>
          <cell r="P86">
            <v>784.88295249940438</v>
          </cell>
          <cell r="Q86">
            <v>793.31799203484456</v>
          </cell>
          <cell r="R86">
            <v>801.75303157028475</v>
          </cell>
          <cell r="S86">
            <v>810.18807110572493</v>
          </cell>
          <cell r="T86">
            <v>818.62311064116511</v>
          </cell>
          <cell r="U86">
            <v>827.0581501766053</v>
          </cell>
          <cell r="V86">
            <v>835.49318971204548</v>
          </cell>
          <cell r="W86">
            <v>843.92822924748566</v>
          </cell>
          <cell r="X86">
            <v>852.36326878292584</v>
          </cell>
          <cell r="Y86">
            <v>860.79830831836603</v>
          </cell>
          <cell r="Z86">
            <v>869.23334785380621</v>
          </cell>
          <cell r="AA86">
            <v>827.05815017660575</v>
          </cell>
          <cell r="AB86">
            <v>838.1675080095082</v>
          </cell>
          <cell r="AC86">
            <v>849.27686584241064</v>
          </cell>
          <cell r="AD86">
            <v>860.38622367531309</v>
          </cell>
          <cell r="AE86">
            <v>871.49558150821554</v>
          </cell>
        </row>
        <row r="87">
          <cell r="G87">
            <v>1167</v>
          </cell>
          <cell r="H87">
            <v>1167</v>
          </cell>
          <cell r="I87">
            <v>1167</v>
          </cell>
          <cell r="J87">
            <v>1167</v>
          </cell>
          <cell r="K87">
            <v>1167</v>
          </cell>
          <cell r="L87">
            <v>1167</v>
          </cell>
          <cell r="M87">
            <v>1167</v>
          </cell>
          <cell r="N87">
            <v>1167</v>
          </cell>
          <cell r="O87">
            <v>1167</v>
          </cell>
          <cell r="P87">
            <v>1167</v>
          </cell>
          <cell r="Q87">
            <v>1167</v>
          </cell>
          <cell r="R87">
            <v>1167</v>
          </cell>
          <cell r="S87">
            <v>1167</v>
          </cell>
          <cell r="T87">
            <v>1167</v>
          </cell>
          <cell r="U87">
            <v>1167</v>
          </cell>
          <cell r="V87">
            <v>1167</v>
          </cell>
          <cell r="W87">
            <v>1167</v>
          </cell>
          <cell r="X87">
            <v>1167</v>
          </cell>
          <cell r="Y87">
            <v>1167</v>
          </cell>
          <cell r="Z87">
            <v>1167</v>
          </cell>
          <cell r="AA87">
            <v>1167</v>
          </cell>
          <cell r="AB87">
            <v>1167</v>
          </cell>
          <cell r="AC87">
            <v>1167</v>
          </cell>
          <cell r="AD87">
            <v>1167</v>
          </cell>
          <cell r="AE87">
            <v>1167</v>
          </cell>
        </row>
        <row r="88">
          <cell r="G88">
            <v>1185.5891467799934</v>
          </cell>
          <cell r="H88">
            <v>1211.1874468780647</v>
          </cell>
          <cell r="I88">
            <v>1236.7857469761361</v>
          </cell>
          <cell r="J88">
            <v>1262.3840470742075</v>
          </cell>
          <cell r="K88">
            <v>1287.9823471722789</v>
          </cell>
          <cell r="L88">
            <v>1313.5806472703503</v>
          </cell>
          <cell r="M88">
            <v>1339.1789473684209</v>
          </cell>
          <cell r="N88">
            <v>1363.3137548732943</v>
          </cell>
          <cell r="O88">
            <v>1387.4485623781677</v>
          </cell>
          <cell r="P88">
            <v>1411.5833698830411</v>
          </cell>
          <cell r="Q88">
            <v>1435.7181773879145</v>
          </cell>
          <cell r="R88">
            <v>1459.8529848927878</v>
          </cell>
          <cell r="S88">
            <v>1483.9877923976612</v>
          </cell>
          <cell r="T88">
            <v>1508.1225999025346</v>
          </cell>
          <cell r="U88">
            <v>1532.257407407408</v>
          </cell>
          <cell r="V88">
            <v>1556.3922149122814</v>
          </cell>
          <cell r="W88">
            <v>1580.5270224171547</v>
          </cell>
          <cell r="X88">
            <v>1604.6618299220281</v>
          </cell>
          <cell r="Y88">
            <v>1628.7966374269015</v>
          </cell>
          <cell r="Z88">
            <v>1652.9314449317749</v>
          </cell>
          <cell r="AA88">
            <v>1532.2574074074075</v>
          </cell>
          <cell r="AB88">
            <v>1537.9043981481482</v>
          </cell>
          <cell r="AC88">
            <v>1543.5513888888888</v>
          </cell>
          <cell r="AD88">
            <v>1549.1983796296295</v>
          </cell>
          <cell r="AE88">
            <v>1554.8453703703701</v>
          </cell>
        </row>
        <row r="95">
          <cell r="G95">
            <v>2189.132116156165</v>
          </cell>
          <cell r="H95">
            <v>2153.2906631184565</v>
          </cell>
          <cell r="I95">
            <v>2117.4492100807479</v>
          </cell>
          <cell r="J95">
            <v>2081.6077570430393</v>
          </cell>
          <cell r="K95">
            <v>2045.7663040053308</v>
          </cell>
          <cell r="L95">
            <v>2009.9248509676222</v>
          </cell>
          <cell r="M95">
            <v>1974.083397929913</v>
          </cell>
          <cell r="N95">
            <v>2052.2554545152962</v>
          </cell>
          <cell r="O95">
            <v>2130.4275111006791</v>
          </cell>
          <cell r="P95">
            <v>2208.5995676860621</v>
          </cell>
          <cell r="Q95">
            <v>2286.771624271445</v>
          </cell>
          <cell r="R95">
            <v>2364.943680856828</v>
          </cell>
          <cell r="S95">
            <v>2443.115737442211</v>
          </cell>
          <cell r="T95">
            <v>2521.2877940275939</v>
          </cell>
          <cell r="U95">
            <v>2599.4598506129769</v>
          </cell>
          <cell r="V95">
            <v>2677.6319071983598</v>
          </cell>
          <cell r="W95">
            <v>2755.8039637837428</v>
          </cell>
          <cell r="X95">
            <v>2833.9760203691258</v>
          </cell>
          <cell r="Y95">
            <v>2912.1480769545087</v>
          </cell>
          <cell r="Z95">
            <v>2990.3201335398917</v>
          </cell>
          <cell r="AA95">
            <v>2599.4598506129778</v>
          </cell>
          <cell r="AB95">
            <v>2551.8698894298795</v>
          </cell>
          <cell r="AC95">
            <v>2504.2799282467813</v>
          </cell>
          <cell r="AD95">
            <v>2456.6899670636831</v>
          </cell>
          <cell r="AE95">
            <v>2409.1000058805848</v>
          </cell>
        </row>
        <row r="96">
          <cell r="G96">
            <v>698.06928427699506</v>
          </cell>
          <cell r="H96">
            <v>708.32070921300988</v>
          </cell>
          <cell r="I96">
            <v>718.57213414902469</v>
          </cell>
          <cell r="J96">
            <v>728.82355908503951</v>
          </cell>
          <cell r="K96">
            <v>739.07498402105432</v>
          </cell>
          <cell r="L96">
            <v>749.32640895706913</v>
          </cell>
          <cell r="M96">
            <v>759.57783389308383</v>
          </cell>
          <cell r="N96">
            <v>768.01287342852402</v>
          </cell>
          <cell r="O96">
            <v>776.4479129639642</v>
          </cell>
          <cell r="P96">
            <v>784.88295249940438</v>
          </cell>
          <cell r="Q96">
            <v>793.31799203484456</v>
          </cell>
          <cell r="R96">
            <v>801.75303157028475</v>
          </cell>
          <cell r="S96">
            <v>810.18807110572493</v>
          </cell>
          <cell r="T96">
            <v>818.62311064116511</v>
          </cell>
          <cell r="U96">
            <v>827.0581501766053</v>
          </cell>
          <cell r="V96">
            <v>835.49318971204548</v>
          </cell>
          <cell r="W96">
            <v>843.92822924748566</v>
          </cell>
          <cell r="X96">
            <v>852.36326878292584</v>
          </cell>
          <cell r="Y96">
            <v>860.79830831836603</v>
          </cell>
          <cell r="Z96">
            <v>869.23334785380621</v>
          </cell>
          <cell r="AA96">
            <v>827.05815017660575</v>
          </cell>
          <cell r="AB96">
            <v>838.1675080095082</v>
          </cell>
          <cell r="AC96">
            <v>849.27686584241064</v>
          </cell>
          <cell r="AD96">
            <v>860.38622367531309</v>
          </cell>
          <cell r="AE96">
            <v>871.49558150821554</v>
          </cell>
        </row>
        <row r="97">
          <cell r="G97">
            <v>1167</v>
          </cell>
          <cell r="H97">
            <v>1167</v>
          </cell>
          <cell r="I97">
            <v>1167</v>
          </cell>
          <cell r="J97">
            <v>1167</v>
          </cell>
          <cell r="K97">
            <v>1167</v>
          </cell>
          <cell r="L97">
            <v>1167</v>
          </cell>
          <cell r="M97">
            <v>1167</v>
          </cell>
          <cell r="N97">
            <v>1167</v>
          </cell>
          <cell r="O97">
            <v>1167</v>
          </cell>
          <cell r="P97">
            <v>1167</v>
          </cell>
          <cell r="Q97">
            <v>1167</v>
          </cell>
          <cell r="R97">
            <v>1167</v>
          </cell>
          <cell r="S97">
            <v>1167</v>
          </cell>
          <cell r="T97">
            <v>1167</v>
          </cell>
          <cell r="U97">
            <v>1167</v>
          </cell>
          <cell r="V97">
            <v>1167</v>
          </cell>
          <cell r="W97">
            <v>1167</v>
          </cell>
          <cell r="X97">
            <v>1167</v>
          </cell>
          <cell r="Y97">
            <v>1167</v>
          </cell>
          <cell r="Z97">
            <v>1167</v>
          </cell>
          <cell r="AA97">
            <v>1167</v>
          </cell>
          <cell r="AB97">
            <v>1167</v>
          </cell>
          <cell r="AC97">
            <v>1167</v>
          </cell>
          <cell r="AD97">
            <v>1167</v>
          </cell>
          <cell r="AE97">
            <v>1167</v>
          </cell>
        </row>
        <row r="98">
          <cell r="G98">
            <v>1352.0807344379759</v>
          </cell>
          <cell r="H98">
            <v>1364.8439453649801</v>
          </cell>
          <cell r="I98">
            <v>1377.6071562919842</v>
          </cell>
          <cell r="J98">
            <v>1390.3703672189883</v>
          </cell>
          <cell r="K98">
            <v>1403.1335781459925</v>
          </cell>
          <cell r="L98">
            <v>1415.8967890729966</v>
          </cell>
          <cell r="M98">
            <v>1428.66</v>
          </cell>
          <cell r="N98">
            <v>1488.9047619047619</v>
          </cell>
          <cell r="O98">
            <v>1549.1495238095238</v>
          </cell>
          <cell r="P98">
            <v>1609.3942857142856</v>
          </cell>
          <cell r="Q98">
            <v>1669.6390476190475</v>
          </cell>
          <cell r="R98">
            <v>1729.8838095238093</v>
          </cell>
          <cell r="S98">
            <v>1790.1285714285711</v>
          </cell>
          <cell r="T98">
            <v>1850.373333333333</v>
          </cell>
          <cell r="U98">
            <v>1910.6180952380948</v>
          </cell>
          <cell r="V98">
            <v>1970.8628571428567</v>
          </cell>
          <cell r="W98">
            <v>2031.1076190476185</v>
          </cell>
          <cell r="X98">
            <v>2091.3523809523804</v>
          </cell>
          <cell r="Y98">
            <v>2151.5971428571424</v>
          </cell>
          <cell r="Z98">
            <v>2211.8419047619045</v>
          </cell>
          <cell r="AA98">
            <v>1910.6180952380955</v>
          </cell>
          <cell r="AB98">
            <v>1897.2483333333337</v>
          </cell>
          <cell r="AC98">
            <v>1883.8785714285718</v>
          </cell>
          <cell r="AD98">
            <v>1870.50880952381</v>
          </cell>
          <cell r="AE98">
            <v>1857.1390476190481</v>
          </cell>
        </row>
      </sheetData>
      <sheetData sheetId="5">
        <row r="24">
          <cell r="G24">
            <v>19224</v>
          </cell>
          <cell r="H24">
            <v>20881</v>
          </cell>
          <cell r="I24">
            <v>22030</v>
          </cell>
          <cell r="J24">
            <v>26693</v>
          </cell>
          <cell r="K24">
            <v>29534</v>
          </cell>
          <cell r="L24">
            <v>25256</v>
          </cell>
          <cell r="M24">
            <v>32825</v>
          </cell>
          <cell r="N24">
            <v>33591</v>
          </cell>
          <cell r="O24">
            <v>34363</v>
          </cell>
          <cell r="P24">
            <v>28330</v>
          </cell>
          <cell r="Q24">
            <v>28658</v>
          </cell>
          <cell r="R24">
            <v>28846</v>
          </cell>
          <cell r="S24">
            <v>29714</v>
          </cell>
          <cell r="T24">
            <v>28101</v>
          </cell>
          <cell r="U24">
            <v>25350</v>
          </cell>
          <cell r="V24">
            <v>26054</v>
          </cell>
          <cell r="W24">
            <v>30098</v>
          </cell>
          <cell r="X24">
            <v>34243</v>
          </cell>
          <cell r="Y24">
            <v>36326</v>
          </cell>
          <cell r="Z24">
            <v>40247</v>
          </cell>
          <cell r="AA24">
            <v>36985</v>
          </cell>
          <cell r="AB24">
            <v>30373</v>
          </cell>
          <cell r="AC24">
            <v>18826</v>
          </cell>
          <cell r="AD24">
            <v>13391</v>
          </cell>
          <cell r="AE24">
            <v>14886</v>
          </cell>
        </row>
        <row r="25">
          <cell r="G25">
            <v>14869.183557824352</v>
          </cell>
          <cell r="H25">
            <v>15220.21190520253</v>
          </cell>
          <cell r="I25">
            <v>18940.327900324999</v>
          </cell>
          <cell r="J25">
            <v>18837.087988326672</v>
          </cell>
          <cell r="K25">
            <v>17883.866659845167</v>
          </cell>
          <cell r="L25">
            <v>8123.2235993523336</v>
          </cell>
          <cell r="M25">
            <v>7903.1488702815295</v>
          </cell>
          <cell r="N25">
            <v>7592.1801314599406</v>
          </cell>
          <cell r="O25">
            <v>9401.6361134168346</v>
          </cell>
          <cell r="P25">
            <v>9701.2779324751245</v>
          </cell>
          <cell r="Q25">
            <v>11104.526723200062</v>
          </cell>
          <cell r="R25">
            <v>10897.632074550364</v>
          </cell>
          <cell r="S25">
            <v>12645.60766842474</v>
          </cell>
          <cell r="T25">
            <v>11965.262831791384</v>
          </cell>
          <cell r="U25">
            <v>10483.919915783859</v>
          </cell>
          <cell r="V25">
            <v>9971.9026959155963</v>
          </cell>
          <cell r="W25">
            <v>7253.9578552287549</v>
          </cell>
          <cell r="X25">
            <v>7119.6062546632547</v>
          </cell>
          <cell r="Y25">
            <v>7985.0504417912043</v>
          </cell>
          <cell r="Z25">
            <v>8677.2745487052198</v>
          </cell>
          <cell r="AA25">
            <v>9569.5883473366248</v>
          </cell>
          <cell r="AB25">
            <v>10771.842399662728</v>
          </cell>
          <cell r="AC25">
            <v>8763.9200796845034</v>
          </cell>
          <cell r="AD25">
            <v>2981.3702838569475</v>
          </cell>
          <cell r="AE25">
            <v>3522.5521445353306</v>
          </cell>
        </row>
        <row r="26">
          <cell r="G26">
            <v>968.81644217564758</v>
          </cell>
          <cell r="H26">
            <v>1167.7880947974693</v>
          </cell>
          <cell r="I26">
            <v>1180.6720996750003</v>
          </cell>
          <cell r="J26">
            <v>1129.91201167333</v>
          </cell>
          <cell r="K26">
            <v>657.13334015483224</v>
          </cell>
          <cell r="L26">
            <v>654.77640064766615</v>
          </cell>
          <cell r="M26">
            <v>652.8511297184707</v>
          </cell>
          <cell r="N26">
            <v>756.81986854005959</v>
          </cell>
          <cell r="O26">
            <v>787.36388658316514</v>
          </cell>
          <cell r="P26">
            <v>872.72206752487591</v>
          </cell>
          <cell r="Q26">
            <v>879.4732767999385</v>
          </cell>
          <cell r="R26">
            <v>984.36792544963578</v>
          </cell>
          <cell r="S26">
            <v>957.39233157526019</v>
          </cell>
          <cell r="T26">
            <v>887.73716820861637</v>
          </cell>
          <cell r="U26">
            <v>863.08008421613988</v>
          </cell>
          <cell r="V26">
            <v>722.09730408440362</v>
          </cell>
          <cell r="W26">
            <v>726.04214477124526</v>
          </cell>
          <cell r="X26">
            <v>786.3937453367455</v>
          </cell>
          <cell r="Y26">
            <v>838.94955820879602</v>
          </cell>
          <cell r="Z26">
            <v>904.72545129478021</v>
          </cell>
          <cell r="AA26">
            <v>978.41165266337521</v>
          </cell>
          <cell r="AB26">
            <v>852.15760033727156</v>
          </cell>
          <cell r="AC26">
            <v>520.07992031549577</v>
          </cell>
          <cell r="AD26">
            <v>564.62971614305252</v>
          </cell>
          <cell r="AE26">
            <v>705.44785546466926</v>
          </cell>
        </row>
        <row r="27">
          <cell r="G27">
            <v>4550</v>
          </cell>
          <cell r="H27">
            <v>3873</v>
          </cell>
          <cell r="I27">
            <v>4184</v>
          </cell>
          <cell r="J27">
            <v>4397</v>
          </cell>
          <cell r="K27">
            <v>5645</v>
          </cell>
          <cell r="L27">
            <v>5353</v>
          </cell>
          <cell r="M27">
            <v>5964</v>
          </cell>
          <cell r="N27">
            <v>6849</v>
          </cell>
          <cell r="O27">
            <v>7332</v>
          </cell>
          <cell r="P27">
            <v>7252</v>
          </cell>
          <cell r="Q27">
            <v>6257</v>
          </cell>
          <cell r="R27">
            <v>6419</v>
          </cell>
          <cell r="S27">
            <v>6874</v>
          </cell>
          <cell r="T27">
            <v>5339</v>
          </cell>
          <cell r="U27">
            <v>3853</v>
          </cell>
          <cell r="V27">
            <v>2971</v>
          </cell>
          <cell r="W27">
            <v>2933</v>
          </cell>
          <cell r="X27">
            <v>2868</v>
          </cell>
          <cell r="Y27">
            <v>2705</v>
          </cell>
          <cell r="Z27">
            <v>2723</v>
          </cell>
          <cell r="AA27">
            <v>2653</v>
          </cell>
          <cell r="AB27">
            <v>2063</v>
          </cell>
          <cell r="AC27">
            <v>1621</v>
          </cell>
          <cell r="AD27">
            <v>859</v>
          </cell>
          <cell r="AE27">
            <v>681</v>
          </cell>
        </row>
        <row r="34">
          <cell r="G34">
            <v>2868</v>
          </cell>
          <cell r="H34">
            <v>2692</v>
          </cell>
          <cell r="I34">
            <v>2813</v>
          </cell>
          <cell r="J34">
            <v>3536</v>
          </cell>
          <cell r="K34">
            <v>4754</v>
          </cell>
          <cell r="L34">
            <v>5803</v>
          </cell>
          <cell r="M34">
            <v>8453</v>
          </cell>
          <cell r="N34">
            <v>9522</v>
          </cell>
          <cell r="O34">
            <v>10120</v>
          </cell>
          <cell r="P34">
            <v>8784</v>
          </cell>
          <cell r="Q34">
            <v>9538</v>
          </cell>
          <cell r="R34">
            <v>9107</v>
          </cell>
          <cell r="S34">
            <v>10575</v>
          </cell>
          <cell r="T34">
            <v>10544</v>
          </cell>
          <cell r="U34">
            <v>9631</v>
          </cell>
          <cell r="V34">
            <v>9441</v>
          </cell>
          <cell r="W34">
            <v>10730</v>
          </cell>
          <cell r="X34">
            <v>12976</v>
          </cell>
          <cell r="Y34">
            <v>15094</v>
          </cell>
          <cell r="Z34">
            <v>18771</v>
          </cell>
          <cell r="AA34">
            <v>15444</v>
          </cell>
          <cell r="AB34">
            <v>9693</v>
          </cell>
          <cell r="AC34">
            <v>6027</v>
          </cell>
          <cell r="AD34">
            <v>4336</v>
          </cell>
          <cell r="AE34">
            <v>3706</v>
          </cell>
        </row>
        <row r="35">
          <cell r="G35">
            <v>848.82991832591654</v>
          </cell>
          <cell r="H35">
            <v>518.17882714524762</v>
          </cell>
          <cell r="I35">
            <v>288.37484437276629</v>
          </cell>
          <cell r="J35">
            <v>818.68632809921849</v>
          </cell>
          <cell r="K35">
            <v>922.54881309467987</v>
          </cell>
          <cell r="L35">
            <v>713.12107820425172</v>
          </cell>
          <cell r="M35">
            <v>1322.6430437243826</v>
          </cell>
          <cell r="N35">
            <v>1874.8440142054371</v>
          </cell>
          <cell r="O35">
            <v>2484.0690897878753</v>
          </cell>
          <cell r="P35">
            <v>1754.5624245646084</v>
          </cell>
          <cell r="Q35">
            <v>1502.6818009503679</v>
          </cell>
          <cell r="R35">
            <v>1099.0598706051132</v>
          </cell>
          <cell r="S35">
            <v>998.51700550573537</v>
          </cell>
          <cell r="T35">
            <v>1279.6542411025091</v>
          </cell>
          <cell r="U35">
            <v>931.97705912690287</v>
          </cell>
          <cell r="V35">
            <v>1416.4873706075907</v>
          </cell>
          <cell r="W35">
            <v>1622.1096316302473</v>
          </cell>
          <cell r="X35">
            <v>1725.2037386728252</v>
          </cell>
          <cell r="Y35">
            <v>1627.7922787378966</v>
          </cell>
          <cell r="Z35">
            <v>1461.0310065714518</v>
          </cell>
          <cell r="AA35">
            <v>1503.1641209172849</v>
          </cell>
          <cell r="AB35">
            <v>1434.6085653222435</v>
          </cell>
          <cell r="AC35">
            <v>616.53672479350837</v>
          </cell>
          <cell r="AD35">
            <v>410.6655928821981</v>
          </cell>
          <cell r="AE35">
            <v>283.5340494616637</v>
          </cell>
        </row>
        <row r="36">
          <cell r="G36">
            <v>45.170081674083427</v>
          </cell>
          <cell r="H36">
            <v>35.82117285475239</v>
          </cell>
          <cell r="I36">
            <v>62.625155627233696</v>
          </cell>
          <cell r="J36">
            <v>68.313671900781529</v>
          </cell>
          <cell r="K36">
            <v>60.451186905320142</v>
          </cell>
          <cell r="L36">
            <v>93.878921795748312</v>
          </cell>
          <cell r="M36">
            <v>125.35695627561738</v>
          </cell>
          <cell r="N36">
            <v>157.15598579456281</v>
          </cell>
          <cell r="O36">
            <v>120.93091021212476</v>
          </cell>
          <cell r="P36">
            <v>108.43757543539168</v>
          </cell>
          <cell r="Q36">
            <v>88.318199049632</v>
          </cell>
          <cell r="R36">
            <v>84.940129394886824</v>
          </cell>
          <cell r="S36">
            <v>100.48299449426467</v>
          </cell>
          <cell r="T36">
            <v>84.345758897490967</v>
          </cell>
          <cell r="U36">
            <v>113.02294087309717</v>
          </cell>
          <cell r="V36">
            <v>126.51262939240925</v>
          </cell>
          <cell r="W36">
            <v>133.89036836975254</v>
          </cell>
          <cell r="X36">
            <v>129.79626132717482</v>
          </cell>
          <cell r="Y36">
            <v>122.20772126210333</v>
          </cell>
          <cell r="Z36">
            <v>125.96899342854817</v>
          </cell>
          <cell r="AA36">
            <v>120.8358790827151</v>
          </cell>
          <cell r="AB36">
            <v>73.391434677756436</v>
          </cell>
          <cell r="AC36">
            <v>61.463275206491645</v>
          </cell>
          <cell r="AD36">
            <v>55.334407117801909</v>
          </cell>
          <cell r="AE36">
            <v>72.465950538336273</v>
          </cell>
        </row>
        <row r="37">
          <cell r="G37">
            <v>838</v>
          </cell>
          <cell r="H37">
            <v>605</v>
          </cell>
          <cell r="I37">
            <v>572</v>
          </cell>
          <cell r="J37">
            <v>703</v>
          </cell>
          <cell r="K37">
            <v>820</v>
          </cell>
          <cell r="L37">
            <v>1089</v>
          </cell>
          <cell r="M37">
            <v>1696</v>
          </cell>
          <cell r="N37">
            <v>2779</v>
          </cell>
          <cell r="O37">
            <v>3712</v>
          </cell>
          <cell r="P37">
            <v>3167</v>
          </cell>
          <cell r="Q37">
            <v>2635</v>
          </cell>
          <cell r="R37">
            <v>2634</v>
          </cell>
          <cell r="S37">
            <v>2980</v>
          </cell>
          <cell r="T37">
            <v>2343</v>
          </cell>
          <cell r="U37">
            <v>1317</v>
          </cell>
          <cell r="V37">
            <v>998</v>
          </cell>
          <cell r="W37">
            <v>1042</v>
          </cell>
          <cell r="X37">
            <v>785</v>
          </cell>
          <cell r="Y37">
            <v>765</v>
          </cell>
          <cell r="Z37">
            <v>798</v>
          </cell>
          <cell r="AA37">
            <v>849</v>
          </cell>
          <cell r="AB37">
            <v>721</v>
          </cell>
          <cell r="AC37">
            <v>526</v>
          </cell>
          <cell r="AD37">
            <v>273</v>
          </cell>
          <cell r="AE37">
            <v>283</v>
          </cell>
        </row>
        <row r="44">
          <cell r="G44">
            <v>972.4</v>
          </cell>
          <cell r="H44">
            <v>825.5</v>
          </cell>
          <cell r="I44">
            <v>730.6</v>
          </cell>
          <cell r="J44">
            <v>696.80000000000007</v>
          </cell>
          <cell r="K44">
            <v>925.6</v>
          </cell>
          <cell r="L44">
            <v>1349.4</v>
          </cell>
          <cell r="M44">
            <v>2454.4</v>
          </cell>
          <cell r="N44">
            <v>2601.3000000000002</v>
          </cell>
          <cell r="O44">
            <v>2906.8</v>
          </cell>
          <cell r="P44">
            <v>2382.9</v>
          </cell>
          <cell r="Q44">
            <v>2070.9</v>
          </cell>
          <cell r="R44">
            <v>1963</v>
          </cell>
          <cell r="S44">
            <v>1986.4</v>
          </cell>
          <cell r="T44">
            <v>2096.9</v>
          </cell>
          <cell r="U44">
            <v>2020.2</v>
          </cell>
          <cell r="V44">
            <v>2246.4</v>
          </cell>
          <cell r="W44">
            <v>2694.9</v>
          </cell>
          <cell r="X44">
            <v>3138.2000000000003</v>
          </cell>
          <cell r="Y44">
            <v>4468.1000000000004</v>
          </cell>
          <cell r="Z44">
            <v>4390.1000000000004</v>
          </cell>
          <cell r="AA44">
            <v>4347.2</v>
          </cell>
          <cell r="AB44">
            <v>3862.3</v>
          </cell>
          <cell r="AC44">
            <v>2616.9</v>
          </cell>
          <cell r="AD44">
            <v>1831.7</v>
          </cell>
          <cell r="AE44">
            <v>1666.6000000000001</v>
          </cell>
        </row>
        <row r="45">
          <cell r="G45">
            <v>474.93825094095956</v>
          </cell>
          <cell r="H45">
            <v>125.55342428746027</v>
          </cell>
          <cell r="I45">
            <v>239.38975865025668</v>
          </cell>
          <cell r="J45">
            <v>86.494038342320181</v>
          </cell>
          <cell r="K45">
            <v>253.07778115310504</v>
          </cell>
          <cell r="L45">
            <v>443.40968982992769</v>
          </cell>
          <cell r="M45">
            <v>238.40668933003624</v>
          </cell>
          <cell r="N45">
            <v>450.83862929341456</v>
          </cell>
          <cell r="O45">
            <v>732.37259269994001</v>
          </cell>
          <cell r="P45">
            <v>865.92745922778568</v>
          </cell>
          <cell r="Q45">
            <v>1098.5131099856153</v>
          </cell>
          <cell r="R45">
            <v>785.96545249482699</v>
          </cell>
          <cell r="S45">
            <v>745.40877474760293</v>
          </cell>
          <cell r="T45">
            <v>685.7461288484983</v>
          </cell>
          <cell r="U45">
            <v>667.72203160881213</v>
          </cell>
          <cell r="V45">
            <v>593.63332238391354</v>
          </cell>
          <cell r="W45">
            <v>1035.9518784735571</v>
          </cell>
          <cell r="X45">
            <v>903.3500469773611</v>
          </cell>
          <cell r="Y45">
            <v>893.8619142539435</v>
          </cell>
          <cell r="Z45">
            <v>928.12087639779793</v>
          </cell>
          <cell r="AA45">
            <v>772.11945727824411</v>
          </cell>
          <cell r="AB45">
            <v>709.88601514140555</v>
          </cell>
          <cell r="AC45">
            <v>356.68663359518177</v>
          </cell>
          <cell r="AD45">
            <v>136.66696241508441</v>
          </cell>
          <cell r="AE45">
            <v>367.84636582419688</v>
          </cell>
        </row>
        <row r="46">
          <cell r="G46">
            <v>26.061749059040462</v>
          </cell>
          <cell r="H46">
            <v>31.446575712539726</v>
          </cell>
          <cell r="I46">
            <v>24.610241349743323</v>
          </cell>
          <cell r="J46">
            <v>33.505961657679826</v>
          </cell>
          <cell r="K46">
            <v>42.922218846894957</v>
          </cell>
          <cell r="L46">
            <v>33.5903101700723</v>
          </cell>
          <cell r="M46">
            <v>45.593310669963749</v>
          </cell>
          <cell r="N46">
            <v>61.161370706585451</v>
          </cell>
          <cell r="O46">
            <v>69.627407300060014</v>
          </cell>
          <cell r="P46">
            <v>82.072540772214268</v>
          </cell>
          <cell r="Q46">
            <v>66.486890014384684</v>
          </cell>
          <cell r="R46">
            <v>65.034547505173009</v>
          </cell>
          <cell r="S46">
            <v>62.591225252397024</v>
          </cell>
          <cell r="T46">
            <v>62.253871151501713</v>
          </cell>
          <cell r="U46">
            <v>60.277968391187819</v>
          </cell>
          <cell r="V46">
            <v>85.366677616086406</v>
          </cell>
          <cell r="W46">
            <v>79.048121526442912</v>
          </cell>
          <cell r="X46">
            <v>79.649953022638883</v>
          </cell>
          <cell r="Y46">
            <v>82.138085746056518</v>
          </cell>
          <cell r="Z46">
            <v>73.879123602202057</v>
          </cell>
          <cell r="AA46">
            <v>69.880542721755916</v>
          </cell>
          <cell r="AB46">
            <v>49.113984858594421</v>
          </cell>
          <cell r="AC46">
            <v>37.313366404818197</v>
          </cell>
          <cell r="AD46">
            <v>52.333037584915587</v>
          </cell>
          <cell r="AE46">
            <v>68.15363417580312</v>
          </cell>
        </row>
        <row r="47">
          <cell r="G47">
            <v>667</v>
          </cell>
          <cell r="H47">
            <v>514</v>
          </cell>
          <cell r="I47">
            <v>441</v>
          </cell>
          <cell r="J47">
            <v>480</v>
          </cell>
          <cell r="K47">
            <v>505</v>
          </cell>
          <cell r="L47">
            <v>653</v>
          </cell>
          <cell r="M47">
            <v>1021</v>
          </cell>
          <cell r="N47">
            <v>1453</v>
          </cell>
          <cell r="O47">
            <v>1871</v>
          </cell>
          <cell r="P47">
            <v>1772</v>
          </cell>
          <cell r="Q47">
            <v>1749</v>
          </cell>
          <cell r="R47">
            <v>1681</v>
          </cell>
          <cell r="S47">
            <v>1919</v>
          </cell>
          <cell r="T47">
            <v>1736</v>
          </cell>
          <cell r="U47">
            <v>1195</v>
          </cell>
          <cell r="V47">
            <v>922</v>
          </cell>
          <cell r="W47">
            <v>972</v>
          </cell>
          <cell r="X47">
            <v>827</v>
          </cell>
          <cell r="Y47">
            <v>697</v>
          </cell>
          <cell r="Z47">
            <v>641</v>
          </cell>
          <cell r="AA47">
            <v>611</v>
          </cell>
          <cell r="AB47">
            <v>593</v>
          </cell>
          <cell r="AC47">
            <v>437</v>
          </cell>
          <cell r="AD47">
            <v>290</v>
          </cell>
          <cell r="AE47">
            <v>325</v>
          </cell>
        </row>
        <row r="54">
          <cell r="G54">
            <v>29614.268</v>
          </cell>
          <cell r="H54">
            <v>32248.535</v>
          </cell>
          <cell r="I54">
            <v>34559.441999999995</v>
          </cell>
          <cell r="J54">
            <v>42040.175999999999</v>
          </cell>
          <cell r="K54">
            <v>48415.591999999997</v>
          </cell>
          <cell r="L54">
            <v>44234.157999999996</v>
          </cell>
          <cell r="M54">
            <v>57584.008000000002</v>
          </cell>
          <cell r="N54">
            <v>61360.741000000002</v>
          </cell>
          <cell r="O54">
            <v>63637.876000000004</v>
          </cell>
          <cell r="P54">
            <v>54867.252999999997</v>
          </cell>
          <cell r="Q54">
            <v>57384.413</v>
          </cell>
          <cell r="R54">
            <v>56006.91</v>
          </cell>
          <cell r="S54">
            <v>58939.248</v>
          </cell>
          <cell r="T54">
            <v>56527.233</v>
          </cell>
          <cell r="U54">
            <v>51608.513999999996</v>
          </cell>
          <cell r="V54">
            <v>52738.448000000004</v>
          </cell>
          <cell r="W54">
            <v>59782.093000000001</v>
          </cell>
          <cell r="X54">
            <v>67688.774000000005</v>
          </cell>
          <cell r="Y54">
            <v>74522.816999999995</v>
          </cell>
          <cell r="Z54">
            <v>84872.357000000004</v>
          </cell>
          <cell r="AA54">
            <v>75289.903999999995</v>
          </cell>
          <cell r="AB54">
            <v>57664.510999999999</v>
          </cell>
          <cell r="AC54">
            <v>34509.633000000002</v>
          </cell>
          <cell r="AD54">
            <v>24099.069</v>
          </cell>
          <cell r="AE54">
            <v>24846.962</v>
          </cell>
        </row>
        <row r="55">
          <cell r="G55">
            <v>18929.763197074921</v>
          </cell>
          <cell r="H55">
            <v>19012.285997102455</v>
          </cell>
          <cell r="I55">
            <v>22080.05399967837</v>
          </cell>
          <cell r="J55">
            <v>28601.778161129085</v>
          </cell>
          <cell r="K55">
            <v>27202.893689869059</v>
          </cell>
          <cell r="L55">
            <v>12390.210937882894</v>
          </cell>
          <cell r="M55">
            <v>12173.152842775997</v>
          </cell>
          <cell r="N55">
            <v>12361.89700061282</v>
          </cell>
          <cell r="O55">
            <v>17122.743158401601</v>
          </cell>
          <cell r="P55">
            <v>18662.733640245107</v>
          </cell>
          <cell r="Q55">
            <v>21954.730458996564</v>
          </cell>
          <cell r="R55">
            <v>20000.57314201623</v>
          </cell>
          <cell r="S55">
            <v>20642.129902132976</v>
          </cell>
          <cell r="T55">
            <v>18328.494801049026</v>
          </cell>
          <cell r="U55">
            <v>14151.270582179823</v>
          </cell>
          <cell r="V55">
            <v>14626.267683576692</v>
          </cell>
          <cell r="W55">
            <v>12028.647109827845</v>
          </cell>
          <cell r="X55">
            <v>13046.576324182057</v>
          </cell>
          <cell r="Y55">
            <v>13957.232094298251</v>
          </cell>
          <cell r="Z55">
            <v>13931.004497270837</v>
          </cell>
          <cell r="AA55">
            <v>15900.995334173014</v>
          </cell>
          <cell r="AB55">
            <v>15570.247880584542</v>
          </cell>
          <cell r="AC55">
            <v>11944.723214001346</v>
          </cell>
          <cell r="AD55">
            <v>4141.9202192737603</v>
          </cell>
          <cell r="AE55">
            <v>4082.3550519108021</v>
          </cell>
        </row>
        <row r="56">
          <cell r="G56">
            <v>1541.8068029250769</v>
          </cell>
          <cell r="H56">
            <v>1789.2040028975434</v>
          </cell>
          <cell r="I56">
            <v>2697.4260003216259</v>
          </cell>
          <cell r="J56">
            <v>2452.6218388709185</v>
          </cell>
          <cell r="K56">
            <v>1250.8263101309403</v>
          </cell>
          <cell r="L56">
            <v>1272.6790621171076</v>
          </cell>
          <cell r="M56">
            <v>1783.7271572240043</v>
          </cell>
          <cell r="N56">
            <v>2321.94299938718</v>
          </cell>
          <cell r="O56">
            <v>2678.3968415983995</v>
          </cell>
          <cell r="P56">
            <v>3071.6263597548932</v>
          </cell>
          <cell r="Q56">
            <v>2881.3195410034377</v>
          </cell>
          <cell r="R56">
            <v>2811.4968579837696</v>
          </cell>
          <cell r="S56">
            <v>2476.4300978670262</v>
          </cell>
          <cell r="T56">
            <v>2052.8651989509744</v>
          </cell>
          <cell r="U56">
            <v>2155.6894178201746</v>
          </cell>
          <cell r="V56">
            <v>2035.7623164233073</v>
          </cell>
          <cell r="W56">
            <v>2249.9028901721549</v>
          </cell>
          <cell r="X56">
            <v>2341.7336758179449</v>
          </cell>
          <cell r="Y56">
            <v>2340.0879057017487</v>
          </cell>
          <cell r="Z56">
            <v>2581.1355027291629</v>
          </cell>
          <cell r="AA56">
            <v>2450.9446658269858</v>
          </cell>
          <cell r="AB56">
            <v>2125.3821194154557</v>
          </cell>
          <cell r="AC56">
            <v>1478.8567859986533</v>
          </cell>
          <cell r="AD56">
            <v>1471.80978072624</v>
          </cell>
          <cell r="AE56">
            <v>1909.1649480891979</v>
          </cell>
        </row>
        <row r="57">
          <cell r="G57">
            <v>8065.1900000000005</v>
          </cell>
          <cell r="H57">
            <v>7680.98</v>
          </cell>
          <cell r="I57">
            <v>8859.369999999999</v>
          </cell>
          <cell r="J57">
            <v>9760.6</v>
          </cell>
          <cell r="K57">
            <v>11657.85</v>
          </cell>
          <cell r="L57">
            <v>11534.21</v>
          </cell>
          <cell r="M57">
            <v>13344.97</v>
          </cell>
          <cell r="N57">
            <v>16910.21</v>
          </cell>
          <cell r="O57">
            <v>19707.47</v>
          </cell>
          <cell r="P57">
            <v>18879.04</v>
          </cell>
          <cell r="Q57">
            <v>16372.93</v>
          </cell>
          <cell r="R57">
            <v>16578.169999999998</v>
          </cell>
          <cell r="S57">
            <v>17170.830000000002</v>
          </cell>
          <cell r="T57">
            <v>13873.52</v>
          </cell>
          <cell r="U57">
            <v>9050.15</v>
          </cell>
          <cell r="V57">
            <v>6886.54</v>
          </cell>
          <cell r="W57">
            <v>7046.04</v>
          </cell>
          <cell r="X57">
            <v>6539.3899999999994</v>
          </cell>
          <cell r="Y57">
            <v>6359.29</v>
          </cell>
          <cell r="Z57">
            <v>6381.37</v>
          </cell>
          <cell r="AA57">
            <v>6080.27</v>
          </cell>
          <cell r="AB57">
            <v>4894.01</v>
          </cell>
          <cell r="AC57">
            <v>3674.09</v>
          </cell>
          <cell r="AD57">
            <v>2014.3</v>
          </cell>
          <cell r="AE57">
            <v>1796.25</v>
          </cell>
        </row>
      </sheetData>
      <sheetData sheetId="6">
        <row r="20">
          <cell r="H20">
            <v>0.54056403834827815</v>
          </cell>
          <cell r="I20">
            <v>0.48200277076100684</v>
          </cell>
          <cell r="J20">
            <v>0.56609879065860214</v>
          </cell>
          <cell r="K20">
            <v>0.38751242004584513</v>
          </cell>
          <cell r="L20">
            <v>0.37711808922827855</v>
          </cell>
          <cell r="M20">
            <v>0.25636734424005708</v>
          </cell>
          <cell r="N20">
            <v>0.44466162759752242</v>
          </cell>
          <cell r="O20">
            <v>0.45536974953410997</v>
          </cell>
          <cell r="P20">
            <v>0.70573583862289258</v>
          </cell>
          <cell r="Q20">
            <v>0.32030228474056088</v>
          </cell>
          <cell r="R20">
            <v>0.45656607817537698</v>
          </cell>
          <cell r="S20">
            <v>0.54274096423648555</v>
          </cell>
          <cell r="T20">
            <v>0.5468986965635122</v>
          </cell>
          <cell r="U20">
            <v>0.68988938711233838</v>
          </cell>
          <cell r="V20">
            <v>0.53901469469811258</v>
          </cell>
          <cell r="W20">
            <v>0.3806850435515966</v>
          </cell>
          <cell r="X20">
            <v>0.49257182617893736</v>
          </cell>
          <cell r="Y20">
            <v>0.47062937090000179</v>
          </cell>
          <cell r="Z20">
            <v>0.56590400000000007</v>
          </cell>
          <cell r="AA20">
            <v>0.63572800000000007</v>
          </cell>
          <cell r="AB20">
            <v>0.55195677698180112</v>
          </cell>
          <cell r="AC20">
            <v>0.49509450059010646</v>
          </cell>
          <cell r="AD20">
            <v>0.48926806425812347</v>
          </cell>
          <cell r="AE20">
            <v>0.50707539425908554</v>
          </cell>
        </row>
        <row r="21">
          <cell r="H21">
            <v>0.40814400000000001</v>
          </cell>
          <cell r="I21">
            <v>0.39798</v>
          </cell>
          <cell r="J21">
            <v>0.425238</v>
          </cell>
          <cell r="K21">
            <v>0.88486200000000004</v>
          </cell>
          <cell r="L21">
            <v>0.683562</v>
          </cell>
          <cell r="M21">
            <v>0.85707600000000006</v>
          </cell>
          <cell r="N21">
            <v>0.88373999999999997</v>
          </cell>
          <cell r="O21">
            <v>1.075866</v>
          </cell>
          <cell r="P21">
            <v>1.041018</v>
          </cell>
          <cell r="Q21">
            <v>0.91416599999999992</v>
          </cell>
          <cell r="R21">
            <v>1.1944680000000001</v>
          </cell>
          <cell r="S21">
            <v>0.82579200000000008</v>
          </cell>
          <cell r="T21">
            <v>1.2765060000000001</v>
          </cell>
          <cell r="U21">
            <v>1.201794</v>
          </cell>
          <cell r="V21">
            <v>1.6133040000000001</v>
          </cell>
          <cell r="W21">
            <v>2.0698000000000003</v>
          </cell>
          <cell r="X21">
            <v>1.415</v>
          </cell>
          <cell r="Y21">
            <v>1.1031</v>
          </cell>
          <cell r="Z21">
            <v>1.0355000000000001</v>
          </cell>
          <cell r="AA21">
            <v>0.28970000000000001</v>
          </cell>
          <cell r="AB21">
            <v>0.96416996977002289</v>
          </cell>
          <cell r="AC21">
            <v>1.0474829794917409</v>
          </cell>
          <cell r="AD21">
            <v>1.0602062008599469</v>
          </cell>
          <cell r="AE21">
            <v>1.0741061198150028</v>
          </cell>
        </row>
        <row r="22">
          <cell r="H22">
            <v>0.210256</v>
          </cell>
          <cell r="I22">
            <v>0.20502000000000001</v>
          </cell>
          <cell r="J22">
            <v>0.21906200000000001</v>
          </cell>
          <cell r="K22">
            <v>0.45583800000000002</v>
          </cell>
          <cell r="L22">
            <v>0.35213800000000001</v>
          </cell>
          <cell r="M22">
            <v>0.44152400000000003</v>
          </cell>
          <cell r="N22">
            <v>0.45526000000000005</v>
          </cell>
          <cell r="O22">
            <v>0.554234</v>
          </cell>
          <cell r="P22">
            <v>0.53628200000000004</v>
          </cell>
          <cell r="Q22">
            <v>0.47093400000000002</v>
          </cell>
          <cell r="R22">
            <v>0.61533199999999999</v>
          </cell>
          <cell r="S22">
            <v>0.42540800000000006</v>
          </cell>
          <cell r="T22">
            <v>0.65759400000000001</v>
          </cell>
          <cell r="U22">
            <v>0.61910600000000016</v>
          </cell>
          <cell r="V22">
            <v>0.83109600000000017</v>
          </cell>
          <cell r="W22">
            <v>0.93820000000000003</v>
          </cell>
          <cell r="X22">
            <v>0.94359999999999999</v>
          </cell>
          <cell r="Y22">
            <v>0.53320000000000001</v>
          </cell>
          <cell r="Z22">
            <v>0.64049999999999996</v>
          </cell>
          <cell r="AA22">
            <v>0.29170000000000001</v>
          </cell>
          <cell r="AB22">
            <v>0.43694662123493522</v>
          </cell>
          <cell r="AC22">
            <v>0.58273476357135601</v>
          </cell>
          <cell r="AD22">
            <v>0.6086834810811409</v>
          </cell>
          <cell r="AE22">
            <v>0.64149366754371639</v>
          </cell>
        </row>
        <row r="23">
          <cell r="H23">
            <v>1.9095</v>
          </cell>
          <cell r="I23">
            <v>2.8365629999999999</v>
          </cell>
          <cell r="J23">
            <v>2.2281</v>
          </cell>
          <cell r="K23">
            <v>1.61</v>
          </cell>
          <cell r="L23">
            <v>1.4142000000000001</v>
          </cell>
          <cell r="M23">
            <v>1.5080250000000002</v>
          </cell>
          <cell r="N23">
            <v>0.83910000000000007</v>
          </cell>
          <cell r="O23">
            <v>1.2907</v>
          </cell>
          <cell r="P23">
            <v>3.8820000000000001</v>
          </cell>
          <cell r="Q23">
            <v>3.8363</v>
          </cell>
          <cell r="R23">
            <v>5.9918000000000005</v>
          </cell>
          <cell r="S23">
            <v>4.3921000000000001</v>
          </cell>
          <cell r="T23">
            <v>3.3323</v>
          </cell>
          <cell r="U23">
            <v>3.0750000000000002</v>
          </cell>
          <cell r="V23">
            <v>3.1429999999999998</v>
          </cell>
          <cell r="W23">
            <v>2.3030999999999997</v>
          </cell>
          <cell r="X23">
            <v>1.4487000000000001</v>
          </cell>
          <cell r="Y23">
            <v>2.0606</v>
          </cell>
          <cell r="Z23">
            <v>3.4781999999999997</v>
          </cell>
          <cell r="AA23">
            <v>2.6520000000000001</v>
          </cell>
          <cell r="AB23">
            <v>2.9438208100000005</v>
          </cell>
          <cell r="AC23">
            <v>2.7560084900000006</v>
          </cell>
          <cell r="AD23">
            <v>2.603018580000001</v>
          </cell>
          <cell r="AE23">
            <v>2.6672277900000001</v>
          </cell>
        </row>
        <row r="24">
          <cell r="H24">
            <v>0.14913168675370994</v>
          </cell>
          <cell r="I24">
            <v>0.1329757089339306</v>
          </cell>
          <cell r="J24">
            <v>0.15617625578296401</v>
          </cell>
          <cell r="K24">
            <v>0.1069075571805157</v>
          </cell>
          <cell r="L24">
            <v>0.10403995227613426</v>
          </cell>
          <cell r="M24">
            <v>7.0727040207687705E-2</v>
          </cell>
          <cell r="N24">
            <v>0.12267397357932248</v>
          </cell>
          <cell r="O24">
            <v>0.12562814768836453</v>
          </cell>
          <cell r="P24">
            <v>0.19469955185691878</v>
          </cell>
          <cell r="Q24">
            <v>8.8365515657279348E-2</v>
          </cell>
          <cell r="R24">
            <v>0.12595819278113293</v>
          </cell>
          <cell r="S24">
            <v>0.14973226061104264</v>
          </cell>
          <cell r="T24">
            <v>0.15087930257279522</v>
          </cell>
          <cell r="U24">
            <v>0.19032780702155982</v>
          </cell>
          <cell r="V24">
            <v>0.14870425130569837</v>
          </cell>
          <cell r="W24">
            <v>0.16880282991010148</v>
          </cell>
          <cell r="X24">
            <v>0.21751936506571806</v>
          </cell>
          <cell r="Y24">
            <v>0.19732937621560423</v>
          </cell>
          <cell r="Z24">
            <v>0.10970000000000001</v>
          </cell>
          <cell r="AA24">
            <v>9.4200000000000006E-2</v>
          </cell>
          <cell r="AB24">
            <v>9.8923323863743931E-2</v>
          </cell>
          <cell r="AC24">
            <v>0.10283212131183471</v>
          </cell>
          <cell r="AD24">
            <v>0.11325872838672849</v>
          </cell>
          <cell r="AE24">
            <v>0.12860505588071519</v>
          </cell>
        </row>
        <row r="25">
          <cell r="H25">
            <v>6.0347113246290073E-2</v>
          </cell>
          <cell r="I25">
            <v>5.3809491066069394E-2</v>
          </cell>
          <cell r="J25">
            <v>6.3197744217035973E-2</v>
          </cell>
          <cell r="K25">
            <v>4.326084281948428E-2</v>
          </cell>
          <cell r="L25">
            <v>4.2100447723865751E-2</v>
          </cell>
          <cell r="M25">
            <v>2.8620159792312291E-2</v>
          </cell>
          <cell r="N25">
            <v>4.9640826420677527E-2</v>
          </cell>
          <cell r="O25">
            <v>5.0836252311635494E-2</v>
          </cell>
          <cell r="P25">
            <v>7.8786448143081236E-2</v>
          </cell>
          <cell r="Q25">
            <v>3.5757684342720655E-2</v>
          </cell>
          <cell r="R25">
            <v>5.0969807218867055E-2</v>
          </cell>
          <cell r="S25">
            <v>6.059013938895734E-2</v>
          </cell>
          <cell r="T25">
            <v>6.1054297427204751E-2</v>
          </cell>
          <cell r="U25">
            <v>7.7017392978440125E-2</v>
          </cell>
          <cell r="V25">
            <v>6.0174148694301641E-2</v>
          </cell>
          <cell r="W25">
            <v>6.8307170089898533E-2</v>
          </cell>
          <cell r="X25">
            <v>8.8020634934281985E-2</v>
          </cell>
          <cell r="Y25">
            <v>7.9850623784395738E-2</v>
          </cell>
          <cell r="Z25">
            <v>0.10970000000000001</v>
          </cell>
          <cell r="AA25">
            <v>9.4200000000000006E-2</v>
          </cell>
          <cell r="AB25">
            <v>9.8923323863743931E-2</v>
          </cell>
          <cell r="AC25">
            <v>0.10283212131183471</v>
          </cell>
          <cell r="AD25">
            <v>0.11325872838672849</v>
          </cell>
          <cell r="AE25">
            <v>0.12860505588071519</v>
          </cell>
        </row>
        <row r="26">
          <cell r="H26">
            <v>6.7900000000000002E-2</v>
          </cell>
          <cell r="I26">
            <v>9.3099999999999988E-2</v>
          </cell>
          <cell r="J26">
            <v>0.17349999999999999</v>
          </cell>
          <cell r="K26">
            <v>0.1865</v>
          </cell>
          <cell r="L26">
            <v>9.8900000000000002E-2</v>
          </cell>
          <cell r="M26">
            <v>0.1036</v>
          </cell>
          <cell r="N26">
            <v>0.1033</v>
          </cell>
          <cell r="O26">
            <v>0.10299999999999999</v>
          </cell>
          <cell r="P26">
            <v>0.16839999999999999</v>
          </cell>
          <cell r="Q26">
            <v>9.3099999999999988E-2</v>
          </cell>
          <cell r="R26">
            <v>0.1729</v>
          </cell>
          <cell r="S26">
            <v>0.18819999999999998</v>
          </cell>
          <cell r="T26">
            <v>0.14849999999999999</v>
          </cell>
          <cell r="U26">
            <v>0.13639999999999999</v>
          </cell>
          <cell r="V26">
            <v>0.11509999999999999</v>
          </cell>
          <cell r="W26">
            <v>0.34855169999999996</v>
          </cell>
          <cell r="X26">
            <v>0.44914379999999998</v>
          </cell>
          <cell r="Y26">
            <v>0.4074546</v>
          </cell>
          <cell r="Z26">
            <v>3.5369000000000002</v>
          </cell>
          <cell r="AA26">
            <v>3.9733000000000001</v>
          </cell>
          <cell r="AB26">
            <v>3.449729856136257</v>
          </cell>
          <cell r="AC26">
            <v>3.0943406286881654</v>
          </cell>
          <cell r="AD26">
            <v>3.0579254016132715</v>
          </cell>
          <cell r="AE26">
            <v>3.1692212141192844</v>
          </cell>
        </row>
        <row r="27">
          <cell r="H27">
            <v>0.34329999999999999</v>
          </cell>
          <cell r="I27">
            <v>0.83960000000000001</v>
          </cell>
          <cell r="J27">
            <v>0.4824</v>
          </cell>
          <cell r="K27">
            <v>0.71140000000000003</v>
          </cell>
          <cell r="L27">
            <v>0.39800000000000002</v>
          </cell>
          <cell r="M27">
            <v>0.2858</v>
          </cell>
          <cell r="N27">
            <v>0.30269999999999997</v>
          </cell>
          <cell r="O27">
            <v>0.52510000000000001</v>
          </cell>
          <cell r="P27">
            <v>0.63970000000000005</v>
          </cell>
          <cell r="Q27">
            <v>0.7984</v>
          </cell>
          <cell r="R27">
            <v>2.4916999999999998</v>
          </cell>
          <cell r="S27">
            <v>1.8120000000000001</v>
          </cell>
          <cell r="T27">
            <v>1.2810999999999999</v>
          </cell>
          <cell r="U27">
            <v>1.1297999999999999</v>
          </cell>
          <cell r="V27">
            <v>0.46079999999999999</v>
          </cell>
          <cell r="W27">
            <v>0.1757</v>
          </cell>
          <cell r="X27">
            <v>0.44230000000000003</v>
          </cell>
          <cell r="Y27">
            <v>0.30010000000000003</v>
          </cell>
          <cell r="Z27">
            <v>0.32750000000000001</v>
          </cell>
          <cell r="AA27">
            <v>0.47720000000000001</v>
          </cell>
          <cell r="AB27">
            <v>0.55912742999999965</v>
          </cell>
          <cell r="AC27">
            <v>0.54529235000000031</v>
          </cell>
          <cell r="AD27">
            <v>0.40671768999999997</v>
          </cell>
          <cell r="AE27">
            <v>0.44228138999999994</v>
          </cell>
        </row>
        <row r="28">
          <cell r="H28">
            <v>0.20303249999999998</v>
          </cell>
          <cell r="I28">
            <v>0.28772999999999999</v>
          </cell>
          <cell r="J28">
            <v>0.3148125</v>
          </cell>
          <cell r="K28">
            <v>0.34934699999999996</v>
          </cell>
          <cell r="L28">
            <v>0.195408</v>
          </cell>
          <cell r="M28">
            <v>0.33637499999999998</v>
          </cell>
          <cell r="N28">
            <v>0.13727549999999999</v>
          </cell>
          <cell r="O28">
            <v>0.35469449999999997</v>
          </cell>
          <cell r="P28">
            <v>0.25029750000000001</v>
          </cell>
          <cell r="Q28">
            <v>0.1968915</v>
          </cell>
          <cell r="R28">
            <v>0.43252649999999998</v>
          </cell>
          <cell r="S28">
            <v>0.54820499999999994</v>
          </cell>
          <cell r="T28">
            <v>0.97724699999999987</v>
          </cell>
          <cell r="U28">
            <v>0.84756149999999986</v>
          </cell>
          <cell r="V28">
            <v>0.64639199999999997</v>
          </cell>
          <cell r="W28">
            <v>0.33719399999999999</v>
          </cell>
          <cell r="X28">
            <v>0.39087360000000004</v>
          </cell>
          <cell r="Y28">
            <v>0.30558060000000004</v>
          </cell>
          <cell r="Z28">
            <v>3.7835000000000001</v>
          </cell>
          <cell r="AA28">
            <v>1.3673</v>
          </cell>
          <cell r="AB28">
            <v>1.8872418900000005</v>
          </cell>
          <cell r="AC28">
            <v>1.84246679</v>
          </cell>
          <cell r="AD28">
            <v>1.9964261199999997</v>
          </cell>
          <cell r="AE28">
            <v>2.11022474</v>
          </cell>
        </row>
        <row r="29">
          <cell r="H29">
            <v>0.38546750000000002</v>
          </cell>
          <cell r="I29">
            <v>0.54627000000000003</v>
          </cell>
          <cell r="J29">
            <v>0.59768750000000004</v>
          </cell>
          <cell r="K29">
            <v>0.66325300000000009</v>
          </cell>
          <cell r="L29">
            <v>0.37099200000000004</v>
          </cell>
          <cell r="M29">
            <v>0.638625</v>
          </cell>
          <cell r="N29">
            <v>0.26062450000000004</v>
          </cell>
          <cell r="O29">
            <v>0.67340549999999999</v>
          </cell>
          <cell r="P29">
            <v>0.47520250000000003</v>
          </cell>
          <cell r="Q29">
            <v>0.37380850000000004</v>
          </cell>
          <cell r="R29">
            <v>0.82117350000000011</v>
          </cell>
          <cell r="S29">
            <v>1.0407950000000001</v>
          </cell>
          <cell r="T29">
            <v>1.855353</v>
          </cell>
          <cell r="U29">
            <v>1.6091385</v>
          </cell>
          <cell r="V29">
            <v>1.2272080000000001</v>
          </cell>
          <cell r="W29">
            <v>1.1038060000000001</v>
          </cell>
          <cell r="X29">
            <v>1.2795264000000002</v>
          </cell>
          <cell r="Y29">
            <v>1.0003194000000002</v>
          </cell>
          <cell r="Z29">
            <v>3.7835000000000001</v>
          </cell>
          <cell r="AA29">
            <v>1.3673</v>
          </cell>
          <cell r="AB29">
            <v>1.8872418900000005</v>
          </cell>
          <cell r="AC29">
            <v>1.84246679</v>
          </cell>
          <cell r="AD29">
            <v>1.9964261199999997</v>
          </cell>
          <cell r="AE29">
            <v>2.11022474</v>
          </cell>
        </row>
        <row r="30">
          <cell r="H30">
            <v>0.66609400000000007</v>
          </cell>
          <cell r="I30">
            <v>1.1484180000000002</v>
          </cell>
          <cell r="J30">
            <v>0.55253399999999997</v>
          </cell>
          <cell r="K30">
            <v>0.6476320000000001</v>
          </cell>
          <cell r="L30">
            <v>0.68836400000000009</v>
          </cell>
          <cell r="M30">
            <v>0.40613802400000004</v>
          </cell>
          <cell r="N30">
            <v>0.97611110000000012</v>
          </cell>
          <cell r="O30">
            <v>0.44944599999999996</v>
          </cell>
          <cell r="P30">
            <v>1.0394595600000001</v>
          </cell>
          <cell r="Q30">
            <v>1.9108285600000001</v>
          </cell>
          <cell r="R30">
            <v>2.0233162</v>
          </cell>
          <cell r="S30">
            <v>1.5876980000000001</v>
          </cell>
          <cell r="T30">
            <v>1.3800260000000002</v>
          </cell>
          <cell r="U30">
            <v>1.4298360000000001</v>
          </cell>
          <cell r="V30">
            <v>1.3088299999999999</v>
          </cell>
          <cell r="W30">
            <v>1.4430000000000001</v>
          </cell>
          <cell r="X30">
            <v>1.3551</v>
          </cell>
          <cell r="Y30">
            <v>1.248</v>
          </cell>
          <cell r="Z30">
            <v>1.1154000000000002</v>
          </cell>
          <cell r="AA30">
            <v>1.0509999999999999</v>
          </cell>
          <cell r="AB30">
            <v>1.2799544001277074</v>
          </cell>
          <cell r="AC30">
            <v>1.4046792195590034</v>
          </cell>
          <cell r="AD30">
            <v>1.4878548079657998</v>
          </cell>
          <cell r="AE30">
            <v>1.4917427808967407</v>
          </cell>
        </row>
        <row r="31">
          <cell r="H31">
            <v>1.2930060000000001</v>
          </cell>
          <cell r="I31">
            <v>2.229282</v>
          </cell>
          <cell r="J31">
            <v>1.0725660000000001</v>
          </cell>
          <cell r="K31">
            <v>1.2571680000000001</v>
          </cell>
          <cell r="L31">
            <v>1.3362360000000002</v>
          </cell>
          <cell r="M31">
            <v>0.78838557600000003</v>
          </cell>
          <cell r="N31">
            <v>1.8948039000000001</v>
          </cell>
          <cell r="O31">
            <v>0.87245399999999995</v>
          </cell>
          <cell r="P31">
            <v>2.0177744400000002</v>
          </cell>
          <cell r="Q31">
            <v>3.7092554399999997</v>
          </cell>
          <cell r="R31">
            <v>3.9276137999999996</v>
          </cell>
          <cell r="S31">
            <v>3.0820020000000001</v>
          </cell>
          <cell r="T31">
            <v>2.6788740000000009</v>
          </cell>
          <cell r="U31">
            <v>2.7755639999999997</v>
          </cell>
          <cell r="V31">
            <v>2.5406699999999995</v>
          </cell>
          <cell r="W31">
            <v>1.5496500000000002</v>
          </cell>
          <cell r="X31">
            <v>3.1783999999999999</v>
          </cell>
          <cell r="Y31">
            <v>3.2438500000000001</v>
          </cell>
          <cell r="Z31">
            <v>1.3588</v>
          </cell>
          <cell r="AA31">
            <v>0.66200000000000003</v>
          </cell>
          <cell r="AB31">
            <v>1.2854712808283151</v>
          </cell>
          <cell r="AC31">
            <v>1.5350817518422488</v>
          </cell>
          <cell r="AD31">
            <v>1.3825302212329729</v>
          </cell>
          <cell r="AE31">
            <v>1.2973344781524432</v>
          </cell>
        </row>
        <row r="53">
          <cell r="H53">
            <v>4.6720565328458212</v>
          </cell>
          <cell r="I53">
            <v>1.5093528080297529</v>
          </cell>
          <cell r="J53">
            <v>1.6326353993862486</v>
          </cell>
          <cell r="K53">
            <v>2.6697249363466713</v>
          </cell>
          <cell r="L53">
            <v>1.9057770751539596</v>
          </cell>
          <cell r="M53">
            <v>1.3124038157725313</v>
          </cell>
          <cell r="N53">
            <v>1.0072288765130091</v>
          </cell>
          <cell r="O53">
            <v>1.7837576251023464</v>
          </cell>
          <cell r="P53">
            <v>1.8651544507889506</v>
          </cell>
          <cell r="Q53">
            <v>2.2166108874593542</v>
          </cell>
          <cell r="R53">
            <v>2.5878733797903091</v>
          </cell>
          <cell r="S53">
            <v>4.1569475087148886</v>
          </cell>
          <cell r="T53">
            <v>5.6567509684797317</v>
          </cell>
          <cell r="U53">
            <v>5.4289813283833865</v>
          </cell>
          <cell r="V53">
            <v>3.5235074071425996</v>
          </cell>
          <cell r="W53">
            <v>2.4352050691170355</v>
          </cell>
          <cell r="X53">
            <v>2.1414388221232086</v>
          </cell>
          <cell r="Y53">
            <v>2.302555021843534</v>
          </cell>
          <cell r="Z53">
            <v>1.4488319999999999</v>
          </cell>
          <cell r="AA53">
            <v>4.2056000000000004</v>
          </cell>
          <cell r="AB53">
            <v>2.5994797107084047</v>
          </cell>
          <cell r="AC53">
            <v>2.6698126381317313</v>
          </cell>
          <cell r="AD53">
            <v>2.4533274635786939</v>
          </cell>
          <cell r="AE53">
            <v>2.3671787571438605</v>
          </cell>
        </row>
        <row r="54">
          <cell r="H54">
            <v>2.1049529227503614</v>
          </cell>
          <cell r="I54">
            <v>0.68002529130110145</v>
          </cell>
          <cell r="J54">
            <v>0.7355691506648977</v>
          </cell>
          <cell r="K54">
            <v>1.2028204856244402</v>
          </cell>
          <cell r="L54">
            <v>0.85863066858321024</v>
          </cell>
          <cell r="M54">
            <v>0.59129169957975791</v>
          </cell>
          <cell r="N54">
            <v>0.45379788377757357</v>
          </cell>
          <cell r="O54">
            <v>0.80365590613912508</v>
          </cell>
          <cell r="P54">
            <v>0.84032851164530364</v>
          </cell>
          <cell r="Q54">
            <v>0.99867403858570003</v>
          </cell>
          <cell r="R54">
            <v>1.1659430052271653</v>
          </cell>
          <cell r="S54">
            <v>1.8728751988922039</v>
          </cell>
          <cell r="T54">
            <v>2.5485981174802896</v>
          </cell>
          <cell r="U54">
            <v>2.4459785609179971</v>
          </cell>
          <cell r="V54">
            <v>1.587484475595518</v>
          </cell>
          <cell r="W54">
            <v>1.0971596751232116</v>
          </cell>
          <cell r="X54">
            <v>0.96480594269985731</v>
          </cell>
          <cell r="Y54">
            <v>1.0373953930028383</v>
          </cell>
          <cell r="Z54">
            <v>0.90551999999999988</v>
          </cell>
          <cell r="AA54">
            <v>2.6284999999999998</v>
          </cell>
          <cell r="AB54">
            <v>1.6246748191927527</v>
          </cell>
          <cell r="AC54">
            <v>1.668632898832332</v>
          </cell>
          <cell r="AD54">
            <v>1.5333296647366834</v>
          </cell>
          <cell r="AE54">
            <v>1.4794867232149127</v>
          </cell>
        </row>
        <row r="55">
          <cell r="H55">
            <v>2.4698905444038184</v>
          </cell>
          <cell r="I55">
            <v>0.79792190066914614</v>
          </cell>
          <cell r="J55">
            <v>0.86309544994885412</v>
          </cell>
          <cell r="K55">
            <v>1.4113545780288896</v>
          </cell>
          <cell r="L55">
            <v>1.0074922562628299</v>
          </cell>
          <cell r="M55">
            <v>0.69380448464771105</v>
          </cell>
          <cell r="N55">
            <v>0.53247323970941751</v>
          </cell>
          <cell r="O55">
            <v>0.94298646875852898</v>
          </cell>
          <cell r="P55">
            <v>0.98601703756574599</v>
          </cell>
          <cell r="Q55">
            <v>1.1718150739549462</v>
          </cell>
          <cell r="R55">
            <v>1.368083614982526</v>
          </cell>
          <cell r="S55">
            <v>2.1975772923929076</v>
          </cell>
          <cell r="T55">
            <v>2.9904509140399775</v>
          </cell>
          <cell r="U55">
            <v>2.8700401106986155</v>
          </cell>
          <cell r="V55">
            <v>1.8627081172618836</v>
          </cell>
          <cell r="W55">
            <v>1.2873752557597529</v>
          </cell>
          <cell r="X55">
            <v>1.1320752351769341</v>
          </cell>
          <cell r="Y55">
            <v>1.2172495851536278</v>
          </cell>
          <cell r="Z55">
            <v>0.23284799999999997</v>
          </cell>
          <cell r="AA55">
            <v>0.67589999999999995</v>
          </cell>
          <cell r="AB55">
            <v>0.41777352493527931</v>
          </cell>
          <cell r="AC55">
            <v>0.42907703112831391</v>
          </cell>
          <cell r="AD55">
            <v>0.39428477093229003</v>
          </cell>
          <cell r="AE55">
            <v>0.38043944311240613</v>
          </cell>
        </row>
        <row r="56">
          <cell r="H56">
            <v>1.1645465043915073</v>
          </cell>
          <cell r="I56">
            <v>1.1001820295846425</v>
          </cell>
          <cell r="J56">
            <v>0.77513011814390298</v>
          </cell>
          <cell r="K56">
            <v>0.68998963836582305</v>
          </cell>
          <cell r="L56">
            <v>0.47628477138962716</v>
          </cell>
          <cell r="M56">
            <v>0.72979317264235954</v>
          </cell>
          <cell r="N56">
            <v>1.1207523315363412</v>
          </cell>
          <cell r="O56">
            <v>1.7296949802124721</v>
          </cell>
          <cell r="P56">
            <v>1.2091017784188862</v>
          </cell>
          <cell r="Q56">
            <v>0.64730626181604856</v>
          </cell>
          <cell r="R56">
            <v>0.79226517966966792</v>
          </cell>
          <cell r="S56">
            <v>1.1545493376429821</v>
          </cell>
          <cell r="T56">
            <v>1.6151595389454148</v>
          </cell>
          <cell r="U56">
            <v>1.1894365697530624</v>
          </cell>
          <cell r="V56">
            <v>1.2257225823958589</v>
          </cell>
          <cell r="W56">
            <v>1.0573849449768578</v>
          </cell>
          <cell r="X56">
            <v>0.72875294390060763</v>
          </cell>
          <cell r="Y56">
            <v>0.92132453975849626</v>
          </cell>
          <cell r="Z56">
            <v>1.6346550000000002</v>
          </cell>
          <cell r="AA56">
            <v>2.0905169999999997</v>
          </cell>
          <cell r="AB56">
            <v>1.7691131441651935</v>
          </cell>
          <cell r="AC56">
            <v>1.7050112905317358</v>
          </cell>
          <cell r="AD56">
            <v>1.6258923167686812</v>
          </cell>
          <cell r="AE56">
            <v>1.7031142550524103</v>
          </cell>
        </row>
        <row r="57">
          <cell r="H57">
            <v>2.1508979819924536</v>
          </cell>
          <cell r="I57">
            <v>2.0320178699041631</v>
          </cell>
          <cell r="J57">
            <v>1.4316524077056443</v>
          </cell>
          <cell r="K57">
            <v>1.2743993607470525</v>
          </cell>
          <cell r="L57">
            <v>0.87969003365045617</v>
          </cell>
          <cell r="M57">
            <v>1.3479158250777785</v>
          </cell>
          <cell r="N57">
            <v>2.0700108747262438</v>
          </cell>
          <cell r="O57">
            <v>3.1947177964742988</v>
          </cell>
          <cell r="P57">
            <v>2.2331908304370804</v>
          </cell>
          <cell r="Q57">
            <v>1.195563875741235</v>
          </cell>
          <cell r="R57">
            <v>1.4633005807224375</v>
          </cell>
          <cell r="S57">
            <v>2.1324333816489229</v>
          </cell>
          <cell r="T57">
            <v>2.983172745624953</v>
          </cell>
          <cell r="U57">
            <v>2.1968695178271713</v>
          </cell>
          <cell r="V57">
            <v>2.2638891783333217</v>
          </cell>
          <cell r="W57">
            <v>1.9529723680105797</v>
          </cell>
          <cell r="X57">
            <v>1.3459945399311508</v>
          </cell>
          <cell r="Y57">
            <v>1.701671067538973</v>
          </cell>
          <cell r="Z57">
            <v>0.59441999999999995</v>
          </cell>
          <cell r="AA57">
            <v>0.76018799999999986</v>
          </cell>
          <cell r="AB57">
            <v>0.64331387060552492</v>
          </cell>
          <cell r="AC57">
            <v>0.62000410564790387</v>
          </cell>
          <cell r="AD57">
            <v>0.59123356973406582</v>
          </cell>
          <cell r="AE57">
            <v>0.61931427456451282</v>
          </cell>
        </row>
        <row r="58">
          <cell r="H58">
            <v>0.53772449549811341</v>
          </cell>
          <cell r="I58">
            <v>0.50800446747604078</v>
          </cell>
          <cell r="J58">
            <v>0.35791310192641107</v>
          </cell>
          <cell r="K58">
            <v>0.31859984018676313</v>
          </cell>
          <cell r="L58">
            <v>0.21992250841261404</v>
          </cell>
          <cell r="M58">
            <v>0.33697895626944463</v>
          </cell>
          <cell r="N58">
            <v>0.51750271868156095</v>
          </cell>
          <cell r="O58">
            <v>0.79867944911857469</v>
          </cell>
          <cell r="P58">
            <v>0.55829770760927011</v>
          </cell>
          <cell r="Q58">
            <v>0.29889096893530875</v>
          </cell>
          <cell r="R58">
            <v>0.36582514518060938</v>
          </cell>
          <cell r="S58">
            <v>0.53310834541223073</v>
          </cell>
          <cell r="T58">
            <v>0.74579318640623826</v>
          </cell>
          <cell r="U58">
            <v>0.54921737945679283</v>
          </cell>
          <cell r="V58">
            <v>0.56597229458333043</v>
          </cell>
          <cell r="W58">
            <v>0.48824309200264493</v>
          </cell>
          <cell r="X58">
            <v>0.3364986349827877</v>
          </cell>
          <cell r="Y58">
            <v>0.42541776688474325</v>
          </cell>
          <cell r="Z58">
            <v>2.1300050000000001</v>
          </cell>
          <cell r="AA58">
            <v>2.7240069999999998</v>
          </cell>
          <cell r="AB58">
            <v>2.305208036336464</v>
          </cell>
          <cell r="AC58">
            <v>2.2216813785716556</v>
          </cell>
          <cell r="AD58">
            <v>2.118586958213736</v>
          </cell>
          <cell r="AE58">
            <v>2.2192094838561709</v>
          </cell>
        </row>
        <row r="59">
          <cell r="H59">
            <v>1.0381942181179253</v>
          </cell>
          <cell r="I59">
            <v>0.980813233035153</v>
          </cell>
          <cell r="J59">
            <v>0.69102917222404159</v>
          </cell>
          <cell r="K59">
            <v>0.61512636070036175</v>
          </cell>
          <cell r="L59">
            <v>0.42460828654730265</v>
          </cell>
          <cell r="M59">
            <v>0.65061124601041742</v>
          </cell>
          <cell r="N59">
            <v>0.99915167505585367</v>
          </cell>
          <cell r="O59">
            <v>1.542024574194655</v>
          </cell>
          <cell r="P59">
            <v>1.077915283534763</v>
          </cell>
          <cell r="Q59">
            <v>0.57707409350740779</v>
          </cell>
          <cell r="R59">
            <v>0.70630509442728517</v>
          </cell>
          <cell r="S59">
            <v>1.029281735295865</v>
          </cell>
          <cell r="T59">
            <v>1.4399161290233935</v>
          </cell>
          <cell r="U59">
            <v>1.0603837329629731</v>
          </cell>
          <cell r="V59">
            <v>1.092732744687489</v>
          </cell>
          <cell r="W59">
            <v>0.94265959500991836</v>
          </cell>
          <cell r="X59">
            <v>0.64968388118545384</v>
          </cell>
          <cell r="Y59">
            <v>0.82136162581778727</v>
          </cell>
          <cell r="Z59">
            <v>0.59441999999999995</v>
          </cell>
          <cell r="AA59">
            <v>0.76018799999999986</v>
          </cell>
          <cell r="AB59">
            <v>0.64331387060552492</v>
          </cell>
          <cell r="AC59">
            <v>0.62000410564790387</v>
          </cell>
          <cell r="AD59">
            <v>0.59123356973406582</v>
          </cell>
          <cell r="AE59">
            <v>0.61931427456451282</v>
          </cell>
        </row>
        <row r="60">
          <cell r="H60">
            <v>1.6924380000000001</v>
          </cell>
          <cell r="I60">
            <v>1.484802</v>
          </cell>
          <cell r="J60">
            <v>2.0873819999999998</v>
          </cell>
          <cell r="K60">
            <v>2.0856660000000002</v>
          </cell>
          <cell r="L60">
            <v>2.3110560000000002</v>
          </cell>
          <cell r="M60">
            <v>3.1661519999999999</v>
          </cell>
          <cell r="N60">
            <v>2.39778</v>
          </cell>
          <cell r="O60">
            <v>1.4201721599999999</v>
          </cell>
          <cell r="P60">
            <v>2.9824739999999998</v>
          </cell>
          <cell r="Q60">
            <v>1.9324140000000003</v>
          </cell>
          <cell r="R60">
            <v>1.907796</v>
          </cell>
          <cell r="S60">
            <v>2.3078220000000003</v>
          </cell>
          <cell r="T60">
            <v>2.4817980000000004</v>
          </cell>
          <cell r="U60">
            <v>2.3626019999999999</v>
          </cell>
          <cell r="V60">
            <v>2.16249</v>
          </cell>
          <cell r="W60">
            <v>2.6243000000000003</v>
          </cell>
          <cell r="X60">
            <v>3.7761</v>
          </cell>
          <cell r="Y60">
            <v>2.5621999999999998</v>
          </cell>
          <cell r="Z60">
            <v>3.0191999999999997</v>
          </cell>
          <cell r="AA60">
            <v>2.9931000000000001</v>
          </cell>
          <cell r="AB60">
            <v>2.8918301090794269</v>
          </cell>
          <cell r="AC60">
            <v>3.782360064278282</v>
          </cell>
          <cell r="AD60">
            <v>3.4705377413257055</v>
          </cell>
          <cell r="AE60">
            <v>3.2160116321090824</v>
          </cell>
        </row>
        <row r="61">
          <cell r="H61">
            <v>0.87186200000000003</v>
          </cell>
          <cell r="I61">
            <v>0.76489800000000008</v>
          </cell>
          <cell r="J61">
            <v>1.075318</v>
          </cell>
          <cell r="K61">
            <v>1.0744339999999999</v>
          </cell>
          <cell r="L61">
            <v>1.190544</v>
          </cell>
          <cell r="M61">
            <v>1.6310480000000001</v>
          </cell>
          <cell r="N61">
            <v>1.23522</v>
          </cell>
          <cell r="O61">
            <v>0.73160384000000001</v>
          </cell>
          <cell r="P61">
            <v>1.5364259999999998</v>
          </cell>
          <cell r="Q61">
            <v>0.99548600000000009</v>
          </cell>
          <cell r="R61">
            <v>0.98280400000000012</v>
          </cell>
          <cell r="S61">
            <v>1.1888779999999999</v>
          </cell>
          <cell r="T61">
            <v>1.2785020000000002</v>
          </cell>
          <cell r="U61">
            <v>1.217098</v>
          </cell>
          <cell r="V61">
            <v>1.1140099999999999</v>
          </cell>
          <cell r="W61">
            <v>1.2012</v>
          </cell>
          <cell r="X61">
            <v>1.5534000000000001</v>
          </cell>
          <cell r="Y61">
            <v>0.81710000000000005</v>
          </cell>
          <cell r="Z61">
            <v>1.2970999999999999</v>
          </cell>
          <cell r="AA61">
            <v>1.4250999999999998</v>
          </cell>
          <cell r="AB61">
            <v>1.3376018689940781</v>
          </cell>
          <cell r="AC61">
            <v>1.4693053926132156</v>
          </cell>
          <cell r="AD61">
            <v>1.3354667382339562</v>
          </cell>
          <cell r="AE61">
            <v>1.249250206816515</v>
          </cell>
        </row>
        <row r="62">
          <cell r="H62">
            <v>5.2438000000000002</v>
          </cell>
          <cell r="I62">
            <v>3.0779999999999998</v>
          </cell>
          <cell r="J62">
            <v>3.5724999999999998</v>
          </cell>
          <cell r="K62">
            <v>4.5848000000000004</v>
          </cell>
          <cell r="L62">
            <v>3.4581999999999997</v>
          </cell>
          <cell r="M62">
            <v>3.2988000000000004</v>
          </cell>
          <cell r="N62">
            <v>3.1168</v>
          </cell>
          <cell r="O62">
            <v>3.8371</v>
          </cell>
          <cell r="P62">
            <v>5.0454999999999997</v>
          </cell>
          <cell r="Q62">
            <v>6.3580129999999997</v>
          </cell>
          <cell r="R62">
            <v>4.7816999999999998</v>
          </cell>
          <cell r="S62">
            <v>6.0843999999999996</v>
          </cell>
          <cell r="T62">
            <v>5.7608000000000006</v>
          </cell>
          <cell r="U62">
            <v>5.1916000000000002</v>
          </cell>
          <cell r="V62">
            <v>6.0718000000000005</v>
          </cell>
          <cell r="W62">
            <v>2.7429000000000001</v>
          </cell>
          <cell r="X62">
            <v>4.8205</v>
          </cell>
          <cell r="Y62">
            <v>3.1579999999999999</v>
          </cell>
          <cell r="Z62">
            <v>4.7521000000000004</v>
          </cell>
          <cell r="AA62">
            <v>4.5863000000000005</v>
          </cell>
          <cell r="AB62">
            <v>4.2521218800000069</v>
          </cell>
          <cell r="AC62">
            <v>4.1643903399999962</v>
          </cell>
          <cell r="AD62">
            <v>4.2213762000000035</v>
          </cell>
          <cell r="AE62">
            <v>4.5285378099999987</v>
          </cell>
        </row>
        <row r="63">
          <cell r="H63">
            <v>0.5481317139383739</v>
          </cell>
          <cell r="I63">
            <v>0.5178364790468617</v>
          </cell>
          <cell r="J63">
            <v>0.36484021769957081</v>
          </cell>
          <cell r="K63">
            <v>0.32476607988686124</v>
          </cell>
          <cell r="L63">
            <v>0.22417892894792907</v>
          </cell>
          <cell r="M63">
            <v>0.34350090875073974</v>
          </cell>
          <cell r="N63">
            <v>0.52751856114705731</v>
          </cell>
          <cell r="O63">
            <v>0.81413723755914813</v>
          </cell>
          <cell r="P63">
            <v>0.56910310376739748</v>
          </cell>
          <cell r="Q63">
            <v>0.30467575952895537</v>
          </cell>
          <cell r="R63">
            <v>0.37290539208903378</v>
          </cell>
          <cell r="S63">
            <v>0.54342622203767876</v>
          </cell>
          <cell r="T63">
            <v>0.76022740442525871</v>
          </cell>
          <cell r="U63">
            <v>0.55984703327961061</v>
          </cell>
          <cell r="V63">
            <v>0.57692622610435551</v>
          </cell>
          <cell r="W63">
            <v>0.37201976634398637</v>
          </cell>
          <cell r="X63">
            <v>0.26963174813441793</v>
          </cell>
          <cell r="Y63">
            <v>0.34990048025184839</v>
          </cell>
          <cell r="Z63">
            <v>0.25180000000000002</v>
          </cell>
          <cell r="AA63">
            <v>0.24840000000000001</v>
          </cell>
          <cell r="AB63">
            <v>0.2696633082872934</v>
          </cell>
          <cell r="AC63">
            <v>0.33187896960079466</v>
          </cell>
          <cell r="AD63">
            <v>0.24932755554944439</v>
          </cell>
          <cell r="AE63">
            <v>0.2462404319623952</v>
          </cell>
        </row>
        <row r="64">
          <cell r="H64">
            <v>0.22180508606162622</v>
          </cell>
          <cell r="I64">
            <v>0.20954592095313826</v>
          </cell>
          <cell r="J64">
            <v>0.14763498230042921</v>
          </cell>
          <cell r="K64">
            <v>0.13141872011313882</v>
          </cell>
          <cell r="L64">
            <v>9.0715471052070965E-2</v>
          </cell>
          <cell r="M64">
            <v>0.13899989124926035</v>
          </cell>
          <cell r="N64">
            <v>0.21346383885294262</v>
          </cell>
          <cell r="O64">
            <v>0.32944596244085222</v>
          </cell>
          <cell r="P64">
            <v>0.23029129623260253</v>
          </cell>
          <cell r="Q64">
            <v>0.12328904047104472</v>
          </cell>
          <cell r="R64">
            <v>0.15089860791096629</v>
          </cell>
          <cell r="S64">
            <v>0.2199009779623213</v>
          </cell>
          <cell r="T64">
            <v>0.30763099557474127</v>
          </cell>
          <cell r="U64">
            <v>0.22654576672038956</v>
          </cell>
          <cell r="V64">
            <v>0.23345697389564446</v>
          </cell>
          <cell r="W64">
            <v>0.15054023365601354</v>
          </cell>
          <cell r="X64">
            <v>0.1091082518655821</v>
          </cell>
          <cell r="Y64">
            <v>0.14158951974815162</v>
          </cell>
          <cell r="Z64">
            <v>0.25180000000000002</v>
          </cell>
          <cell r="AA64">
            <v>0.24840000000000001</v>
          </cell>
          <cell r="AB64">
            <v>0.2696633082872934</v>
          </cell>
          <cell r="AC64">
            <v>0.33187896960079466</v>
          </cell>
          <cell r="AD64">
            <v>0.24932755554944439</v>
          </cell>
          <cell r="AE64">
            <v>0.2462404319623952</v>
          </cell>
        </row>
        <row r="65">
          <cell r="H65">
            <v>0.23799999999999999</v>
          </cell>
          <cell r="I65">
            <v>0.17499999999999999</v>
          </cell>
          <cell r="J65">
            <v>0.22190000000000001</v>
          </cell>
          <cell r="K65">
            <v>0.18659999999999999</v>
          </cell>
          <cell r="L65">
            <v>0.33439999999999998</v>
          </cell>
          <cell r="M65">
            <v>0.22409999999999999</v>
          </cell>
          <cell r="N65">
            <v>0.1966</v>
          </cell>
          <cell r="O65">
            <v>0.28989999999999999</v>
          </cell>
          <cell r="P65">
            <v>0.19939999999999999</v>
          </cell>
          <cell r="Q65">
            <v>0.25030000000000002</v>
          </cell>
          <cell r="R65">
            <v>0.33189999999999997</v>
          </cell>
          <cell r="S65">
            <v>0.25900000000000001</v>
          </cell>
          <cell r="T65">
            <v>0.33539999999999998</v>
          </cell>
          <cell r="U65">
            <v>0.30019999999999997</v>
          </cell>
          <cell r="V65">
            <v>0.20430000000000001</v>
          </cell>
          <cell r="W65">
            <v>0.76816319999999993</v>
          </cell>
          <cell r="X65">
            <v>0.55674780000000001</v>
          </cell>
          <cell r="Y65">
            <v>0.72249029999999992</v>
          </cell>
          <cell r="Z65">
            <v>4.9535</v>
          </cell>
          <cell r="AA65">
            <v>6.3348999999999993</v>
          </cell>
          <cell r="AB65">
            <v>5.3609489217127075</v>
          </cell>
          <cell r="AC65">
            <v>5.1667008803991994</v>
          </cell>
          <cell r="AD65">
            <v>4.9269464144505486</v>
          </cell>
          <cell r="AE65">
            <v>5.1609522880376071</v>
          </cell>
        </row>
        <row r="66">
          <cell r="H66">
            <v>0.61850000000000005</v>
          </cell>
          <cell r="I66">
            <v>2.2084999999999999</v>
          </cell>
          <cell r="J66">
            <v>1.4847000000000001</v>
          </cell>
          <cell r="K66">
            <v>0.95320000000000005</v>
          </cell>
          <cell r="L66">
            <v>0.90810000000000002</v>
          </cell>
          <cell r="M66">
            <v>0.42230000000000001</v>
          </cell>
          <cell r="N66">
            <v>0.60639999999999994</v>
          </cell>
          <cell r="O66">
            <v>0.6167999999999999</v>
          </cell>
          <cell r="P66">
            <v>1.0635999999999999</v>
          </cell>
          <cell r="Q66">
            <v>1.0459000000000001</v>
          </cell>
          <cell r="R66">
            <v>2.0405000000000002</v>
          </cell>
          <cell r="S66">
            <v>2.3144</v>
          </cell>
          <cell r="T66">
            <v>1.7478</v>
          </cell>
          <cell r="U66">
            <v>1.9861</v>
          </cell>
          <cell r="V66">
            <v>1.1522000000000001</v>
          </cell>
          <cell r="W66">
            <v>0.38150000000000001</v>
          </cell>
          <cell r="X66">
            <v>0.92549999999999999</v>
          </cell>
          <cell r="Y66">
            <v>1.1422999999999999</v>
          </cell>
          <cell r="Z66">
            <v>1.5630999999999999</v>
          </cell>
          <cell r="AA66">
            <v>1.7925</v>
          </cell>
          <cell r="AB66">
            <v>1.7621433593581584</v>
          </cell>
          <cell r="AC66">
            <v>1.4336343163011998</v>
          </cell>
          <cell r="AD66">
            <v>1.3691762784064214</v>
          </cell>
          <cell r="AE66">
            <v>1.5800612145564872</v>
          </cell>
        </row>
        <row r="67">
          <cell r="H67">
            <v>0.43003140000000001</v>
          </cell>
          <cell r="I67">
            <v>0.38538420000000001</v>
          </cell>
          <cell r="J67">
            <v>0.66239400000000004</v>
          </cell>
          <cell r="K67">
            <v>0.43521479999999996</v>
          </cell>
          <cell r="L67">
            <v>0.36477779999999993</v>
          </cell>
          <cell r="M67">
            <v>0.67629059999999996</v>
          </cell>
          <cell r="N67">
            <v>0.52988339999999989</v>
          </cell>
          <cell r="O67">
            <v>0.50167679999999992</v>
          </cell>
          <cell r="P67">
            <v>0.38506620000000003</v>
          </cell>
          <cell r="Q67">
            <v>0.32744460000000003</v>
          </cell>
          <cell r="R67">
            <v>0.54336660000000003</v>
          </cell>
          <cell r="S67">
            <v>0.64827480000000004</v>
          </cell>
          <cell r="T67">
            <v>0.97781820000000008</v>
          </cell>
          <cell r="U67">
            <v>0.78724080000000007</v>
          </cell>
          <cell r="V67">
            <v>0.68166479999999996</v>
          </cell>
          <cell r="W67">
            <v>0.47345219999999999</v>
          </cell>
          <cell r="X67">
            <v>0.48302279999999997</v>
          </cell>
          <cell r="Y67">
            <v>0.4790682</v>
          </cell>
          <cell r="Z67">
            <v>3.056</v>
          </cell>
          <cell r="AA67">
            <v>2.3259000000000003</v>
          </cell>
          <cell r="AB67">
            <v>2.0441822700000003</v>
          </cell>
          <cell r="AC67">
            <v>2.0585218499999991</v>
          </cell>
          <cell r="AD67">
            <v>2.2333007499999997</v>
          </cell>
          <cell r="AE67">
            <v>2.33822785</v>
          </cell>
        </row>
        <row r="68">
          <cell r="H68">
            <v>0.92226859999999999</v>
          </cell>
          <cell r="I68">
            <v>0.82651580000000013</v>
          </cell>
          <cell r="J68">
            <v>1.420606</v>
          </cell>
          <cell r="K68">
            <v>0.93338520000000003</v>
          </cell>
          <cell r="L68">
            <v>0.78232219999999997</v>
          </cell>
          <cell r="M68">
            <v>1.4504094000000001</v>
          </cell>
          <cell r="N68">
            <v>1.1364166</v>
          </cell>
          <cell r="O68">
            <v>1.0759231999999999</v>
          </cell>
          <cell r="P68">
            <v>0.82583380000000006</v>
          </cell>
          <cell r="Q68">
            <v>0.70225540000000009</v>
          </cell>
          <cell r="R68">
            <v>1.1653334000000002</v>
          </cell>
          <cell r="S68">
            <v>1.3903251999999999</v>
          </cell>
          <cell r="T68">
            <v>2.0970818000000002</v>
          </cell>
          <cell r="U68">
            <v>1.6883592000000001</v>
          </cell>
          <cell r="V68">
            <v>1.4619352000000001</v>
          </cell>
          <cell r="W68">
            <v>1.5498478</v>
          </cell>
          <cell r="X68">
            <v>1.5811771999999999</v>
          </cell>
          <cell r="Y68">
            <v>1.5682318</v>
          </cell>
          <cell r="Z68">
            <v>3.056</v>
          </cell>
          <cell r="AA68">
            <v>2.3259000000000003</v>
          </cell>
          <cell r="AB68">
            <v>2.0441822700000003</v>
          </cell>
          <cell r="AC68">
            <v>2.0585218499999991</v>
          </cell>
          <cell r="AD68">
            <v>2.2333007499999997</v>
          </cell>
          <cell r="AE68">
            <v>2.33822785</v>
          </cell>
        </row>
        <row r="69">
          <cell r="H69">
            <v>1.112582</v>
          </cell>
          <cell r="I69">
            <v>0.80331799999999998</v>
          </cell>
          <cell r="J69">
            <v>0.79209799999999997</v>
          </cell>
          <cell r="K69">
            <v>1.4170180000000003</v>
          </cell>
          <cell r="L69">
            <v>2.0118140000000002</v>
          </cell>
          <cell r="M69">
            <v>1.9682630600000002</v>
          </cell>
          <cell r="N69">
            <v>1.356931568</v>
          </cell>
          <cell r="O69">
            <v>1.6115660000000003</v>
          </cell>
          <cell r="P69">
            <v>2.0560044800000004</v>
          </cell>
          <cell r="Q69">
            <v>2.2904100000000001</v>
          </cell>
          <cell r="R69">
            <v>2.4596072599999999</v>
          </cell>
          <cell r="S69">
            <v>3.8090502600000002</v>
          </cell>
          <cell r="T69">
            <v>4.7729200000000009</v>
          </cell>
          <cell r="U69">
            <v>4.5525319999999994</v>
          </cell>
          <cell r="V69">
            <v>3.3850400000000009</v>
          </cell>
          <cell r="W69">
            <v>2.8653000000000004</v>
          </cell>
          <cell r="X69">
            <v>1.9470999999999998</v>
          </cell>
          <cell r="Y69">
            <v>3.2425000000000002</v>
          </cell>
          <cell r="Z69">
            <v>1.5354000000000001</v>
          </cell>
          <cell r="AA69">
            <v>1.9370000000000001</v>
          </cell>
          <cell r="AB69">
            <v>2.3703669220352253</v>
          </cell>
          <cell r="AC69">
            <v>1.9890497993605087</v>
          </cell>
          <cell r="AD69">
            <v>2.1600621794832904</v>
          </cell>
          <cell r="AE69">
            <v>2.2621435716444833</v>
          </cell>
        </row>
        <row r="70">
          <cell r="H70">
            <v>2.1597179999999998</v>
          </cell>
          <cell r="I70">
            <v>1.559382</v>
          </cell>
          <cell r="J70">
            <v>1.5376019999999999</v>
          </cell>
          <cell r="K70">
            <v>2.7506820000000007</v>
          </cell>
          <cell r="L70">
            <v>3.9052860000000007</v>
          </cell>
          <cell r="M70">
            <v>3.8207459400000001</v>
          </cell>
          <cell r="N70">
            <v>2.634043632</v>
          </cell>
          <cell r="O70">
            <v>3.1283340000000002</v>
          </cell>
          <cell r="P70">
            <v>3.991067520000001</v>
          </cell>
          <cell r="Q70">
            <v>4.446089999999999</v>
          </cell>
          <cell r="R70">
            <v>4.7745317399999996</v>
          </cell>
          <cell r="S70">
            <v>7.3940387400000001</v>
          </cell>
          <cell r="T70">
            <v>9.2650800000000011</v>
          </cell>
          <cell r="U70">
            <v>8.8372679999999981</v>
          </cell>
          <cell r="V70">
            <v>6.5709600000000021</v>
          </cell>
          <cell r="W70">
            <v>4.5552000000000001</v>
          </cell>
          <cell r="X70">
            <v>5.4093999999999998</v>
          </cell>
          <cell r="Y70">
            <v>5.1186000000000007</v>
          </cell>
          <cell r="Z70">
            <v>1.7812999999999999</v>
          </cell>
          <cell r="AA70">
            <v>2.95</v>
          </cell>
          <cell r="AB70">
            <v>2.2861592609503698</v>
          </cell>
          <cell r="AC70">
            <v>2.5053125556405771</v>
          </cell>
          <cell r="AD70">
            <v>2.4712945670254456</v>
          </cell>
          <cell r="AE70">
            <v>2.4438312461536253</v>
          </cell>
        </row>
        <row r="92">
          <cell r="H92">
            <v>0.41436087365353341</v>
          </cell>
          <cell r="I92">
            <v>0.17461665398690543</v>
          </cell>
          <cell r="J92">
            <v>0.26404705837256015</v>
          </cell>
          <cell r="K92">
            <v>0.26172287837157698</v>
          </cell>
          <cell r="L92">
            <v>0.20771095617481719</v>
          </cell>
          <cell r="M92">
            <v>0.24565572097347629</v>
          </cell>
          <cell r="N92">
            <v>0.38202445624855086</v>
          </cell>
          <cell r="O92">
            <v>0.43265115974822654</v>
          </cell>
          <cell r="P92">
            <v>0.44386785453557986</v>
          </cell>
          <cell r="Q92">
            <v>0.36903936363436263</v>
          </cell>
          <cell r="R92">
            <v>0.5218289358729048</v>
          </cell>
          <cell r="S92">
            <v>0.56649361241353691</v>
          </cell>
          <cell r="T92">
            <v>0.68866463942173628</v>
          </cell>
          <cell r="U92">
            <v>1.031127510001379</v>
          </cell>
          <cell r="V92">
            <v>0.57467876806917317</v>
          </cell>
          <cell r="W92">
            <v>0.49454508368745087</v>
          </cell>
          <cell r="X92">
            <v>0.57525981306941887</v>
          </cell>
          <cell r="Y92">
            <v>0.81019904321227521</v>
          </cell>
          <cell r="Z92">
            <v>0.6358950000000001</v>
          </cell>
          <cell r="AA92">
            <v>0.73733399999999993</v>
          </cell>
          <cell r="AB92">
            <v>0.6518964294875611</v>
          </cell>
          <cell r="AC92">
            <v>0.67716166468748484</v>
          </cell>
          <cell r="AD92">
            <v>0.61357820737900048</v>
          </cell>
          <cell r="AE92">
            <v>0.62155831420158214</v>
          </cell>
        </row>
        <row r="93">
          <cell r="H93">
            <v>0.18668655354200558</v>
          </cell>
          <cell r="I93">
            <v>7.8671958180852486E-2</v>
          </cell>
          <cell r="J93">
            <v>0.11896402009639327</v>
          </cell>
          <cell r="K93">
            <v>0.11791688176412496</v>
          </cell>
          <cell r="L93">
            <v>9.3582297477281418E-2</v>
          </cell>
          <cell r="M93">
            <v>0.11067796894540068</v>
          </cell>
          <cell r="N93">
            <v>0.17211767239740325</v>
          </cell>
          <cell r="O93">
            <v>0.19492707693942124</v>
          </cell>
          <cell r="P93">
            <v>0.19998065758645517</v>
          </cell>
          <cell r="Q93">
            <v>0.1662673560627739</v>
          </cell>
          <cell r="R93">
            <v>0.23510531947101979</v>
          </cell>
          <cell r="S93">
            <v>0.25522858655200176</v>
          </cell>
          <cell r="T93">
            <v>0.31027164062645235</v>
          </cell>
          <cell r="U93">
            <v>0.46456519749850622</v>
          </cell>
          <cell r="V93">
            <v>0.25891633459172925</v>
          </cell>
          <cell r="W93">
            <v>0.22281282600526162</v>
          </cell>
          <cell r="X93">
            <v>0.25917811917479627</v>
          </cell>
          <cell r="Y93">
            <v>0.3650278698533686</v>
          </cell>
          <cell r="Z93">
            <v>0.79894500000000002</v>
          </cell>
          <cell r="AA93">
            <v>0.92639399999999994</v>
          </cell>
          <cell r="AB93">
            <v>0.81904936012539731</v>
          </cell>
          <cell r="AC93">
            <v>0.85079286076119875</v>
          </cell>
          <cell r="AD93">
            <v>0.77090595286079544</v>
          </cell>
          <cell r="AE93">
            <v>0.78093224091993652</v>
          </cell>
        </row>
        <row r="94">
          <cell r="H94">
            <v>0.21905257280446114</v>
          </cell>
          <cell r="I94">
            <v>9.2311387832242131E-2</v>
          </cell>
          <cell r="J94">
            <v>0.13958892153104671</v>
          </cell>
          <cell r="K94">
            <v>0.1383602398642981</v>
          </cell>
          <cell r="L94">
            <v>0.10980674634790144</v>
          </cell>
          <cell r="M94">
            <v>0.12986631008112301</v>
          </cell>
          <cell r="N94">
            <v>0.20195787135404591</v>
          </cell>
          <cell r="O94">
            <v>0.22872176331235222</v>
          </cell>
          <cell r="P94">
            <v>0.234651487877965</v>
          </cell>
          <cell r="Q94">
            <v>0.19509328030286358</v>
          </cell>
          <cell r="R94">
            <v>0.27586574465607538</v>
          </cell>
          <cell r="S94">
            <v>0.29947780103446142</v>
          </cell>
          <cell r="T94">
            <v>0.36406371995181136</v>
          </cell>
          <cell r="U94">
            <v>0.54510729250011491</v>
          </cell>
          <cell r="V94">
            <v>0.30380489733909782</v>
          </cell>
          <cell r="W94">
            <v>0.2614420903072876</v>
          </cell>
          <cell r="X94">
            <v>0.30411206775578492</v>
          </cell>
          <cell r="Y94">
            <v>0.42831308693435627</v>
          </cell>
          <cell r="Z94">
            <v>0.19566</v>
          </cell>
          <cell r="AA94">
            <v>0.22687199999999996</v>
          </cell>
          <cell r="AB94">
            <v>0.20058351676540342</v>
          </cell>
          <cell r="AC94">
            <v>0.20835743528845685</v>
          </cell>
          <cell r="AD94">
            <v>0.188793294578154</v>
          </cell>
          <cell r="AE94">
            <v>0.19124871206202526</v>
          </cell>
        </row>
        <row r="95">
          <cell r="H95">
            <v>0.16229015911096059</v>
          </cell>
          <cell r="I95">
            <v>0.13689095496788101</v>
          </cell>
          <cell r="J95">
            <v>0.1464880483900218</v>
          </cell>
          <cell r="K95">
            <v>0.12630105877793252</v>
          </cell>
          <cell r="L95">
            <v>5.3578256036020636E-2</v>
          </cell>
          <cell r="M95">
            <v>0.14473409683356164</v>
          </cell>
          <cell r="N95">
            <v>0.20832311411164292</v>
          </cell>
          <cell r="O95">
            <v>0.18181528021117813</v>
          </cell>
          <cell r="P95">
            <v>0.25346254662129836</v>
          </cell>
          <cell r="Q95">
            <v>0.21457777154883126</v>
          </cell>
          <cell r="R95">
            <v>0.21891301030159141</v>
          </cell>
          <cell r="S95">
            <v>0.34506514866435284</v>
          </cell>
          <cell r="T95">
            <v>0.4237613147259075</v>
          </cell>
          <cell r="U95">
            <v>0.29486242203887825</v>
          </cell>
          <cell r="V95">
            <v>0.25132802067051191</v>
          </cell>
          <cell r="W95">
            <v>0.19929265632196788</v>
          </cell>
          <cell r="X95">
            <v>0.28278808334118855</v>
          </cell>
          <cell r="Y95">
            <v>0.28374874501219671</v>
          </cell>
          <cell r="Z95">
            <v>0.38990000000000008</v>
          </cell>
          <cell r="AA95">
            <v>0.61124000000000001</v>
          </cell>
          <cell r="AB95">
            <v>0.48311013099802608</v>
          </cell>
          <cell r="AC95">
            <v>0.44265568341819511</v>
          </cell>
          <cell r="AD95">
            <v>0.44279982054836869</v>
          </cell>
          <cell r="AE95">
            <v>0.46242683685728003</v>
          </cell>
        </row>
        <row r="96">
          <cell r="H96">
            <v>0.29974721869213228</v>
          </cell>
          <cell r="I96">
            <v>0.25283531201468296</v>
          </cell>
          <cell r="J96">
            <v>0.27056098359313285</v>
          </cell>
          <cell r="K96">
            <v>0.23327595027294512</v>
          </cell>
          <cell r="L96">
            <v>9.8958145812104853E-2</v>
          </cell>
          <cell r="M96">
            <v>0.26732146430465759</v>
          </cell>
          <cell r="N96">
            <v>0.38476931926324892</v>
          </cell>
          <cell r="O96">
            <v>0.33580979190346144</v>
          </cell>
          <cell r="P96">
            <v>0.46814109868740644</v>
          </cell>
          <cell r="Q96">
            <v>0.39632156729196283</v>
          </cell>
          <cell r="R96">
            <v>0.40432868100498676</v>
          </cell>
          <cell r="S96">
            <v>0.63732957775343879</v>
          </cell>
          <cell r="T96">
            <v>0.78268008469672801</v>
          </cell>
          <cell r="U96">
            <v>0.54460597849651282</v>
          </cell>
          <cell r="V96">
            <v>0.46419866483633754</v>
          </cell>
          <cell r="W96">
            <v>0.36809021425281468</v>
          </cell>
          <cell r="X96">
            <v>0.52230487618688526</v>
          </cell>
          <cell r="Y96">
            <v>0.52407920228013871</v>
          </cell>
          <cell r="Z96">
            <v>0.18102500000000002</v>
          </cell>
          <cell r="AA96">
            <v>0.28378999999999999</v>
          </cell>
          <cell r="AB96">
            <v>0.22430113224908352</v>
          </cell>
          <cell r="AC96">
            <v>0.20551871015844772</v>
          </cell>
          <cell r="AD96">
            <v>0.20558563096888544</v>
          </cell>
          <cell r="AE96">
            <v>0.21469817425516571</v>
          </cell>
        </row>
        <row r="97">
          <cell r="H97">
            <v>7.4936804673033069E-2</v>
          </cell>
          <cell r="I97">
            <v>6.3208828003670739E-2</v>
          </cell>
          <cell r="J97">
            <v>6.7640245898283213E-2</v>
          </cell>
          <cell r="K97">
            <v>5.831898756823628E-2</v>
          </cell>
          <cell r="L97">
            <v>2.4739536453026213E-2</v>
          </cell>
          <cell r="M97">
            <v>6.6830366076164396E-2</v>
          </cell>
          <cell r="N97">
            <v>9.619232981581223E-2</v>
          </cell>
          <cell r="O97">
            <v>8.395244797586536E-2</v>
          </cell>
          <cell r="P97">
            <v>0.11703527467185161</v>
          </cell>
          <cell r="Q97">
            <v>9.9080391822990707E-2</v>
          </cell>
          <cell r="R97">
            <v>0.10108217025124669</v>
          </cell>
          <cell r="S97">
            <v>0.1593323944383597</v>
          </cell>
          <cell r="T97">
            <v>0.195670021174182</v>
          </cell>
          <cell r="U97">
            <v>0.13615149462412821</v>
          </cell>
          <cell r="V97">
            <v>0.11604966620908438</v>
          </cell>
          <cell r="W97">
            <v>9.2022553563203671E-2</v>
          </cell>
          <cell r="X97">
            <v>0.13057621904672131</v>
          </cell>
          <cell r="Y97">
            <v>0.13101980057003468</v>
          </cell>
          <cell r="Z97">
            <v>0.6266250000000001</v>
          </cell>
          <cell r="AA97">
            <v>0.98234999999999995</v>
          </cell>
          <cell r="AB97">
            <v>0.77642699624682754</v>
          </cell>
          <cell r="AC97">
            <v>0.71141091977924209</v>
          </cell>
          <cell r="AD97">
            <v>0.71164256873844955</v>
          </cell>
          <cell r="AE97">
            <v>0.74318598780634293</v>
          </cell>
        </row>
        <row r="98">
          <cell r="H98">
            <v>0.14468181752387402</v>
          </cell>
          <cell r="I98">
            <v>0.12203840501376527</v>
          </cell>
          <cell r="J98">
            <v>0.13059422211856206</v>
          </cell>
          <cell r="K98">
            <v>0.11259750338088605</v>
          </cell>
          <cell r="L98">
            <v>4.7765061698848296E-2</v>
          </cell>
          <cell r="M98">
            <v>0.12903057278561647</v>
          </cell>
          <cell r="N98">
            <v>0.18572023680929586</v>
          </cell>
          <cell r="O98">
            <v>0.1620884799094951</v>
          </cell>
          <cell r="P98">
            <v>0.22596208001944354</v>
          </cell>
          <cell r="Q98">
            <v>0.19129626933621519</v>
          </cell>
          <cell r="R98">
            <v>0.19516113844217509</v>
          </cell>
          <cell r="S98">
            <v>0.30762587914384881</v>
          </cell>
          <cell r="T98">
            <v>0.37778357940318252</v>
          </cell>
          <cell r="U98">
            <v>0.26287010484048079</v>
          </cell>
          <cell r="V98">
            <v>0.2240591482840664</v>
          </cell>
          <cell r="W98">
            <v>0.17766957586201376</v>
          </cell>
          <cell r="X98">
            <v>0.25210582142520493</v>
          </cell>
          <cell r="Y98">
            <v>0.25296225213763002</v>
          </cell>
          <cell r="Z98">
            <v>0.19495000000000004</v>
          </cell>
          <cell r="AA98">
            <v>0.30562</v>
          </cell>
          <cell r="AB98">
            <v>0.24155506549901304</v>
          </cell>
          <cell r="AC98">
            <v>0.22132784170909756</v>
          </cell>
          <cell r="AD98">
            <v>0.22139991027418435</v>
          </cell>
          <cell r="AE98">
            <v>0.23121341842864002</v>
          </cell>
        </row>
        <row r="99">
          <cell r="H99">
            <v>0.18433800000000003</v>
          </cell>
          <cell r="I99">
            <v>0.206844</v>
          </cell>
          <cell r="J99">
            <v>0.137214</v>
          </cell>
          <cell r="K99">
            <v>0.61676999999999993</v>
          </cell>
          <cell r="L99">
            <v>0.68554199999999998</v>
          </cell>
          <cell r="M99">
            <v>0.40642800000000001</v>
          </cell>
          <cell r="N99">
            <v>0.53598599999999996</v>
          </cell>
          <cell r="O99">
            <v>1.033296</v>
          </cell>
          <cell r="P99">
            <v>0.77985599999999999</v>
          </cell>
          <cell r="Q99">
            <v>0.64818600000000004</v>
          </cell>
          <cell r="R99">
            <v>0.78117599999999998</v>
          </cell>
          <cell r="S99">
            <v>0.39857400000000004</v>
          </cell>
          <cell r="T99">
            <v>0.61709999999999998</v>
          </cell>
          <cell r="U99">
            <v>0.37732200000000005</v>
          </cell>
          <cell r="V99">
            <v>0.84011400000000014</v>
          </cell>
          <cell r="W99">
            <v>0.93320000000000003</v>
          </cell>
          <cell r="X99">
            <v>1.1757</v>
          </cell>
          <cell r="Y99">
            <v>0.60420000000000007</v>
          </cell>
          <cell r="Z99">
            <v>0.75339999999999996</v>
          </cell>
          <cell r="AA99">
            <v>1.5335999999999999</v>
          </cell>
          <cell r="AB99">
            <v>1.2076663465344608</v>
          </cell>
          <cell r="AC99">
            <v>0.88413198109065294</v>
          </cell>
          <cell r="AD99">
            <v>0.97240838928959727</v>
          </cell>
          <cell r="AE99">
            <v>1.0165069098294888</v>
          </cell>
        </row>
        <row r="100">
          <cell r="H100">
            <v>9.4962000000000019E-2</v>
          </cell>
          <cell r="I100">
            <v>0.106556</v>
          </cell>
          <cell r="J100">
            <v>7.0686000000000013E-2</v>
          </cell>
          <cell r="K100">
            <v>0.31773000000000001</v>
          </cell>
          <cell r="L100">
            <v>0.35315800000000003</v>
          </cell>
          <cell r="M100">
            <v>0.20937199999999997</v>
          </cell>
          <cell r="N100">
            <v>0.27611400000000003</v>
          </cell>
          <cell r="O100">
            <v>0.532304</v>
          </cell>
          <cell r="P100">
            <v>0.40174399999999999</v>
          </cell>
          <cell r="Q100">
            <v>0.33391400000000004</v>
          </cell>
          <cell r="R100">
            <v>0.402424</v>
          </cell>
          <cell r="S100">
            <v>0.20532599999999998</v>
          </cell>
          <cell r="T100">
            <v>0.31790000000000002</v>
          </cell>
          <cell r="U100">
            <v>0.19437800000000005</v>
          </cell>
          <cell r="V100">
            <v>0.43278600000000006</v>
          </cell>
          <cell r="W100">
            <v>0.53679999999999994</v>
          </cell>
          <cell r="X100">
            <v>0.58729999999999993</v>
          </cell>
          <cell r="Y100">
            <v>0.3029</v>
          </cell>
          <cell r="Z100">
            <v>0.19550000000000001</v>
          </cell>
          <cell r="AA100">
            <v>0.11359999999999999</v>
          </cell>
          <cell r="AB100">
            <v>0.23634605624237559</v>
          </cell>
          <cell r="AC100">
            <v>0.27313452288332429</v>
          </cell>
          <cell r="AD100">
            <v>0.28219361090513184</v>
          </cell>
          <cell r="AE100">
            <v>0.26393138211722167</v>
          </cell>
        </row>
        <row r="101">
          <cell r="H101">
            <v>0.51962010000000003</v>
          </cell>
          <cell r="I101">
            <v>0.2356029</v>
          </cell>
          <cell r="J101">
            <v>0.29530000000000001</v>
          </cell>
          <cell r="K101">
            <v>0.39574090000000001</v>
          </cell>
          <cell r="L101">
            <v>0.68245239999999996</v>
          </cell>
          <cell r="M101">
            <v>0.37956290000000004</v>
          </cell>
          <cell r="N101">
            <v>0.31980000000000003</v>
          </cell>
          <cell r="O101">
            <v>0.7399</v>
          </cell>
          <cell r="P101">
            <v>0.63590000000000002</v>
          </cell>
          <cell r="Q101">
            <v>0.7046</v>
          </cell>
          <cell r="R101">
            <v>0.49339999999999995</v>
          </cell>
          <cell r="S101">
            <v>1.1999000000000002</v>
          </cell>
          <cell r="T101">
            <v>1.5182</v>
          </cell>
          <cell r="U101">
            <v>1.0499000000000001</v>
          </cell>
          <cell r="V101">
            <v>1.0911</v>
          </cell>
          <cell r="W101">
            <v>0.79139999999999999</v>
          </cell>
          <cell r="X101">
            <v>0.41299999999999998</v>
          </cell>
          <cell r="Y101">
            <v>0.74629999999999996</v>
          </cell>
          <cell r="Z101">
            <v>0.95779999999999998</v>
          </cell>
          <cell r="AA101">
            <v>1.0682</v>
          </cell>
          <cell r="AB101">
            <v>0.76954163000000042</v>
          </cell>
          <cell r="AC101">
            <v>0.65636095000000005</v>
          </cell>
          <cell r="AD101">
            <v>0.53005643999999963</v>
          </cell>
          <cell r="AE101">
            <v>0.52549197000000003</v>
          </cell>
        </row>
        <row r="102">
          <cell r="H102">
            <v>0.21296593880742018</v>
          </cell>
          <cell r="I102">
            <v>0.17963572713639753</v>
          </cell>
          <cell r="J102">
            <v>0.19222955304466666</v>
          </cell>
          <cell r="K102">
            <v>0.16573909165141087</v>
          </cell>
          <cell r="L102">
            <v>7.0308290156854247E-2</v>
          </cell>
          <cell r="M102">
            <v>0.18992792279246576</v>
          </cell>
          <cell r="N102">
            <v>0.27337287618122147</v>
          </cell>
          <cell r="O102">
            <v>0.23858786048286421</v>
          </cell>
          <cell r="P102">
            <v>0.33260728493597691</v>
          </cell>
          <cell r="Q102">
            <v>0.28158057651454166</v>
          </cell>
          <cell r="R102">
            <v>0.28726951166620807</v>
          </cell>
          <cell r="S102">
            <v>0.45281318188111136</v>
          </cell>
          <cell r="T102">
            <v>0.55608255432891829</v>
          </cell>
          <cell r="U102">
            <v>0.38693444428509655</v>
          </cell>
          <cell r="V102">
            <v>0.32980624434603434</v>
          </cell>
          <cell r="W102">
            <v>7.7976356796648869E-2</v>
          </cell>
          <cell r="X102">
            <v>0.10613982502339432</v>
          </cell>
          <cell r="Y102">
            <v>0.10925090581588365</v>
          </cell>
          <cell r="Z102">
            <v>0.1041</v>
          </cell>
          <cell r="AA102">
            <v>0.14449999999999999</v>
          </cell>
          <cell r="AB102">
            <v>0.12252214500704957</v>
          </cell>
          <cell r="AC102">
            <v>0.11151282493501802</v>
          </cell>
          <cell r="AD102">
            <v>0.10818632947011167</v>
          </cell>
          <cell r="AE102">
            <v>0.10758392265257145</v>
          </cell>
        </row>
        <row r="103">
          <cell r="H103">
            <v>8.6178061192579855E-2</v>
          </cell>
          <cell r="I103">
            <v>7.2690772863602482E-2</v>
          </cell>
          <cell r="J103">
            <v>7.7786946955333336E-2</v>
          </cell>
          <cell r="K103">
            <v>6.7067408348589097E-2</v>
          </cell>
          <cell r="L103">
            <v>2.8450709843145752E-2</v>
          </cell>
          <cell r="M103">
            <v>7.6855577207534248E-2</v>
          </cell>
          <cell r="N103">
            <v>0.11062212381877858</v>
          </cell>
          <cell r="O103">
            <v>9.6546139517135726E-2</v>
          </cell>
          <cell r="P103">
            <v>0.13459171506402304</v>
          </cell>
          <cell r="Q103">
            <v>0.11394342348545834</v>
          </cell>
          <cell r="R103">
            <v>0.11624548833379195</v>
          </cell>
          <cell r="S103">
            <v>0.18323381811888867</v>
          </cell>
          <cell r="T103">
            <v>0.22502244567108176</v>
          </cell>
          <cell r="U103">
            <v>0.15657555571490342</v>
          </cell>
          <cell r="V103">
            <v>0.13345825565396569</v>
          </cell>
          <cell r="W103">
            <v>3.1553643203351134E-2</v>
          </cell>
          <cell r="X103">
            <v>4.2950174976605679E-2</v>
          </cell>
          <cell r="Y103">
            <v>4.4209094184116358E-2</v>
          </cell>
          <cell r="Z103">
            <v>0.1041</v>
          </cell>
          <cell r="AA103">
            <v>0.14449999999999999</v>
          </cell>
          <cell r="AB103">
            <v>0.12252214500704957</v>
          </cell>
          <cell r="AC103">
            <v>0.11151282493501802</v>
          </cell>
          <cell r="AD103">
            <v>0.10818632947011167</v>
          </cell>
          <cell r="AE103">
            <v>0.10758392265257145</v>
          </cell>
        </row>
        <row r="104">
          <cell r="H104">
            <v>8.6474074074074148E-2</v>
          </cell>
          <cell r="I104">
            <v>8.6474074074074037E-2</v>
          </cell>
          <cell r="J104">
            <v>8.6474074074074148E-2</v>
          </cell>
          <cell r="K104">
            <v>8.6474074074074148E-2</v>
          </cell>
          <cell r="L104">
            <v>8.6474074074073926E-2</v>
          </cell>
          <cell r="M104">
            <v>8.6474074074074148E-2</v>
          </cell>
          <cell r="N104">
            <v>8.6474074074074148E-2</v>
          </cell>
          <cell r="O104">
            <v>8.6474074074073926E-2</v>
          </cell>
          <cell r="P104">
            <v>8.6474074074074148E-2</v>
          </cell>
          <cell r="Q104">
            <v>8.6474074074074148E-2</v>
          </cell>
          <cell r="R104">
            <v>8.6474074074073926E-2</v>
          </cell>
          <cell r="S104">
            <v>8.6474074074074148E-2</v>
          </cell>
          <cell r="T104">
            <v>8.6474074074074148E-2</v>
          </cell>
          <cell r="U104">
            <v>8.6474074074073926E-2</v>
          </cell>
          <cell r="V104">
            <v>8.6474074074073926E-2</v>
          </cell>
          <cell r="W104">
            <v>8.647407407407437E-2</v>
          </cell>
          <cell r="X104">
            <v>8.6474074074073926E-2</v>
          </cell>
          <cell r="Y104">
            <v>8.647407407407437E-2</v>
          </cell>
          <cell r="Z104">
            <v>8.6474074074073926E-2</v>
          </cell>
          <cell r="AA104">
            <v>8.6474074074073926E-2</v>
          </cell>
          <cell r="AB104">
            <v>8.6474074074073926E-2</v>
          </cell>
          <cell r="AC104">
            <v>8.647407407407437E-2</v>
          </cell>
          <cell r="AD104">
            <v>8.6474074074073926E-2</v>
          </cell>
          <cell r="AE104">
            <v>8.647407407407437E-2</v>
          </cell>
        </row>
        <row r="105">
          <cell r="H105">
            <v>0.29699999999999999</v>
          </cell>
          <cell r="I105">
            <v>0.18059999999999998</v>
          </cell>
          <cell r="J105">
            <v>9.4500000000000001E-2</v>
          </cell>
          <cell r="K105">
            <v>0.46850000000000003</v>
          </cell>
          <cell r="L105">
            <v>0.1009</v>
          </cell>
          <cell r="M105">
            <v>0.13689999999999999</v>
          </cell>
          <cell r="N105">
            <v>0.37169999999999997</v>
          </cell>
          <cell r="O105">
            <v>0.29910000000000003</v>
          </cell>
          <cell r="P105">
            <v>0.4612</v>
          </cell>
          <cell r="Q105">
            <v>0.78410000000000002</v>
          </cell>
          <cell r="R105">
            <v>0.1585</v>
          </cell>
          <cell r="S105">
            <v>0.14169999999999999</v>
          </cell>
          <cell r="T105">
            <v>0.24959999999999999</v>
          </cell>
          <cell r="U105">
            <v>0.2296</v>
          </cell>
          <cell r="V105">
            <v>0.22839999999999999</v>
          </cell>
          <cell r="W105">
            <v>0.24010000000000001</v>
          </cell>
          <cell r="X105">
            <v>0.247</v>
          </cell>
          <cell r="Y105">
            <v>0.36219999999999997</v>
          </cell>
          <cell r="Z105">
            <v>0.39089999999999997</v>
          </cell>
          <cell r="AA105">
            <v>0.62470000000000003</v>
          </cell>
          <cell r="AB105">
            <v>0.54312269999999974</v>
          </cell>
          <cell r="AC105">
            <v>0.43204304999999998</v>
          </cell>
          <cell r="AD105">
            <v>0.39338529000000044</v>
          </cell>
          <cell r="AE105">
            <v>0.43886131999999956</v>
          </cell>
        </row>
        <row r="106">
          <cell r="H106">
            <v>9.4114999999999976E-2</v>
          </cell>
          <cell r="I106">
            <v>3.5979999999999998E-2</v>
          </cell>
          <cell r="J106">
            <v>4.9454999999999999E-2</v>
          </cell>
          <cell r="K106">
            <v>1.6729999999999998E-2</v>
          </cell>
          <cell r="L106">
            <v>8.9494999999999991E-2</v>
          </cell>
          <cell r="M106">
            <v>0.18592000000000003</v>
          </cell>
          <cell r="N106">
            <v>0.22197</v>
          </cell>
          <cell r="O106">
            <v>6.1249999999999999E-2</v>
          </cell>
          <cell r="P106">
            <v>0.23075499999999996</v>
          </cell>
          <cell r="Q106">
            <v>0.19785499999999995</v>
          </cell>
          <cell r="R106">
            <v>0.15771000000000002</v>
          </cell>
          <cell r="S106">
            <v>0.15168999999999996</v>
          </cell>
          <cell r="T106">
            <v>0.16621499999999997</v>
          </cell>
          <cell r="U106">
            <v>0.24384500000000001</v>
          </cell>
          <cell r="V106">
            <v>0.190085</v>
          </cell>
          <cell r="W106">
            <v>0.16197999999999999</v>
          </cell>
          <cell r="X106">
            <v>0.14038499999999998</v>
          </cell>
          <cell r="Y106">
            <v>0.31633</v>
          </cell>
          <cell r="Z106">
            <v>0.6502</v>
          </cell>
          <cell r="AA106">
            <v>0.64700000000000002</v>
          </cell>
          <cell r="AB106">
            <v>0.45748749999999927</v>
          </cell>
          <cell r="AC106">
            <v>0.5602725700000003</v>
          </cell>
          <cell r="AD106">
            <v>0.47068721000000047</v>
          </cell>
          <cell r="AE106">
            <v>0.54478340999999997</v>
          </cell>
        </row>
        <row r="107">
          <cell r="H107">
            <v>0.174785</v>
          </cell>
          <cell r="I107">
            <v>6.6820000000000004E-2</v>
          </cell>
          <cell r="J107">
            <v>9.184500000000001E-2</v>
          </cell>
          <cell r="K107">
            <v>3.107E-2</v>
          </cell>
          <cell r="L107">
            <v>0.16620499999999999</v>
          </cell>
          <cell r="M107">
            <v>0.34528000000000003</v>
          </cell>
          <cell r="N107">
            <v>0.41223000000000004</v>
          </cell>
          <cell r="O107">
            <v>0.11375</v>
          </cell>
          <cell r="P107">
            <v>0.42854499999999995</v>
          </cell>
          <cell r="Q107">
            <v>0.36744499999999997</v>
          </cell>
          <cell r="R107">
            <v>0.29289000000000004</v>
          </cell>
          <cell r="S107">
            <v>0.28170999999999996</v>
          </cell>
          <cell r="T107">
            <v>0.30868499999999999</v>
          </cell>
          <cell r="U107">
            <v>0.45285500000000001</v>
          </cell>
          <cell r="V107">
            <v>0.35301500000000002</v>
          </cell>
          <cell r="W107">
            <v>0.35450480000000001</v>
          </cell>
          <cell r="X107">
            <v>0.30724260000000003</v>
          </cell>
          <cell r="Y107">
            <v>0.6923108</v>
          </cell>
          <cell r="Z107">
            <v>0.6502</v>
          </cell>
          <cell r="AA107">
            <v>0.64700000000000002</v>
          </cell>
          <cell r="AB107">
            <v>0.45748749999999927</v>
          </cell>
          <cell r="AC107">
            <v>0.5602725700000003</v>
          </cell>
          <cell r="AD107">
            <v>0.47068721000000047</v>
          </cell>
          <cell r="AE107">
            <v>0.54478340999999997</v>
          </cell>
        </row>
        <row r="108">
          <cell r="H108">
            <v>0.16187400000000002</v>
          </cell>
          <cell r="I108">
            <v>0.40232200000000001</v>
          </cell>
          <cell r="J108">
            <v>0.21423400000000004</v>
          </cell>
          <cell r="K108">
            <v>0.16636200000000001</v>
          </cell>
          <cell r="L108">
            <v>0.14161000000000001</v>
          </cell>
          <cell r="M108">
            <v>0.21616506400000002</v>
          </cell>
          <cell r="N108">
            <v>0.43234400000000001</v>
          </cell>
          <cell r="O108">
            <v>0.29482056200000006</v>
          </cell>
          <cell r="P108">
            <v>0.20296021200000003</v>
          </cell>
          <cell r="Q108">
            <v>0.39565800000000001</v>
          </cell>
          <cell r="R108">
            <v>0.36665600000000004</v>
          </cell>
          <cell r="S108">
            <v>0.54201909199999998</v>
          </cell>
          <cell r="T108">
            <v>0.55654331400000001</v>
          </cell>
          <cell r="U108">
            <v>0.70082122600000007</v>
          </cell>
          <cell r="V108">
            <v>0.47504799999999997</v>
          </cell>
          <cell r="W108">
            <v>0.35580000000000001</v>
          </cell>
          <cell r="X108">
            <v>0.66449999999999998</v>
          </cell>
          <cell r="Y108">
            <v>1.038</v>
          </cell>
          <cell r="Z108">
            <v>0.46650000000000003</v>
          </cell>
          <cell r="AA108">
            <v>0.95889999999999997</v>
          </cell>
          <cell r="AB108">
            <v>0.46645769387703823</v>
          </cell>
          <cell r="AC108">
            <v>0.49047162329837557</v>
          </cell>
          <cell r="AD108">
            <v>0.51237945405876495</v>
          </cell>
          <cell r="AE108">
            <v>0.52849590625857834</v>
          </cell>
        </row>
        <row r="109">
          <cell r="H109">
            <v>0.31422600000000006</v>
          </cell>
          <cell r="I109">
            <v>1.1833</v>
          </cell>
          <cell r="J109">
            <v>0.63009999999999999</v>
          </cell>
          <cell r="K109">
            <v>0.48930000000000001</v>
          </cell>
          <cell r="L109">
            <v>0.41649999999999998</v>
          </cell>
          <cell r="M109">
            <v>0.63577960000000011</v>
          </cell>
          <cell r="N109">
            <v>1.2715999999999998</v>
          </cell>
          <cell r="O109">
            <v>0.86711930000000004</v>
          </cell>
          <cell r="P109">
            <v>0.59694180000000008</v>
          </cell>
          <cell r="Q109">
            <v>1.1637</v>
          </cell>
          <cell r="R109">
            <v>1.0784</v>
          </cell>
          <cell r="S109">
            <v>1.5941737999999999</v>
          </cell>
          <cell r="T109">
            <v>1.6368920999999999</v>
          </cell>
          <cell r="U109">
            <v>2.0612388999999998</v>
          </cell>
          <cell r="V109">
            <v>1.3971999999999998</v>
          </cell>
          <cell r="W109">
            <v>1.0427</v>
          </cell>
          <cell r="X109">
            <v>0.80215000000000003</v>
          </cell>
          <cell r="Y109">
            <v>0.2843</v>
          </cell>
          <cell r="Z109">
            <v>0.34749999999999998</v>
          </cell>
          <cell r="AA109">
            <v>0.2964</v>
          </cell>
          <cell r="AB109">
            <v>0.53927991626881955</v>
          </cell>
          <cell r="AC109">
            <v>0.4102555079683779</v>
          </cell>
          <cell r="AD109">
            <v>0.42249327104785911</v>
          </cell>
          <cell r="AE109">
            <v>0.42234898958167211</v>
          </cell>
        </row>
        <row r="131">
          <cell r="H131">
            <v>2.7637531750820971E-2</v>
          </cell>
          <cell r="I131">
            <v>6.7805425246072637E-2</v>
          </cell>
          <cell r="J131">
            <v>4.9110933933817151E-2</v>
          </cell>
          <cell r="K131">
            <v>3.8348970016221416E-2</v>
          </cell>
          <cell r="L131">
            <v>6.6037027419237657E-2</v>
          </cell>
          <cell r="M131">
            <v>2.9153301316679522E-2</v>
          </cell>
          <cell r="N131">
            <v>7.9577902207574089E-2</v>
          </cell>
          <cell r="O131">
            <v>0.19129011921134953</v>
          </cell>
          <cell r="P131">
            <v>0.14137077484240779</v>
          </cell>
          <cell r="Q131">
            <v>0.21059091834994842</v>
          </cell>
          <cell r="R131">
            <v>0.10413336917448265</v>
          </cell>
          <cell r="S131">
            <v>0.21539085530850052</v>
          </cell>
          <cell r="T131">
            <v>0.19139117051574009</v>
          </cell>
          <cell r="U131">
            <v>0.25454823575984653</v>
          </cell>
          <cell r="V131">
            <v>0.21195511095922112</v>
          </cell>
          <cell r="W131">
            <v>0.19125980382003235</v>
          </cell>
          <cell r="X131">
            <v>0.26220792463265175</v>
          </cell>
          <cell r="Y131">
            <v>0.21725019930928702</v>
          </cell>
          <cell r="Z131">
            <v>2.7993000000000001E-2</v>
          </cell>
          <cell r="AA131">
            <v>4.1474999999999998E-2</v>
          </cell>
          <cell r="AB131">
            <v>4.0846333382852616E-2</v>
          </cell>
          <cell r="AC131">
            <v>5.0886648139373152E-2</v>
          </cell>
          <cell r="AD131">
            <v>5.2535476840249826E-2</v>
          </cell>
          <cell r="AE131">
            <v>5.8530607733513491E-2</v>
          </cell>
        </row>
        <row r="132">
          <cell r="H132">
            <v>1.245184060327729E-2</v>
          </cell>
          <cell r="I132">
            <v>3.0549122650087968E-2</v>
          </cell>
          <cell r="J132">
            <v>2.2126488238364762E-2</v>
          </cell>
          <cell r="K132">
            <v>1.7277782482426805E-2</v>
          </cell>
          <cell r="L132">
            <v>2.9752386962492529E-2</v>
          </cell>
          <cell r="M132">
            <v>1.3134756906930521E-2</v>
          </cell>
          <cell r="N132">
            <v>3.585310594179475E-2</v>
          </cell>
          <cell r="O132">
            <v>8.6184037521038065E-2</v>
          </cell>
          <cell r="P132">
            <v>6.3693327254058227E-2</v>
          </cell>
          <cell r="Q132">
            <v>9.4879838454222556E-2</v>
          </cell>
          <cell r="R132">
            <v>4.6916350060977136E-2</v>
          </cell>
          <cell r="S132">
            <v>9.7042406749124469E-2</v>
          </cell>
          <cell r="T132">
            <v>8.6229565274614936E-2</v>
          </cell>
          <cell r="U132">
            <v>0.11468441126016633</v>
          </cell>
          <cell r="V132">
            <v>9.5494463127510462E-2</v>
          </cell>
          <cell r="W132">
            <v>8.6170379194964994E-2</v>
          </cell>
          <cell r="X132">
            <v>0.11813541498129401</v>
          </cell>
          <cell r="Y132">
            <v>9.78801174149391E-2</v>
          </cell>
          <cell r="Z132">
            <v>8.2645999999999997E-2</v>
          </cell>
          <cell r="AA132">
            <v>0.12245</v>
          </cell>
          <cell r="AB132">
            <v>0.12059393665413629</v>
          </cell>
          <cell r="AC132">
            <v>0.15023677069719693</v>
          </cell>
          <cell r="AD132">
            <v>0.15510474114740425</v>
          </cell>
          <cell r="AE132">
            <v>0.17280465140370652</v>
          </cell>
        </row>
        <row r="133">
          <cell r="H133">
            <v>1.461062764590175E-2</v>
          </cell>
          <cell r="I133">
            <v>3.5845452103839388E-2</v>
          </cell>
          <cell r="J133">
            <v>2.5962577827818099E-2</v>
          </cell>
          <cell r="K133">
            <v>2.0273247501351788E-2</v>
          </cell>
          <cell r="L133">
            <v>3.4910585618269804E-2</v>
          </cell>
          <cell r="M133">
            <v>1.5411941776389961E-2</v>
          </cell>
          <cell r="N133">
            <v>4.2068991850631177E-2</v>
          </cell>
          <cell r="O133">
            <v>0.10112584326761248</v>
          </cell>
          <cell r="P133">
            <v>7.4735897903533979E-2</v>
          </cell>
          <cell r="Q133">
            <v>0.11132924319582904</v>
          </cell>
          <cell r="R133">
            <v>5.5050280764540223E-2</v>
          </cell>
          <cell r="S133">
            <v>0.11386673794237505</v>
          </cell>
          <cell r="T133">
            <v>0.10117926420964501</v>
          </cell>
          <cell r="U133">
            <v>0.13456735297998723</v>
          </cell>
          <cell r="V133">
            <v>0.11205042591326843</v>
          </cell>
          <cell r="W133">
            <v>0.10110981698500271</v>
          </cell>
          <cell r="X133">
            <v>0.13861666038605433</v>
          </cell>
          <cell r="Y133">
            <v>0.11484968327577393</v>
          </cell>
          <cell r="Z133">
            <v>2.2661000000000001E-2</v>
          </cell>
          <cell r="AA133">
            <v>3.3575000000000001E-2</v>
          </cell>
          <cell r="AB133">
            <v>3.3066079405166406E-2</v>
          </cell>
          <cell r="AC133">
            <v>4.1193953255683029E-2</v>
          </cell>
          <cell r="AD133">
            <v>4.2528719346868915E-2</v>
          </cell>
          <cell r="AE133">
            <v>4.7381920546177597E-2</v>
          </cell>
        </row>
        <row r="134">
          <cell r="H134">
            <v>4.7323598598832305E-2</v>
          </cell>
          <cell r="I134">
            <v>6.3539377139690933E-2</v>
          </cell>
          <cell r="J134">
            <v>7.4493301011168897E-2</v>
          </cell>
          <cell r="K134">
            <v>5.6242276796304551E-2</v>
          </cell>
          <cell r="L134">
            <v>4.7356692024425905E-2</v>
          </cell>
          <cell r="M134">
            <v>0.13958806915375851</v>
          </cell>
          <cell r="N134">
            <v>9.9958692005435654E-2</v>
          </cell>
          <cell r="O134">
            <v>0.13430966777158107</v>
          </cell>
          <cell r="P134">
            <v>6.0114207590754469E-2</v>
          </cell>
          <cell r="Q134">
            <v>5.8310615895903861E-2</v>
          </cell>
          <cell r="R134">
            <v>7.3368124540986873E-2</v>
          </cell>
          <cell r="S134">
            <v>0.10579968162270412</v>
          </cell>
          <cell r="T134">
            <v>0.13090104493544141</v>
          </cell>
          <cell r="U134">
            <v>0.18562102415444087</v>
          </cell>
          <cell r="V134">
            <v>6.9612020736114513E-2</v>
          </cell>
          <cell r="W134">
            <v>8.6866670950193486E-2</v>
          </cell>
          <cell r="X134">
            <v>0.15042390425477303</v>
          </cell>
          <cell r="Y134">
            <v>6.9917599237908579E-2</v>
          </cell>
          <cell r="Z134">
            <v>6.0696E-2</v>
          </cell>
          <cell r="AA134">
            <v>0.20314799999999997</v>
          </cell>
          <cell r="AB134">
            <v>0.13470040401937183</v>
          </cell>
          <cell r="AC134">
            <v>0.11643600922484103</v>
          </cell>
          <cell r="AD134">
            <v>0.11439186666203939</v>
          </cell>
          <cell r="AE134">
            <v>0.11940706859733403</v>
          </cell>
        </row>
        <row r="135">
          <cell r="H135">
            <v>8.7405897783390932E-2</v>
          </cell>
          <cell r="I135">
            <v>0.11735617045042701</v>
          </cell>
          <cell r="J135">
            <v>0.13758788525203705</v>
          </cell>
          <cell r="K135">
            <v>0.10387854775026077</v>
          </cell>
          <cell r="L135">
            <v>8.746702078883388E-2</v>
          </cell>
          <cell r="M135">
            <v>0.25781683695828184</v>
          </cell>
          <cell r="N135">
            <v>0.18462203794037227</v>
          </cell>
          <cell r="O135">
            <v>0.24806771759013438</v>
          </cell>
          <cell r="P135">
            <v>0.11102993938708366</v>
          </cell>
          <cell r="Q135">
            <v>0.10769873559044393</v>
          </cell>
          <cell r="R135">
            <v>0.1355097030669774</v>
          </cell>
          <cell r="S135">
            <v>0.19541024840104954</v>
          </cell>
          <cell r="T135">
            <v>0.24177204802951249</v>
          </cell>
          <cell r="U135">
            <v>0.34283893752939848</v>
          </cell>
          <cell r="V135">
            <v>0.12857224194920477</v>
          </cell>
          <cell r="W135">
            <v>0.16044129327991158</v>
          </cell>
          <cell r="X135">
            <v>0.27783044376924665</v>
          </cell>
          <cell r="Y135">
            <v>0.12913664034838468</v>
          </cell>
          <cell r="Z135">
            <v>3.0348E-2</v>
          </cell>
          <cell r="AA135">
            <v>0.10157399999999998</v>
          </cell>
          <cell r="AB135">
            <v>6.7350202009685917E-2</v>
          </cell>
          <cell r="AC135">
            <v>5.8218004612420514E-2</v>
          </cell>
          <cell r="AD135">
            <v>5.7195933331019695E-2</v>
          </cell>
          <cell r="AE135">
            <v>5.9703534298667017E-2</v>
          </cell>
        </row>
        <row r="136">
          <cell r="H136">
            <v>2.1851474445847733E-2</v>
          </cell>
          <cell r="I136">
            <v>2.9339042612606753E-2</v>
          </cell>
          <cell r="J136">
            <v>3.4396971313009263E-2</v>
          </cell>
          <cell r="K136">
            <v>2.5969636937565193E-2</v>
          </cell>
          <cell r="L136">
            <v>2.186675519720847E-2</v>
          </cell>
          <cell r="M136">
            <v>6.4454209239570459E-2</v>
          </cell>
          <cell r="N136">
            <v>4.6155509485093067E-2</v>
          </cell>
          <cell r="O136">
            <v>6.2016929397533595E-2</v>
          </cell>
          <cell r="P136">
            <v>2.7757484846770916E-2</v>
          </cell>
          <cell r="Q136">
            <v>2.6924683897610983E-2</v>
          </cell>
          <cell r="R136">
            <v>3.3877425766744351E-2</v>
          </cell>
          <cell r="S136">
            <v>4.8852562100262384E-2</v>
          </cell>
          <cell r="T136">
            <v>6.0443012007378123E-2</v>
          </cell>
          <cell r="U136">
            <v>8.570973438234962E-2</v>
          </cell>
          <cell r="V136">
            <v>3.2143060487301194E-2</v>
          </cell>
          <cell r="W136">
            <v>4.0110323319977895E-2</v>
          </cell>
          <cell r="X136">
            <v>6.9457610942311662E-2</v>
          </cell>
          <cell r="Y136">
            <v>3.228416008709617E-2</v>
          </cell>
          <cell r="Z136">
            <v>0.18546000000000001</v>
          </cell>
          <cell r="AA136">
            <v>0.62073</v>
          </cell>
          <cell r="AB136">
            <v>0.41158456783696956</v>
          </cell>
          <cell r="AC136">
            <v>0.35577669485368096</v>
          </cell>
          <cell r="AD136">
            <v>0.34953070368956485</v>
          </cell>
          <cell r="AE136">
            <v>0.36485493182518736</v>
          </cell>
        </row>
        <row r="137">
          <cell r="H137">
            <v>4.2189029171929009E-2</v>
          </cell>
          <cell r="I137">
            <v>5.6645409797275316E-2</v>
          </cell>
          <cell r="J137">
            <v>6.6410842423784755E-2</v>
          </cell>
          <cell r="K137">
            <v>5.0140038515869477E-2</v>
          </cell>
          <cell r="L137">
            <v>4.2218531989531759E-2</v>
          </cell>
          <cell r="M137">
            <v>0.12444288464838921</v>
          </cell>
          <cell r="N137">
            <v>8.9113260569099004E-2</v>
          </cell>
          <cell r="O137">
            <v>0.11973718524075097</v>
          </cell>
          <cell r="P137">
            <v>5.3591868175390939E-2</v>
          </cell>
          <cell r="Q137">
            <v>5.1983964616041198E-2</v>
          </cell>
          <cell r="R137">
            <v>6.5407746625291335E-2</v>
          </cell>
          <cell r="S137">
            <v>9.432050787598395E-2</v>
          </cell>
          <cell r="T137">
            <v>0.11669839502766798</v>
          </cell>
          <cell r="U137">
            <v>0.16548130393381105</v>
          </cell>
          <cell r="V137">
            <v>6.2059176827379478E-2</v>
          </cell>
          <cell r="W137">
            <v>7.7441712449917086E-2</v>
          </cell>
          <cell r="X137">
            <v>0.13410304103366871</v>
          </cell>
          <cell r="Y137">
            <v>6.2331600326610628E-2</v>
          </cell>
          <cell r="Z137">
            <v>6.0696E-2</v>
          </cell>
          <cell r="AA137">
            <v>0.20314799999999997</v>
          </cell>
          <cell r="AB137">
            <v>0.13470040401937183</v>
          </cell>
          <cell r="AC137">
            <v>0.11643600922484103</v>
          </cell>
          <cell r="AD137">
            <v>0.11439186666203939</v>
          </cell>
          <cell r="AE137">
            <v>0.11940706859733403</v>
          </cell>
        </row>
        <row r="138">
          <cell r="H138">
            <v>8.3687999999999999E-2</v>
          </cell>
          <cell r="I138">
            <v>7.8474000000000002E-2</v>
          </cell>
          <cell r="J138">
            <v>0.23700600000000002</v>
          </cell>
          <cell r="K138">
            <v>0.23515800000000001</v>
          </cell>
          <cell r="L138">
            <v>0.27984000000000003</v>
          </cell>
          <cell r="M138">
            <v>0.176814</v>
          </cell>
          <cell r="N138">
            <v>8.4347999999999992E-2</v>
          </cell>
          <cell r="O138">
            <v>0.40854000000000001</v>
          </cell>
          <cell r="P138">
            <v>0.225324</v>
          </cell>
          <cell r="Q138">
            <v>5.4120000000000001E-2</v>
          </cell>
          <cell r="R138">
            <v>0.40906799999999999</v>
          </cell>
          <cell r="S138">
            <v>0.27079799999999998</v>
          </cell>
          <cell r="T138">
            <v>0.207372</v>
          </cell>
          <cell r="U138">
            <v>0.19912200000000002</v>
          </cell>
          <cell r="V138">
            <v>0.15206400000000003</v>
          </cell>
          <cell r="W138">
            <v>0.27260000000000001</v>
          </cell>
          <cell r="X138">
            <v>0.189</v>
          </cell>
          <cell r="Y138">
            <v>0.1072</v>
          </cell>
          <cell r="Z138">
            <v>0.44969999999999999</v>
          </cell>
          <cell r="AA138">
            <v>0.112</v>
          </cell>
          <cell r="AB138">
            <v>0.4401652614761517</v>
          </cell>
          <cell r="AC138">
            <v>0.21984801303614007</v>
          </cell>
          <cell r="AD138">
            <v>0.15364627260124672</v>
          </cell>
          <cell r="AE138">
            <v>0.15855763042086438</v>
          </cell>
        </row>
        <row r="139">
          <cell r="H139">
            <v>4.3112000000000004E-2</v>
          </cell>
          <cell r="I139">
            <v>4.0426000000000004E-2</v>
          </cell>
          <cell r="J139">
            <v>0.12209400000000002</v>
          </cell>
          <cell r="K139">
            <v>0.12114200000000001</v>
          </cell>
          <cell r="L139">
            <v>0.14416000000000001</v>
          </cell>
          <cell r="M139">
            <v>9.1086E-2</v>
          </cell>
          <cell r="N139">
            <v>4.3452000000000005E-2</v>
          </cell>
          <cell r="O139">
            <v>0.21046000000000001</v>
          </cell>
          <cell r="P139">
            <v>0.11607600000000001</v>
          </cell>
          <cell r="Q139">
            <v>2.7880000000000002E-2</v>
          </cell>
          <cell r="R139">
            <v>0.210732</v>
          </cell>
          <cell r="S139">
            <v>0.13950200000000001</v>
          </cell>
          <cell r="T139">
            <v>0.10682800000000001</v>
          </cell>
          <cell r="U139">
            <v>0.102578</v>
          </cell>
          <cell r="V139">
            <v>7.8336000000000017E-2</v>
          </cell>
          <cell r="W139">
            <v>0.14680000000000001</v>
          </cell>
          <cell r="X139">
            <v>0.24359999999999998</v>
          </cell>
          <cell r="Y139">
            <v>0.1031</v>
          </cell>
          <cell r="Z139">
            <v>0.1915</v>
          </cell>
          <cell r="AA139">
            <v>0.29419999999999996</v>
          </cell>
          <cell r="AB139">
            <v>0.35744725178671727</v>
          </cell>
          <cell r="AC139">
            <v>0.22417923952580085</v>
          </cell>
          <cell r="AD139">
            <v>0.17356368464901417</v>
          </cell>
          <cell r="AE139">
            <v>0.17526384939785247</v>
          </cell>
        </row>
        <row r="140">
          <cell r="H140">
            <v>0.1671</v>
          </cell>
          <cell r="I140">
            <v>7.1599999999999997E-2</v>
          </cell>
          <cell r="J140">
            <v>0.26939999999999997</v>
          </cell>
          <cell r="K140">
            <v>4.3299999999999998E-2</v>
          </cell>
          <cell r="L140">
            <v>4.5899999999999996E-2</v>
          </cell>
          <cell r="M140">
            <v>9.9299999999999999E-2</v>
          </cell>
          <cell r="N140">
            <v>0.22140000000000001</v>
          </cell>
          <cell r="O140">
            <v>0.3105</v>
          </cell>
          <cell r="P140">
            <v>0.33019999999999999</v>
          </cell>
          <cell r="Q140">
            <v>0.38160000000000005</v>
          </cell>
          <cell r="R140">
            <v>0.1825</v>
          </cell>
          <cell r="S140">
            <v>0.3387</v>
          </cell>
          <cell r="T140">
            <v>0.48710000000000003</v>
          </cell>
          <cell r="U140">
            <v>0.3115</v>
          </cell>
          <cell r="V140">
            <v>0.2233</v>
          </cell>
          <cell r="W140">
            <v>0.1108</v>
          </cell>
          <cell r="X140">
            <v>0.22839999999999999</v>
          </cell>
          <cell r="Y140">
            <v>0.25869999999999999</v>
          </cell>
          <cell r="Z140">
            <v>7.1999999999999995E-2</v>
          </cell>
          <cell r="AA140">
            <v>0.26689999999999997</v>
          </cell>
          <cell r="AB140">
            <v>0.13994319</v>
          </cell>
          <cell r="AC140">
            <v>0.13183231000000001</v>
          </cell>
          <cell r="AD140">
            <v>0.11379148000000006</v>
          </cell>
          <cell r="AE140">
            <v>0.11830017999999998</v>
          </cell>
        </row>
        <row r="141">
          <cell r="H141">
            <v>6.2100589823534016E-2</v>
          </cell>
          <cell r="I141">
            <v>8.3379812909919804E-2</v>
          </cell>
          <cell r="J141">
            <v>9.7754145239702855E-2</v>
          </cell>
          <cell r="K141">
            <v>7.3804162521046185E-2</v>
          </cell>
          <cell r="L141">
            <v>6.2144016809424593E-2</v>
          </cell>
          <cell r="M141">
            <v>0.18317502648648007</v>
          </cell>
          <cell r="N141">
            <v>0.13117121088250666</v>
          </cell>
          <cell r="O141">
            <v>0.17624842223693205</v>
          </cell>
          <cell r="P141">
            <v>7.8885119870244436E-2</v>
          </cell>
          <cell r="Q141">
            <v>7.6518349139207631E-2</v>
          </cell>
          <cell r="R141">
            <v>9.6277627719423012E-2</v>
          </cell>
          <cell r="S141">
            <v>0.13883607389219457</v>
          </cell>
          <cell r="T141">
            <v>0.17177544269020198</v>
          </cell>
          <cell r="U141">
            <v>0.24358196386028133</v>
          </cell>
          <cell r="V141">
            <v>9.1348664820841821E-2</v>
          </cell>
          <cell r="W141">
            <v>3.3659473654209432E-2</v>
          </cell>
          <cell r="X141">
            <v>5.7814844658594489E-2</v>
          </cell>
          <cell r="Y141">
            <v>2.6639964131567617E-2</v>
          </cell>
          <cell r="Z141">
            <v>4.7600000000000003E-2</v>
          </cell>
          <cell r="AA141">
            <v>2.12E-2</v>
          </cell>
          <cell r="AB141">
            <v>3.7391982114600208E-2</v>
          </cell>
          <cell r="AC141">
            <v>3.8556202084216395E-2</v>
          </cell>
          <cell r="AD141">
            <v>3.9254739655337212E-2</v>
          </cell>
          <cell r="AE141">
            <v>3.9612886681477867E-2</v>
          </cell>
        </row>
        <row r="142">
          <cell r="H142">
            <v>2.5129410176465982E-2</v>
          </cell>
          <cell r="I142">
            <v>3.3740187090080198E-2</v>
          </cell>
          <cell r="J142">
            <v>3.9556854760297154E-2</v>
          </cell>
          <cell r="K142">
            <v>2.9865337478953799E-2</v>
          </cell>
          <cell r="L142">
            <v>2.5146983190575397E-2</v>
          </cell>
          <cell r="M142">
            <v>7.4122973513519944E-2</v>
          </cell>
          <cell r="N142">
            <v>5.3079289117493357E-2</v>
          </cell>
          <cell r="O142">
            <v>7.1320077763067966E-2</v>
          </cell>
          <cell r="P142">
            <v>3.1921380129755567E-2</v>
          </cell>
          <cell r="Q142">
            <v>3.0963650860792346E-2</v>
          </cell>
          <cell r="R142">
            <v>3.8959372280576977E-2</v>
          </cell>
          <cell r="S142">
            <v>5.6180926107805416E-2</v>
          </cell>
          <cell r="T142">
            <v>6.9510057309798035E-2</v>
          </cell>
          <cell r="U142">
            <v>9.8567036139718664E-2</v>
          </cell>
          <cell r="V142">
            <v>3.6964835179158176E-2</v>
          </cell>
          <cell r="W142">
            <v>1.3620526345790574E-2</v>
          </cell>
          <cell r="X142">
            <v>2.3395155341405505E-2</v>
          </cell>
          <cell r="Y142">
            <v>1.0780035868432387E-2</v>
          </cell>
          <cell r="Z142">
            <v>4.7600000000000003E-2</v>
          </cell>
          <cell r="AA142">
            <v>2.12E-2</v>
          </cell>
          <cell r="AB142">
            <v>3.7391982114600208E-2</v>
          </cell>
          <cell r="AC142">
            <v>3.8556202084216395E-2</v>
          </cell>
          <cell r="AD142">
            <v>3.9254739655337212E-2</v>
          </cell>
          <cell r="AE142">
            <v>3.9612886681477867E-2</v>
          </cell>
        </row>
        <row r="143">
          <cell r="H143">
            <v>1.8200000000000001E-2</v>
          </cell>
          <cell r="I143">
            <v>2.7699999999999999E-2</v>
          </cell>
          <cell r="J143">
            <v>1.0199999999999999E-2</v>
          </cell>
          <cell r="K143">
            <v>7.4000000000000003E-3</v>
          </cell>
          <cell r="L143">
            <v>3.2199999999999999E-2</v>
          </cell>
          <cell r="M143">
            <v>1.3099999999999999E-2</v>
          </cell>
          <cell r="N143">
            <v>7.7200000000000005E-2</v>
          </cell>
          <cell r="O143">
            <v>4.1299999999999996E-2</v>
          </cell>
          <cell r="P143">
            <v>4.8000000000000001E-2</v>
          </cell>
          <cell r="Q143">
            <v>4.5499999999999999E-2</v>
          </cell>
          <cell r="R143">
            <v>5.1299999999999998E-2</v>
          </cell>
          <cell r="S143">
            <v>5.0299999999999997E-2</v>
          </cell>
          <cell r="T143">
            <v>2.52E-2</v>
          </cell>
          <cell r="U143">
            <v>3.0499999999999999E-2</v>
          </cell>
          <cell r="V143">
            <v>2.5999999999999999E-2</v>
          </cell>
          <cell r="W143">
            <v>6.9501599999999997E-2</v>
          </cell>
          <cell r="X143">
            <v>0.11937869999999999</v>
          </cell>
          <cell r="Y143">
            <v>5.5007399999999998E-2</v>
          </cell>
          <cell r="Z143">
            <v>0.3372</v>
          </cell>
          <cell r="AA143">
            <v>1.1285999999999998</v>
          </cell>
          <cell r="AB143">
            <v>0.74833557788539917</v>
          </cell>
          <cell r="AC143">
            <v>0.64686671791578354</v>
          </cell>
          <cell r="AD143">
            <v>0.63551037034466329</v>
          </cell>
          <cell r="AE143">
            <v>0.66337260331852244</v>
          </cell>
        </row>
        <row r="144">
          <cell r="H144">
            <v>1.6199999999999999E-2</v>
          </cell>
          <cell r="I144">
            <v>7.2800000000000004E-2</v>
          </cell>
          <cell r="J144">
            <v>0.23139999999999999</v>
          </cell>
          <cell r="K144">
            <v>6.2899999999999998E-2</v>
          </cell>
          <cell r="L144">
            <v>8.0299999999999996E-2</v>
          </cell>
          <cell r="M144">
            <v>0.1036</v>
          </cell>
          <cell r="N144">
            <v>0.13750000000000001</v>
          </cell>
          <cell r="O144">
            <v>0.12790000000000001</v>
          </cell>
          <cell r="P144">
            <v>0.24299999999999999</v>
          </cell>
          <cell r="Q144">
            <v>0.21619999999999998</v>
          </cell>
          <cell r="R144">
            <v>0.15919999999999998</v>
          </cell>
          <cell r="S144">
            <v>0.2424</v>
          </cell>
          <cell r="T144">
            <v>0.153</v>
          </cell>
          <cell r="U144">
            <v>0.15630000000000002</v>
          </cell>
          <cell r="V144">
            <v>0.32839999999999997</v>
          </cell>
          <cell r="W144">
            <v>0.2853</v>
          </cell>
          <cell r="X144">
            <v>8.43E-2</v>
          </cell>
          <cell r="Y144">
            <v>0.13190000000000002</v>
          </cell>
          <cell r="Z144">
            <v>0.14849999999999999</v>
          </cell>
          <cell r="AA144">
            <v>0.33030000000000004</v>
          </cell>
          <cell r="AB144">
            <v>0.26767490999999999</v>
          </cell>
          <cell r="AC144">
            <v>0.22668945999999998</v>
          </cell>
          <cell r="AD144">
            <v>0.21574797999999998</v>
          </cell>
          <cell r="AE144">
            <v>0.248752</v>
          </cell>
        </row>
        <row r="145">
          <cell r="H145">
            <v>5.5926000000000003E-2</v>
          </cell>
          <cell r="I145">
            <v>7.7945400000000012E-2</v>
          </cell>
          <cell r="J145">
            <v>3.9616200000000004E-2</v>
          </cell>
          <cell r="K145">
            <v>3.7861200000000005E-2</v>
          </cell>
          <cell r="L145">
            <v>4.8601800000000001E-2</v>
          </cell>
          <cell r="M145">
            <v>4.8461400000000002E-2</v>
          </cell>
          <cell r="N145">
            <v>0.1010412</v>
          </cell>
          <cell r="O145">
            <v>5.0918399999999996E-2</v>
          </cell>
          <cell r="P145">
            <v>5.8921200000000007E-2</v>
          </cell>
          <cell r="Q145">
            <v>8.45442E-2</v>
          </cell>
          <cell r="R145">
            <v>9.3974400000000013E-2</v>
          </cell>
          <cell r="S145">
            <v>5.9202000000000005E-2</v>
          </cell>
          <cell r="T145">
            <v>7.4201400000000001E-2</v>
          </cell>
          <cell r="U145">
            <v>0.1071486</v>
          </cell>
          <cell r="V145">
            <v>0.11398140000000001</v>
          </cell>
          <cell r="W145">
            <v>9.4021200000000013E-2</v>
          </cell>
          <cell r="X145">
            <v>5.4498600000000001E-2</v>
          </cell>
          <cell r="Y145">
            <v>5.9061600000000006E-2</v>
          </cell>
          <cell r="Z145">
            <v>0.3604</v>
          </cell>
          <cell r="AA145">
            <v>0.33529999999999999</v>
          </cell>
          <cell r="AB145">
            <v>0.18800158000000008</v>
          </cell>
          <cell r="AC145">
            <v>0.1901061300000001</v>
          </cell>
          <cell r="AD145">
            <v>0.24725164000000002</v>
          </cell>
          <cell r="AE145">
            <v>0.28489977000000005</v>
          </cell>
        </row>
        <row r="146">
          <cell r="H146">
            <v>0.18307400000000001</v>
          </cell>
          <cell r="I146">
            <v>0.25515460000000001</v>
          </cell>
          <cell r="J146">
            <v>0.12968380000000002</v>
          </cell>
          <cell r="K146">
            <v>0.12393880000000002</v>
          </cell>
          <cell r="L146">
            <v>0.1590982</v>
          </cell>
          <cell r="M146">
            <v>0.15863859999999999</v>
          </cell>
          <cell r="N146">
            <v>0.33075880000000002</v>
          </cell>
          <cell r="O146">
            <v>0.16668160000000001</v>
          </cell>
          <cell r="P146">
            <v>0.19287880000000002</v>
          </cell>
          <cell r="Q146">
            <v>0.2767558</v>
          </cell>
          <cell r="R146">
            <v>0.3076256</v>
          </cell>
          <cell r="S146">
            <v>0.193798</v>
          </cell>
          <cell r="T146">
            <v>0.24289860000000002</v>
          </cell>
          <cell r="U146">
            <v>0.35075139999999999</v>
          </cell>
          <cell r="V146">
            <v>0.37311860000000002</v>
          </cell>
          <cell r="W146">
            <v>0.30777879999999996</v>
          </cell>
          <cell r="X146">
            <v>0.17840139999999999</v>
          </cell>
          <cell r="Y146">
            <v>0.19333839999999999</v>
          </cell>
          <cell r="Z146">
            <v>0.3604</v>
          </cell>
          <cell r="AA146">
            <v>0.33529999999999999</v>
          </cell>
          <cell r="AB146">
            <v>0.18800158000000008</v>
          </cell>
          <cell r="AC146">
            <v>0.1901061300000001</v>
          </cell>
          <cell r="AD146">
            <v>0.24725164000000002</v>
          </cell>
          <cell r="AE146">
            <v>0.28489977000000005</v>
          </cell>
        </row>
        <row r="147">
          <cell r="H147">
            <v>0.13889000000000001</v>
          </cell>
          <cell r="I147">
            <v>8.6394000000000026E-2</v>
          </cell>
          <cell r="J147">
            <v>8.9862000000000011E-2</v>
          </cell>
          <cell r="K147">
            <v>0.10047000000000002</v>
          </cell>
          <cell r="L147">
            <v>9.1595999999999997E-2</v>
          </cell>
          <cell r="M147">
            <v>5.3102692600000008E-2</v>
          </cell>
          <cell r="N147">
            <v>7.5077616799999997E-2</v>
          </cell>
          <cell r="O147">
            <v>0.14943000000000001</v>
          </cell>
          <cell r="P147">
            <v>0.19896800000000001</v>
          </cell>
          <cell r="Q147">
            <v>0.17751400000000001</v>
          </cell>
          <cell r="R147">
            <v>0.29961847200000008</v>
          </cell>
          <cell r="S147">
            <v>0.32215000000000005</v>
          </cell>
          <cell r="T147">
            <v>0.23167600000000005</v>
          </cell>
          <cell r="U147">
            <v>0.13569400000000001</v>
          </cell>
          <cell r="V147">
            <v>0.19543199999999999</v>
          </cell>
          <cell r="W147">
            <v>7.3900000000000007E-2</v>
          </cell>
          <cell r="X147">
            <v>0.19789999999999999</v>
          </cell>
          <cell r="Y147">
            <v>0.19040000000000001</v>
          </cell>
          <cell r="Z147">
            <v>0.27250000000000002</v>
          </cell>
          <cell r="AA147">
            <v>0.30969999999999998</v>
          </cell>
          <cell r="AB147">
            <v>0.14437921709174992</v>
          </cell>
          <cell r="AC147">
            <v>0.12593667786924057</v>
          </cell>
          <cell r="AD147">
            <v>0.11274781687252457</v>
          </cell>
          <cell r="AE147">
            <v>0.11357810546743598</v>
          </cell>
        </row>
        <row r="148">
          <cell r="H148">
            <v>0.26961000000000002</v>
          </cell>
          <cell r="I148">
            <v>0.16770600000000002</v>
          </cell>
          <cell r="J148">
            <v>0.17443800000000001</v>
          </cell>
          <cell r="K148">
            <v>0.19503000000000001</v>
          </cell>
          <cell r="L148">
            <v>0.17780399999999999</v>
          </cell>
          <cell r="M148">
            <v>0.10308169740000001</v>
          </cell>
          <cell r="N148">
            <v>0.14573890320000002</v>
          </cell>
          <cell r="O148">
            <v>0.29006999999999999</v>
          </cell>
          <cell r="P148">
            <v>0.38623200000000002</v>
          </cell>
          <cell r="Q148">
            <v>0.344586</v>
          </cell>
          <cell r="R148">
            <v>0.58161232800000007</v>
          </cell>
          <cell r="S148">
            <v>0.62535000000000007</v>
          </cell>
          <cell r="T148">
            <v>0.44972400000000012</v>
          </cell>
          <cell r="U148">
            <v>0.26340600000000003</v>
          </cell>
          <cell r="V148">
            <v>0.37936799999999998</v>
          </cell>
          <cell r="W148">
            <v>0.15509999999999999</v>
          </cell>
          <cell r="X148">
            <v>0.2155</v>
          </cell>
          <cell r="Y148">
            <v>0.21199999999999999</v>
          </cell>
          <cell r="Z148">
            <v>0.20980000000000001</v>
          </cell>
          <cell r="AA148">
            <v>0.19269999999999998</v>
          </cell>
          <cell r="AB148">
            <v>0.28119913349861531</v>
          </cell>
          <cell r="AC148">
            <v>0.25254892801661488</v>
          </cell>
          <cell r="AD148">
            <v>0.26806078039084402</v>
          </cell>
          <cell r="AE148">
            <v>0.28886737875496393</v>
          </cell>
        </row>
        <row r="168">
          <cell r="G168" t="str">
            <v>Western MT portion of state</v>
          </cell>
        </row>
        <row r="169">
          <cell r="H169">
            <v>5.8452515664333813</v>
          </cell>
          <cell r="I169">
            <v>2.3942560490388454</v>
          </cell>
          <cell r="J169">
            <v>3.2535508684892789</v>
          </cell>
          <cell r="K169">
            <v>3.8808061249763441</v>
          </cell>
          <cell r="L169">
            <v>2.6785158945721284</v>
          </cell>
          <cell r="M169">
            <v>2.1289433230787926</v>
          </cell>
          <cell r="N169">
            <v>1.9047034050448099</v>
          </cell>
          <cell r="O169">
            <v>2.9945048391710078</v>
          </cell>
          <cell r="P169">
            <v>3.7348996623363648</v>
          </cell>
          <cell r="Q169">
            <v>4.3096744291447084</v>
          </cell>
          <cell r="R169">
            <v>4.6932151602156393</v>
          </cell>
          <cell r="S169">
            <v>6.7040926655271003</v>
          </cell>
          <cell r="T169">
            <v>8.0155996509731651</v>
          </cell>
          <cell r="U169">
            <v>8.5121404979223296</v>
          </cell>
          <cell r="V169">
            <v>5.7106188925677364</v>
          </cell>
          <cell r="W169">
            <v>3.9531865469773946</v>
          </cell>
          <cell r="X169">
            <v>3.613957014984337</v>
          </cell>
          <cell r="Y169">
            <v>4.2577960031375479</v>
          </cell>
          <cell r="Z169">
            <v>2.9053730099999999</v>
          </cell>
          <cell r="AA169">
            <v>5.76397475</v>
          </cell>
          <cell r="AB169">
            <v>4.1477159651255757</v>
          </cell>
          <cell r="AC169">
            <v>4.3042855770003277</v>
          </cell>
          <cell r="AD169">
            <v>3.9757692712668407</v>
          </cell>
          <cell r="AE169">
            <v>3.9080659306945158</v>
          </cell>
        </row>
        <row r="170">
          <cell r="H170">
            <v>2.6335253613638385</v>
          </cell>
          <cell r="I170">
            <v>1.0787104635412517</v>
          </cell>
          <cell r="J170">
            <v>1.4658579924699486</v>
          </cell>
          <cell r="K170">
            <v>1.7484621896089618</v>
          </cell>
          <cell r="L170">
            <v>1.2067811725468609</v>
          </cell>
          <cell r="M170">
            <v>0.95917620833130801</v>
          </cell>
          <cell r="N170">
            <v>0.85814693620145599</v>
          </cell>
          <cell r="O170">
            <v>1.3491471408980753</v>
          </cell>
          <cell r="P170">
            <v>1.6827253491356049</v>
          </cell>
          <cell r="Q170">
            <v>1.9416849350932321</v>
          </cell>
          <cell r="R170">
            <v>2.1144857514330568</v>
          </cell>
          <cell r="S170">
            <v>3.0204684706789751</v>
          </cell>
          <cell r="T170">
            <v>3.6113561114457378</v>
          </cell>
          <cell r="U170">
            <v>3.8350681105841429</v>
          </cell>
          <cell r="V170">
            <v>2.5728678247182866</v>
          </cell>
          <cell r="W170">
            <v>1.7810725357744892</v>
          </cell>
          <cell r="X170">
            <v>1.628235730433635</v>
          </cell>
          <cell r="Y170">
            <v>1.9183115782676574</v>
          </cell>
          <cell r="Z170">
            <v>2.52049922</v>
          </cell>
          <cell r="AA170">
            <v>4.3866505</v>
          </cell>
          <cell r="AB170">
            <v>3.3467175863389964</v>
          </cell>
          <cell r="AC170">
            <v>3.4921085643107492</v>
          </cell>
          <cell r="AD170">
            <v>3.2325006595168051</v>
          </cell>
          <cell r="AE170">
            <v>3.2055077433563333</v>
          </cell>
        </row>
        <row r="171">
          <cell r="H171">
            <v>3.0901020722027819</v>
          </cell>
          <cell r="I171">
            <v>1.2657274874199036</v>
          </cell>
          <cell r="J171">
            <v>1.7199951390407733</v>
          </cell>
          <cell r="K171">
            <v>2.0515946854146958</v>
          </cell>
          <cell r="L171">
            <v>1.4160019328810107</v>
          </cell>
          <cell r="M171">
            <v>1.1254694685898994</v>
          </cell>
          <cell r="N171">
            <v>1.0069246587537342</v>
          </cell>
          <cell r="O171">
            <v>1.5830500199309174</v>
          </cell>
          <cell r="P171">
            <v>1.9744609885280306</v>
          </cell>
          <cell r="Q171">
            <v>2.2783166357620592</v>
          </cell>
          <cell r="R171">
            <v>2.4810760883513034</v>
          </cell>
          <cell r="S171">
            <v>3.5441298637939256</v>
          </cell>
          <cell r="T171">
            <v>4.2374602375810966</v>
          </cell>
          <cell r="U171">
            <v>4.4999573914935276</v>
          </cell>
          <cell r="V171">
            <v>3.0189282827139783</v>
          </cell>
          <cell r="W171">
            <v>2.0898587172481164</v>
          </cell>
          <cell r="X171">
            <v>1.9105244545820284</v>
          </cell>
          <cell r="Y171">
            <v>2.2508910185947957</v>
          </cell>
          <cell r="Z171">
            <v>0.65600877000000002</v>
          </cell>
          <cell r="AA171">
            <v>1.1345497499999999</v>
          </cell>
          <cell r="AB171">
            <v>0.87002001760199665</v>
          </cell>
          <cell r="AC171">
            <v>0.90846325570362163</v>
          </cell>
          <cell r="AD171">
            <v>0.8416976698075469</v>
          </cell>
          <cell r="AE171">
            <v>0.83495356000334453</v>
          </cell>
        </row>
        <row r="172">
          <cell r="H172">
            <v>1.9601639052244866</v>
          </cell>
          <cell r="I172">
            <v>1.8139548177464644</v>
          </cell>
          <cell r="J172">
            <v>1.5990745699068862</v>
          </cell>
          <cell r="K172">
            <v>1.2830229881440107</v>
          </cell>
          <cell r="L172">
            <v>0.979871173680254</v>
          </cell>
          <cell r="M172">
            <v>1.241660719000097</v>
          </cell>
          <cell r="N172">
            <v>1.8848305823635303</v>
          </cell>
          <cell r="O172">
            <v>2.4988567954738619</v>
          </cell>
          <cell r="P172">
            <v>2.288456066580165</v>
          </cell>
          <cell r="Q172">
            <v>1.2544054066975698</v>
          </cell>
          <cell r="R172">
            <v>1.5651299718837426</v>
          </cell>
          <cell r="S172">
            <v>2.1687149616138099</v>
          </cell>
          <cell r="T172">
            <v>2.726992850636329</v>
          </cell>
          <cell r="U172">
            <v>2.3639545922978495</v>
          </cell>
          <cell r="V172">
            <v>2.12134434059036</v>
          </cell>
          <cell r="W172">
            <v>1.7332075021200439</v>
          </cell>
          <cell r="X172">
            <v>1.6498023915828299</v>
          </cell>
          <cell r="Y172">
            <v>1.7728331175696301</v>
          </cell>
          <cell r="Z172">
            <v>3.0494837200000005</v>
          </cell>
          <cell r="AA172">
            <v>3.9300753599999996</v>
          </cell>
          <cell r="AB172">
            <v>3.2949268651724135</v>
          </cell>
          <cell r="AC172">
            <v>3.0804508752407767</v>
          </cell>
          <cell r="AD172">
            <v>2.9901146137661283</v>
          </cell>
          <cell r="AE172">
            <v>3.1209850609635708</v>
          </cell>
        </row>
        <row r="173">
          <cell r="H173">
            <v>3.620390059325949</v>
          </cell>
          <cell r="I173">
            <v>3.3503443118873304</v>
          </cell>
          <cell r="J173">
            <v>2.9534640759282804</v>
          </cell>
          <cell r="K173">
            <v>2.3697220726198811</v>
          </cell>
          <cell r="L173">
            <v>1.8098057244890269</v>
          </cell>
          <cell r="M173">
            <v>2.2933266509713843</v>
          </cell>
          <cell r="N173">
            <v>3.4812506677195292</v>
          </cell>
          <cell r="O173">
            <v>4.6153468482405211</v>
          </cell>
          <cell r="P173">
            <v>4.2267402091062101</v>
          </cell>
          <cell r="Q173">
            <v>2.3168658767096826</v>
          </cell>
          <cell r="R173">
            <v>2.8907689691960035</v>
          </cell>
          <cell r="S173">
            <v>4.0055803841765441</v>
          </cell>
          <cell r="T173">
            <v>5.0367103393662491</v>
          </cell>
          <cell r="U173">
            <v>4.366184727635269</v>
          </cell>
          <cell r="V173">
            <v>3.9180876367586932</v>
          </cell>
          <cell r="W173">
            <v>3.2012053658879802</v>
          </cell>
          <cell r="X173">
            <v>3.0471575169907066</v>
          </cell>
          <cell r="Y173">
            <v>3.2743932171110264</v>
          </cell>
          <cell r="Z173">
            <v>1.21717136</v>
          </cell>
          <cell r="AA173">
            <v>1.5786711799999997</v>
          </cell>
          <cell r="AB173">
            <v>1.3199722007364803</v>
          </cell>
          <cell r="AC173">
            <v>1.2300279538780112</v>
          </cell>
          <cell r="AD173">
            <v>1.196371930895225</v>
          </cell>
          <cell r="AE173">
            <v>1.248350009064233</v>
          </cell>
        </row>
        <row r="174">
          <cell r="H174">
            <v>0.90509751483148726</v>
          </cell>
          <cell r="I174">
            <v>0.8375860779718326</v>
          </cell>
          <cell r="J174">
            <v>0.7383660189820701</v>
          </cell>
          <cell r="K174">
            <v>0.59243051815497028</v>
          </cell>
          <cell r="L174">
            <v>0.45245143112225672</v>
          </cell>
          <cell r="M174">
            <v>0.57333166274284608</v>
          </cell>
          <cell r="N174">
            <v>0.87031266692988229</v>
          </cell>
          <cell r="O174">
            <v>1.1538367120601303</v>
          </cell>
          <cell r="P174">
            <v>1.0566850522765525</v>
          </cell>
          <cell r="Q174">
            <v>0.57921646917742065</v>
          </cell>
          <cell r="R174">
            <v>0.72269224229900086</v>
          </cell>
          <cell r="S174">
            <v>1.001395096044136</v>
          </cell>
          <cell r="T174">
            <v>1.2591775848415623</v>
          </cell>
          <cell r="U174">
            <v>1.0915461819088172</v>
          </cell>
          <cell r="V174">
            <v>0.9795219091896733</v>
          </cell>
          <cell r="W174">
            <v>0.80030134147199505</v>
          </cell>
          <cell r="X174">
            <v>0.76178937924767665</v>
          </cell>
          <cell r="Y174">
            <v>0.81859830427775659</v>
          </cell>
          <cell r="Z174">
            <v>4.4185782000000007</v>
          </cell>
          <cell r="AA174">
            <v>5.8084251000000009</v>
          </cell>
          <cell r="AB174">
            <v>4.8341193729503171</v>
          </cell>
          <cell r="AC174">
            <v>4.4973948910402894</v>
          </cell>
          <cell r="AD174">
            <v>4.3749492047650769</v>
          </cell>
          <cell r="AE174">
            <v>4.5648201170153557</v>
          </cell>
        </row>
        <row r="175">
          <cell r="H175">
            <v>1.7474878206180771</v>
          </cell>
          <cell r="I175">
            <v>1.6171422923943721</v>
          </cell>
          <cell r="J175">
            <v>1.4255763651827631</v>
          </cell>
          <cell r="K175">
            <v>1.1438161060811387</v>
          </cell>
          <cell r="L175">
            <v>0.87355600070846262</v>
          </cell>
          <cell r="M175">
            <v>1.1069416072856728</v>
          </cell>
          <cell r="N175">
            <v>1.6803280979870585</v>
          </cell>
          <cell r="O175">
            <v>2.2277329992254882</v>
          </cell>
          <cell r="P175">
            <v>2.0401605670370717</v>
          </cell>
          <cell r="Q175">
            <v>1.1183035074153274</v>
          </cell>
          <cell r="R175">
            <v>1.3953147266212531</v>
          </cell>
          <cell r="S175">
            <v>1.9334112681655102</v>
          </cell>
          <cell r="T175">
            <v>2.4311164901558593</v>
          </cell>
          <cell r="U175">
            <v>2.1074675681580644</v>
          </cell>
          <cell r="V175">
            <v>1.8911803184612741</v>
          </cell>
          <cell r="W175">
            <v>1.5451559905199812</v>
          </cell>
          <cell r="X175">
            <v>1.4708002621787872</v>
          </cell>
          <cell r="Y175">
            <v>1.580482261041587</v>
          </cell>
          <cell r="Z175">
            <v>1.38987072</v>
          </cell>
          <cell r="AA175">
            <v>1.8173303599999999</v>
          </cell>
          <cell r="AB175">
            <v>1.5136049433773811</v>
          </cell>
          <cell r="AC175">
            <v>1.4027949732052674</v>
          </cell>
          <cell r="AD175">
            <v>1.3671049082637361</v>
          </cell>
          <cell r="AE175">
            <v>1.4256651163527188</v>
          </cell>
        </row>
        <row r="176">
          <cell r="H176">
            <v>2.3326221600000001</v>
          </cell>
          <cell r="I176">
            <v>2.1343561800000002</v>
          </cell>
          <cell r="J176">
            <v>2.7849274200000003</v>
          </cell>
          <cell r="K176">
            <v>3.7213380599999999</v>
          </cell>
          <cell r="L176">
            <v>3.8396688000000001</v>
          </cell>
          <cell r="M176">
            <v>4.5304399799999997</v>
          </cell>
          <cell r="N176">
            <v>3.8655843599999997</v>
          </cell>
          <cell r="O176">
            <v>3.7622019600000001</v>
          </cell>
          <cell r="P176">
            <v>4.9317826799999995</v>
          </cell>
          <cell r="Q176">
            <v>3.5256144000000003</v>
          </cell>
          <cell r="R176">
            <v>4.1166087600000001</v>
          </cell>
          <cell r="S176">
            <v>3.6865428600000003</v>
          </cell>
          <cell r="T176">
            <v>4.4936060400000004</v>
          </cell>
          <cell r="U176">
            <v>4.0552175400000001</v>
          </cell>
          <cell r="V176">
            <v>4.7025844800000005</v>
          </cell>
          <cell r="W176">
            <v>5.7826820000000012</v>
          </cell>
          <cell r="X176">
            <v>6.4745300000000006</v>
          </cell>
          <cell r="Y176">
            <v>4.3306040000000001</v>
          </cell>
          <cell r="Z176">
            <v>5.0644289999999996</v>
          </cell>
          <cell r="AA176">
            <v>4.8802399999999997</v>
          </cell>
          <cell r="AB176">
            <v>5.314560624425317</v>
          </cell>
          <cell r="AC176">
            <v>5.8392883922912757</v>
          </cell>
          <cell r="AD176">
            <v>5.5907307068579604</v>
          </cell>
          <cell r="AE176">
            <v>5.3970025110934667</v>
          </cell>
        </row>
        <row r="177">
          <cell r="H177">
            <v>1.2016538399999999</v>
          </cell>
          <cell r="I177">
            <v>1.0995168200000001</v>
          </cell>
          <cell r="J177">
            <v>1.4346595800000002</v>
          </cell>
          <cell r="K177">
            <v>1.91705294</v>
          </cell>
          <cell r="L177">
            <v>1.9780112000000001</v>
          </cell>
          <cell r="M177">
            <v>2.3338630200000003</v>
          </cell>
          <cell r="N177">
            <v>1.99136164</v>
          </cell>
          <cell r="O177">
            <v>1.93810404</v>
          </cell>
          <cell r="P177">
            <v>2.5406153199999997</v>
          </cell>
          <cell r="Q177">
            <v>1.8162256000000001</v>
          </cell>
          <cell r="R177">
            <v>2.12067724</v>
          </cell>
          <cell r="S177">
            <v>1.8991281399999997</v>
          </cell>
          <cell r="T177">
            <v>2.3148879600000005</v>
          </cell>
          <cell r="U177">
            <v>2.0890514600000003</v>
          </cell>
          <cell r="V177">
            <v>2.4225435200000001</v>
          </cell>
          <cell r="W177">
            <v>2.7598760000000002</v>
          </cell>
          <cell r="X177">
            <v>3.2231519999999998</v>
          </cell>
          <cell r="Y177">
            <v>1.711967</v>
          </cell>
          <cell r="Z177">
            <v>2.2422549999999997</v>
          </cell>
          <cell r="AA177">
            <v>1.9980939999999998</v>
          </cell>
          <cell r="AB177">
            <v>2.2146394799898173</v>
          </cell>
          <cell r="AC177">
            <v>2.4529568455976025</v>
          </cell>
          <cell r="AD177">
            <v>2.3252751304701671</v>
          </cell>
          <cell r="AE177">
            <v>2.2545756506342292</v>
          </cell>
        </row>
        <row r="178">
          <cell r="H178">
            <v>7.7681670999999994</v>
          </cell>
          <cell r="I178">
            <v>6.1909778999999991</v>
          </cell>
          <cell r="J178">
            <v>6.2494579999999997</v>
          </cell>
          <cell r="K178">
            <v>6.6152219000000008</v>
          </cell>
          <cell r="L178">
            <v>5.5810154000000001</v>
          </cell>
          <cell r="M178">
            <v>5.2429889000000003</v>
          </cell>
          <cell r="N178">
            <v>4.4018980000000001</v>
          </cell>
          <cell r="O178">
            <v>6.0446849999999994</v>
          </cell>
          <cell r="P178">
            <v>9.751614</v>
          </cell>
          <cell r="Q178">
            <v>11.116424999999998</v>
          </cell>
          <cell r="R178">
            <v>11.370925</v>
          </cell>
          <cell r="S178">
            <v>11.869458999999999</v>
          </cell>
          <cell r="T178">
            <v>10.888947</v>
          </cell>
          <cell r="U178">
            <v>9.4940550000000012</v>
          </cell>
          <cell r="V178">
            <v>10.433181000000001</v>
          </cell>
          <cell r="W178">
            <v>5.9005559999999999</v>
          </cell>
          <cell r="X178">
            <v>6.8123880000000003</v>
          </cell>
          <cell r="Y178">
            <v>6.1123589999999997</v>
          </cell>
          <cell r="Z178">
            <v>9.229140000000001</v>
          </cell>
          <cell r="AA178">
            <v>8.458632999999999</v>
          </cell>
          <cell r="AB178">
            <v>8.0452519383000087</v>
          </cell>
          <cell r="AC178">
            <v>7.6519041966999959</v>
          </cell>
          <cell r="AD178">
            <v>7.4193123636000031</v>
          </cell>
          <cell r="AE178">
            <v>7.7886886725999984</v>
          </cell>
        </row>
        <row r="179">
          <cell r="H179">
            <v>0.94562667569891845</v>
          </cell>
          <cell r="I179">
            <v>0.87797440847584418</v>
          </cell>
          <cell r="J179">
            <v>0.76896588931383225</v>
          </cell>
          <cell r="K179">
            <v>0.63948110135578418</v>
          </cell>
          <cell r="L179">
            <v>0.43394926096228958</v>
          </cell>
          <cell r="M179">
            <v>0.70856563684818685</v>
          </cell>
          <cell r="N179">
            <v>0.99833300111063006</v>
          </cell>
          <cell r="O179">
            <v>1.2788148464054281</v>
          </cell>
          <cell r="P179">
            <v>1.1413744588863326</v>
          </cell>
          <cell r="Q179">
            <v>0.71823731071012475</v>
          </cell>
          <cell r="R179">
            <v>0.84101134433644587</v>
          </cell>
          <cell r="S179">
            <v>1.2251082266483837</v>
          </cell>
          <cell r="T179">
            <v>1.5651012636603874</v>
          </cell>
          <cell r="U179">
            <v>1.2759510039866273</v>
          </cell>
          <cell r="V179">
            <v>1.107505460703968</v>
          </cell>
          <cell r="W179">
            <v>0.63798485303363595</v>
          </cell>
          <cell r="X179">
            <v>0.62624539967892912</v>
          </cell>
          <cell r="Y179">
            <v>0.67166554183832972</v>
          </cell>
          <cell r="Z179">
            <v>0.492732</v>
          </cell>
          <cell r="AA179">
            <v>0.49918399999999996</v>
          </cell>
          <cell r="AB179">
            <v>0.51242220696340901</v>
          </cell>
          <cell r="AC179">
            <v>0.56820095103565071</v>
          </cell>
          <cell r="AD179">
            <v>0.49314781500982674</v>
          </cell>
          <cell r="AE179">
            <v>0.5050087559041242</v>
          </cell>
        </row>
        <row r="180">
          <cell r="H180">
            <v>0.38265402430108175</v>
          </cell>
          <cell r="I180">
            <v>0.35527809152415585</v>
          </cell>
          <cell r="J180">
            <v>0.31116708068616789</v>
          </cell>
          <cell r="K180">
            <v>0.25877021364421587</v>
          </cell>
          <cell r="L180">
            <v>0.17560040903771046</v>
          </cell>
          <cell r="M180">
            <v>0.28672572315181322</v>
          </cell>
          <cell r="N180">
            <v>0.4039819838893699</v>
          </cell>
          <cell r="O180">
            <v>0.51748079859457219</v>
          </cell>
          <cell r="P180">
            <v>0.46186464611366751</v>
          </cell>
          <cell r="Q180">
            <v>0.29063942928987535</v>
          </cell>
          <cell r="R180">
            <v>0.34032074566355414</v>
          </cell>
          <cell r="S180">
            <v>0.49574806335161636</v>
          </cell>
          <cell r="T180">
            <v>0.63332847133961268</v>
          </cell>
          <cell r="U180">
            <v>0.51632192601337268</v>
          </cell>
          <cell r="V180">
            <v>0.44815933429603194</v>
          </cell>
          <cell r="W180">
            <v>0.25816474696636388</v>
          </cell>
          <cell r="X180">
            <v>0.25341430032107087</v>
          </cell>
          <cell r="Y180">
            <v>0.27179385816167018</v>
          </cell>
          <cell r="Z180">
            <v>0.492732</v>
          </cell>
          <cell r="AA180">
            <v>0.49918399999999996</v>
          </cell>
          <cell r="AB180">
            <v>0.51242220696340901</v>
          </cell>
          <cell r="AC180">
            <v>0.56820095103565071</v>
          </cell>
          <cell r="AD180">
            <v>0.49314781500982674</v>
          </cell>
          <cell r="AE180">
            <v>0.5050087559041242</v>
          </cell>
        </row>
        <row r="181">
          <cell r="H181">
            <v>0.40274807407407415</v>
          </cell>
          <cell r="I181">
            <v>0.37036307407407404</v>
          </cell>
          <cell r="J181">
            <v>0.48768807407407411</v>
          </cell>
          <cell r="K181">
            <v>0.46379207407407413</v>
          </cell>
          <cell r="L181">
            <v>0.53812807407407393</v>
          </cell>
          <cell r="M181">
            <v>0.42164107407407414</v>
          </cell>
          <cell r="N181">
            <v>0.43037807407407414</v>
          </cell>
          <cell r="O181">
            <v>0.50291507407407388</v>
          </cell>
          <cell r="P181">
            <v>0.48163407407407416</v>
          </cell>
          <cell r="Q181">
            <v>0.45580907407407417</v>
          </cell>
          <cell r="R181">
            <v>0.6205150740740738</v>
          </cell>
          <cell r="S181">
            <v>0.56234507407407419</v>
          </cell>
          <cell r="T181">
            <v>0.58473807407407419</v>
          </cell>
          <cell r="U181">
            <v>0.5404590740740739</v>
          </cell>
          <cell r="V181">
            <v>0.42069407407407394</v>
          </cell>
          <cell r="W181">
            <v>1.2428048860740741</v>
          </cell>
          <cell r="X181">
            <v>1.1604115330740739</v>
          </cell>
          <cell r="Y181">
            <v>1.2477731920740742</v>
          </cell>
          <cell r="Z181">
            <v>8.7690780740740752</v>
          </cell>
          <cell r="AA181">
            <v>11.037976074074074</v>
          </cell>
          <cell r="AB181">
            <v>9.3237041313177169</v>
          </cell>
          <cell r="AC181">
            <v>8.7162296123734357</v>
          </cell>
          <cell r="AD181">
            <v>8.4335868012343536</v>
          </cell>
          <cell r="AE181">
            <v>8.7947699601225242</v>
          </cell>
        </row>
        <row r="182">
          <cell r="H182">
            <v>1.2680339999999999</v>
          </cell>
          <cell r="I182">
            <v>3.2701959999999999</v>
          </cell>
          <cell r="J182">
            <v>2.1934979999999999</v>
          </cell>
          <cell r="K182">
            <v>2.1689530000000001</v>
          </cell>
          <cell r="L182">
            <v>1.452771</v>
          </cell>
          <cell r="M182">
            <v>0.90405199999999997</v>
          </cell>
          <cell r="N182">
            <v>1.359175</v>
          </cell>
          <cell r="O182">
            <v>1.5139029999999998</v>
          </cell>
          <cell r="P182">
            <v>2.30301</v>
          </cell>
          <cell r="Q182">
            <v>2.7516340000000001</v>
          </cell>
          <cell r="R182">
            <v>4.7814439999999996</v>
          </cell>
          <cell r="S182">
            <v>4.4062680000000007</v>
          </cell>
          <cell r="T182">
            <v>3.36571</v>
          </cell>
          <cell r="U182">
            <v>3.4345909999999997</v>
          </cell>
          <cell r="V182">
            <v>2.0285880000000001</v>
          </cell>
          <cell r="W182">
            <v>0.95992100000000002</v>
          </cell>
          <cell r="X182">
            <v>1.6628509999999999</v>
          </cell>
          <cell r="Y182">
            <v>1.8797829999999998</v>
          </cell>
          <cell r="Z182">
            <v>2.3661449999999999</v>
          </cell>
          <cell r="AA182">
            <v>3.0826709999999999</v>
          </cell>
          <cell r="AB182">
            <v>3.0169681880581578</v>
          </cell>
          <cell r="AC182">
            <v>2.5401827085011996</v>
          </cell>
          <cell r="AD182">
            <v>2.2922556070064219</v>
          </cell>
          <cell r="AE182">
            <v>2.6029925645564869</v>
          </cell>
        </row>
        <row r="183">
          <cell r="H183">
            <v>0.75905672000000002</v>
          </cell>
          <cell r="I183">
            <v>0.75352307799999996</v>
          </cell>
          <cell r="J183">
            <v>1.0492427340000001</v>
          </cell>
          <cell r="K183">
            <v>0.82287268399999991</v>
          </cell>
          <cell r="L183">
            <v>0.67738382599999991</v>
          </cell>
          <cell r="M183">
            <v>1.2262085980000001</v>
          </cell>
          <cell r="N183">
            <v>0.94672238399999986</v>
          </cell>
          <cell r="O183">
            <v>0.94664478799999996</v>
          </cell>
          <cell r="P183">
            <v>0.89970378400000006</v>
          </cell>
          <cell r="Q183">
            <v>0.77038129399999988</v>
          </cell>
          <cell r="R183">
            <v>1.1871685080000001</v>
          </cell>
          <cell r="S183">
            <v>1.3819149399999999</v>
          </cell>
          <cell r="T183">
            <v>2.1635749979999996</v>
          </cell>
          <cell r="U183">
            <v>1.9397220020000001</v>
          </cell>
          <cell r="V183">
            <v>1.5831111979999999</v>
          </cell>
          <cell r="W183">
            <v>1.026218284</v>
          </cell>
          <cell r="X183">
            <v>1.045345602</v>
          </cell>
          <cell r="Y183">
            <v>1.134643912</v>
          </cell>
          <cell r="Z183">
            <v>7.6951280000000004</v>
          </cell>
          <cell r="AA183">
            <v>4.5313210000000002</v>
          </cell>
          <cell r="AB183">
            <v>4.4960725606</v>
          </cell>
          <cell r="AC183">
            <v>4.5696217040999993</v>
          </cell>
          <cell r="AD183">
            <v>4.8413475147999998</v>
          </cell>
          <cell r="AE183">
            <v>5.1556288689000001</v>
          </cell>
        </row>
        <row r="184">
          <cell r="H184">
            <v>1.5868732800000001</v>
          </cell>
          <cell r="I184">
            <v>1.5850439220000003</v>
          </cell>
          <cell r="J184">
            <v>2.1840582660000001</v>
          </cell>
          <cell r="K184">
            <v>1.6983533159999999</v>
          </cell>
          <cell r="L184">
            <v>1.4102051739999999</v>
          </cell>
          <cell r="M184">
            <v>2.5247384019999997</v>
          </cell>
          <cell r="N184">
            <v>1.9978036160000001</v>
          </cell>
          <cell r="O184">
            <v>1.9580872119999999</v>
          </cell>
          <cell r="P184">
            <v>1.839522216</v>
          </cell>
          <cell r="Q184">
            <v>1.601259706</v>
          </cell>
          <cell r="R184">
            <v>2.454743492</v>
          </cell>
          <cell r="S184">
            <v>2.82329506</v>
          </cell>
          <cell r="T184">
            <v>4.3995720020000002</v>
          </cell>
          <cell r="U184">
            <v>3.9502809980000002</v>
          </cell>
          <cell r="V184">
            <v>3.2548358020000001</v>
          </cell>
          <cell r="W184">
            <v>3.1835925159999996</v>
          </cell>
          <cell r="X184">
            <v>3.2696349979999999</v>
          </cell>
          <cell r="Y184">
            <v>3.3710648879999998</v>
          </cell>
          <cell r="Z184">
            <v>7.6951280000000004</v>
          </cell>
          <cell r="AA184">
            <v>4.5313210000000002</v>
          </cell>
          <cell r="AB184">
            <v>4.4960725606</v>
          </cell>
          <cell r="AC184">
            <v>4.5696217040999993</v>
          </cell>
          <cell r="AD184">
            <v>4.8413475147999998</v>
          </cell>
          <cell r="AE184">
            <v>5.1556288689000001</v>
          </cell>
        </row>
        <row r="185">
          <cell r="H185">
            <v>2.0197172999999999</v>
          </cell>
          <cell r="I185">
            <v>2.4033025800000001</v>
          </cell>
          <cell r="J185">
            <v>1.6100873399999998</v>
          </cell>
          <cell r="K185">
            <v>2.2882799</v>
          </cell>
          <cell r="L185">
            <v>2.8939977200000002</v>
          </cell>
          <cell r="M185">
            <v>2.6208346827820002</v>
          </cell>
          <cell r="N185">
            <v>2.808180909576</v>
          </cell>
          <cell r="O185">
            <v>2.4410076620000001</v>
          </cell>
          <cell r="P185">
            <v>3.4118360120000002</v>
          </cell>
          <cell r="Q185">
            <v>4.6980795400000002</v>
          </cell>
          <cell r="R185">
            <v>5.0203619890400004</v>
          </cell>
          <cell r="S185">
            <v>6.1223928520000008</v>
          </cell>
          <cell r="T185">
            <v>6.8415446340000008</v>
          </cell>
          <cell r="U185">
            <v>6.7605348059999999</v>
          </cell>
          <cell r="V185">
            <v>5.2803142400000009</v>
          </cell>
          <cell r="W185">
            <v>4.7062230000000014</v>
          </cell>
          <cell r="X185">
            <v>4.0795029999999999</v>
          </cell>
          <cell r="Y185">
            <v>5.6370279999999999</v>
          </cell>
          <cell r="Z185">
            <v>3.2726250000000001</v>
          </cell>
          <cell r="AA185">
            <v>4.1234289999999998</v>
          </cell>
          <cell r="AB185">
            <v>4.1990751697822688</v>
          </cell>
          <cell r="AC185">
            <v>3.9559845486033547</v>
          </cell>
          <cell r="AD185">
            <v>4.2245626971251937</v>
          </cell>
          <cell r="AE185">
            <v>4.3471217789162413</v>
          </cell>
        </row>
        <row r="186">
          <cell r="H186">
            <v>3.9206276999999998</v>
          </cell>
          <cell r="I186">
            <v>5.0675564199999998</v>
          </cell>
          <cell r="J186">
            <v>3.3396976600000001</v>
          </cell>
          <cell r="K186">
            <v>4.6083171000000016</v>
          </cell>
          <cell r="L186">
            <v>5.7593702800000006</v>
          </cell>
          <cell r="M186">
            <v>5.3036676835180003</v>
          </cell>
          <cell r="N186">
            <v>5.8835187068239998</v>
          </cell>
          <cell r="O186">
            <v>5.0332471999999999</v>
          </cell>
          <cell r="P186">
            <v>6.8259360000000013</v>
          </cell>
          <cell r="Q186">
            <v>9.5154594599999989</v>
          </cell>
          <cell r="R186">
            <v>10.112064566960001</v>
          </cell>
          <cell r="S186">
            <v>12.42666404</v>
          </cell>
          <cell r="T186">
            <v>13.837188780000002</v>
          </cell>
          <cell r="U186">
            <v>13.824212319999997</v>
          </cell>
          <cell r="V186">
            <v>10.725069760000002</v>
          </cell>
          <cell r="W186">
            <v>7.2359570000000009</v>
          </cell>
          <cell r="X186">
            <v>9.5127849999999992</v>
          </cell>
          <cell r="Y186">
            <v>8.7675900000000002</v>
          </cell>
          <cell r="Z186">
            <v>3.607186</v>
          </cell>
          <cell r="AA186">
            <v>4.0182390000000003</v>
          </cell>
          <cell r="AB186">
            <v>4.2711939641417151</v>
          </cell>
          <cell r="AC186">
            <v>4.5946027044206739</v>
          </cell>
          <cell r="AD186">
            <v>4.429112704129059</v>
          </cell>
          <cell r="AE186">
            <v>4.328169119778071</v>
          </cell>
        </row>
        <row r="207">
          <cell r="G207" t="str">
            <v>Low</v>
          </cell>
          <cell r="H207">
            <v>42.389799174074071</v>
          </cell>
          <cell r="I207">
            <v>36.465809974074077</v>
          </cell>
          <cell r="J207">
            <v>35.569335074074075</v>
          </cell>
          <cell r="K207">
            <v>38.272286974074078</v>
          </cell>
          <cell r="L207">
            <v>34.157084474074075</v>
          </cell>
          <cell r="M207">
            <v>35.53257534037408</v>
          </cell>
          <cell r="N207">
            <v>36.773434690474069</v>
          </cell>
          <cell r="O207">
            <v>42.359566936074067</v>
          </cell>
          <cell r="P207">
            <v>51.593021086074074</v>
          </cell>
          <cell r="Q207">
            <v>51.05823207407407</v>
          </cell>
          <cell r="R207">
            <v>58.828523630074066</v>
          </cell>
          <cell r="S207">
            <v>69.276658966074081</v>
          </cell>
          <cell r="T207">
            <v>78.406612488074074</v>
          </cell>
          <cell r="U207">
            <v>74.656716200074086</v>
          </cell>
          <cell r="V207">
            <v>62.619136074074078</v>
          </cell>
          <cell r="W207">
            <v>48.797968286074081</v>
          </cell>
          <cell r="X207">
            <v>52.20252758307408</v>
          </cell>
          <cell r="Y207">
            <v>51.00957789207407</v>
          </cell>
          <cell r="Z207">
            <v>67.083563074074078</v>
          </cell>
          <cell r="AA207">
            <v>72.079969074074057</v>
          </cell>
          <cell r="AB207">
            <v>65.729459982444979</v>
          </cell>
          <cell r="AC207">
            <v>64.942320409137878</v>
          </cell>
          <cell r="AD207">
            <v>63.362334928324181</v>
          </cell>
          <cell r="AE207">
            <v>65.142943044759335</v>
          </cell>
        </row>
        <row r="214">
          <cell r="G214">
            <v>1986</v>
          </cell>
          <cell r="H214">
            <v>1987</v>
          </cell>
          <cell r="I214">
            <v>1988</v>
          </cell>
          <cell r="J214">
            <v>1989</v>
          </cell>
          <cell r="K214">
            <v>1990</v>
          </cell>
          <cell r="L214">
            <v>1991</v>
          </cell>
          <cell r="M214">
            <v>1992</v>
          </cell>
          <cell r="N214">
            <v>1993</v>
          </cell>
          <cell r="O214">
            <v>1994</v>
          </cell>
          <cell r="P214">
            <v>1995</v>
          </cell>
          <cell r="Q214">
            <v>1996</v>
          </cell>
          <cell r="R214">
            <v>1997</v>
          </cell>
          <cell r="S214">
            <v>1998</v>
          </cell>
          <cell r="T214">
            <v>1999</v>
          </cell>
          <cell r="U214">
            <v>2000</v>
          </cell>
          <cell r="V214">
            <v>2001</v>
          </cell>
          <cell r="W214">
            <v>2002</v>
          </cell>
          <cell r="X214">
            <v>2003</v>
          </cell>
          <cell r="Y214">
            <v>2004</v>
          </cell>
          <cell r="Z214">
            <v>2005</v>
          </cell>
          <cell r="AA214">
            <v>2006</v>
          </cell>
          <cell r="AB214">
            <v>2007</v>
          </cell>
          <cell r="AC214">
            <v>2008</v>
          </cell>
          <cell r="AD214">
            <v>2009</v>
          </cell>
          <cell r="AE214">
            <v>2010</v>
          </cell>
        </row>
        <row r="216">
          <cell r="G216">
            <v>208998.69198523989</v>
          </cell>
          <cell r="H216">
            <v>200145.98024940802</v>
          </cell>
          <cell r="I216">
            <v>204298.48758186327</v>
          </cell>
          <cell r="J216">
            <v>212514.47308934119</v>
          </cell>
          <cell r="K216">
            <v>218248.8879770175</v>
          </cell>
          <cell r="L216">
            <v>230735.79972918943</v>
          </cell>
          <cell r="M216">
            <v>231528.43027437758</v>
          </cell>
          <cell r="N216">
            <v>244878.83743148466</v>
          </cell>
          <cell r="O216">
            <v>242786.25970780815</v>
          </cell>
          <cell r="P216">
            <v>255559.09058324914</v>
          </cell>
          <cell r="Q216">
            <v>268008.32621918456</v>
          </cell>
          <cell r="R216">
            <v>265489.37581064156</v>
          </cell>
          <cell r="S216">
            <v>272482.6174634418</v>
          </cell>
          <cell r="T216">
            <v>284410.89610058442</v>
          </cell>
          <cell r="U216">
            <v>300017.95217937022</v>
          </cell>
          <cell r="V216">
            <v>317942.85702325829</v>
          </cell>
          <cell r="W216">
            <v>335695.10260296741</v>
          </cell>
          <cell r="X216">
            <v>348922.95366756298</v>
          </cell>
          <cell r="Y216">
            <v>353537.99027757213</v>
          </cell>
          <cell r="Z216">
            <v>354596.7797693297</v>
          </cell>
          <cell r="AA216">
            <v>359853.55392939574</v>
          </cell>
          <cell r="AB216">
            <v>355546.86718435638</v>
          </cell>
          <cell r="AC216">
            <v>351120.83370566339</v>
          </cell>
          <cell r="AD216">
            <v>353655.16843746061</v>
          </cell>
          <cell r="AE216">
            <v>360684.15806895884</v>
          </cell>
        </row>
        <row r="217">
          <cell r="G217">
            <v>73536.576809621445</v>
          </cell>
          <cell r="H217">
            <v>90173.965820167112</v>
          </cell>
          <cell r="I217">
            <v>92044.840537701777</v>
          </cell>
          <cell r="J217">
            <v>95746.478689050549</v>
          </cell>
          <cell r="K217">
            <v>98330.06758469365</v>
          </cell>
          <cell r="L217">
            <v>103955.93302619121</v>
          </cell>
          <cell r="M217">
            <v>104313.04556775086</v>
          </cell>
          <cell r="N217">
            <v>110327.95107407245</v>
          </cell>
          <cell r="O217">
            <v>109385.15905848605</v>
          </cell>
          <cell r="P217">
            <v>115139.84278160419</v>
          </cell>
          <cell r="Q217">
            <v>120748.73358881973</v>
          </cell>
          <cell r="R217">
            <v>119613.84320651177</v>
          </cell>
          <cell r="S217">
            <v>122764.58514490072</v>
          </cell>
          <cell r="T217">
            <v>128138.76347603065</v>
          </cell>
          <cell r="U217">
            <v>135170.38179605946</v>
          </cell>
          <cell r="V217">
            <v>143246.28596714657</v>
          </cell>
          <cell r="W217">
            <v>151244.40006437257</v>
          </cell>
          <cell r="X217">
            <v>157204.08902883093</v>
          </cell>
          <cell r="Y217">
            <v>159283.35213974226</v>
          </cell>
          <cell r="Z217">
            <v>162515.65727255808</v>
          </cell>
          <cell r="AA217">
            <v>167612.08530117007</v>
          </cell>
          <cell r="AB217">
            <v>168423.08861424751</v>
          </cell>
          <cell r="AC217">
            <v>169187.35438208625</v>
          </cell>
          <cell r="AD217">
            <v>173048.3572794295</v>
          </cell>
          <cell r="AE217">
            <v>179117.10252840212</v>
          </cell>
        </row>
        <row r="218">
          <cell r="G218">
            <v>104499.34599261994</v>
          </cell>
          <cell r="H218">
            <v>105807.50910078075</v>
          </cell>
          <cell r="I218">
            <v>108002.7390865257</v>
          </cell>
          <cell r="J218">
            <v>112346.13364419344</v>
          </cell>
          <cell r="K218">
            <v>115377.64171974598</v>
          </cell>
          <cell r="L218">
            <v>121978.86862029215</v>
          </cell>
          <cell r="M218">
            <v>122397.89409119615</v>
          </cell>
          <cell r="N218">
            <v>129455.60928994505</v>
          </cell>
          <cell r="O218">
            <v>128349.36455664544</v>
          </cell>
          <cell r="P218">
            <v>135101.74308261863</v>
          </cell>
          <cell r="Q218">
            <v>141683.05244094582</v>
          </cell>
          <cell r="R218">
            <v>140351.40507064035</v>
          </cell>
          <cell r="S218">
            <v>144048.39403289961</v>
          </cell>
          <cell r="T218">
            <v>150354.29859757473</v>
          </cell>
          <cell r="U218">
            <v>158604.99504441186</v>
          </cell>
          <cell r="V218">
            <v>168081.02613950011</v>
          </cell>
          <cell r="W218">
            <v>177465.78062417047</v>
          </cell>
          <cell r="X218">
            <v>184458.70633847601</v>
          </cell>
          <cell r="Y218">
            <v>186898.45320476568</v>
          </cell>
          <cell r="Z218">
            <v>186028.83658052023</v>
          </cell>
          <cell r="AA218">
            <v>187392.62346713556</v>
          </cell>
          <cell r="AB218">
            <v>183688.58010542323</v>
          </cell>
          <cell r="AC218">
            <v>179917.79537687683</v>
          </cell>
          <cell r="AD218">
            <v>179846.95356055681</v>
          </cell>
          <cell r="AE218">
            <v>182057.43147324634</v>
          </cell>
        </row>
        <row r="219">
          <cell r="G219">
            <v>13423.836588687245</v>
          </cell>
          <cell r="H219">
            <v>21791.875763514865</v>
          </cell>
          <cell r="I219">
            <v>22224.659925521173</v>
          </cell>
          <cell r="J219">
            <v>22732.952835002077</v>
          </cell>
          <cell r="K219">
            <v>23080.895311996119</v>
          </cell>
          <cell r="L219">
            <v>24394.967985397427</v>
          </cell>
          <cell r="M219">
            <v>24342.77819338522</v>
          </cell>
          <cell r="N219">
            <v>25847.114822320538</v>
          </cell>
          <cell r="O219">
            <v>25597.201842348808</v>
          </cell>
          <cell r="P219">
            <v>26685.15216798272</v>
          </cell>
          <cell r="Q219">
            <v>27183.979842094126</v>
          </cell>
          <cell r="R219">
            <v>26370.318525564584</v>
          </cell>
          <cell r="S219">
            <v>26408.046610476242</v>
          </cell>
          <cell r="T219">
            <v>27113.984701041256</v>
          </cell>
          <cell r="U219">
            <v>28084.473978898819</v>
          </cell>
          <cell r="V219">
            <v>29362.800335296797</v>
          </cell>
          <cell r="W219">
            <v>30805.387561284086</v>
          </cell>
          <cell r="X219">
            <v>32039.384416567875</v>
          </cell>
          <cell r="Y219">
            <v>32288.612309161115</v>
          </cell>
          <cell r="Z219">
            <v>32756.354184115167</v>
          </cell>
          <cell r="AA219">
            <v>33718.918515821199</v>
          </cell>
          <cell r="AB219">
            <v>33600.302576498187</v>
          </cell>
          <cell r="AC219">
            <v>33338.384168395656</v>
          </cell>
          <cell r="AD219">
            <v>33752.759044080267</v>
          </cell>
          <cell r="AE219">
            <v>34616.681984882525</v>
          </cell>
        </row>
        <row r="220">
          <cell r="G220">
            <v>42956.277083799177</v>
          </cell>
          <cell r="H220">
            <v>40249.231290308788</v>
          </cell>
          <cell r="I220">
            <v>41048.576423532184</v>
          </cell>
          <cell r="J220">
            <v>41987.384954699257</v>
          </cell>
          <cell r="K220">
            <v>42630.028909915964</v>
          </cell>
          <cell r="L220">
            <v>45057.099233644389</v>
          </cell>
          <cell r="M220">
            <v>44960.705557740206</v>
          </cell>
          <cell r="N220">
            <v>47739.190235863898</v>
          </cell>
          <cell r="O220">
            <v>47277.605127611147</v>
          </cell>
          <cell r="P220">
            <v>49287.03124420641</v>
          </cell>
          <cell r="Q220">
            <v>50208.35764342035</v>
          </cell>
          <cell r="R220">
            <v>48705.538754566136</v>
          </cell>
          <cell r="S220">
            <v>48775.221898515229</v>
          </cell>
          <cell r="T220">
            <v>50079.077784632274</v>
          </cell>
          <cell r="U220">
            <v>51871.555303921945</v>
          </cell>
          <cell r="V220">
            <v>54232.602775994215</v>
          </cell>
          <cell r="W220">
            <v>56897.037336162713</v>
          </cell>
          <cell r="X220">
            <v>59176.208958597657</v>
          </cell>
          <cell r="Y220">
            <v>59636.528721881943</v>
          </cell>
          <cell r="Z220">
            <v>59267.380594230824</v>
          </cell>
          <cell r="AA220">
            <v>59661.108667141169</v>
          </cell>
          <cell r="AB220">
            <v>58346.611071043306</v>
          </cell>
          <cell r="AC220">
            <v>56953.433458145395</v>
          </cell>
          <cell r="AD220">
            <v>56761.820168837978</v>
          </cell>
          <cell r="AE220">
            <v>57298.25438694148</v>
          </cell>
        </row>
        <row r="221">
          <cell r="G221">
            <v>10739.069270949794</v>
          </cell>
          <cell r="H221">
            <v>10062.307822577197</v>
          </cell>
          <cell r="I221">
            <v>10262.144105883046</v>
          </cell>
          <cell r="J221">
            <v>10496.846238674814</v>
          </cell>
          <cell r="K221">
            <v>10657.507227478991</v>
          </cell>
          <cell r="L221">
            <v>11264.274808411097</v>
          </cell>
          <cell r="M221">
            <v>11240.176389435052</v>
          </cell>
          <cell r="N221">
            <v>11934.797558965975</v>
          </cell>
          <cell r="O221">
            <v>11819.401281902787</v>
          </cell>
          <cell r="P221">
            <v>12321.757811051602</v>
          </cell>
          <cell r="Q221">
            <v>12552.089410855087</v>
          </cell>
          <cell r="R221">
            <v>12176.384688641534</v>
          </cell>
          <cell r="S221">
            <v>12193.805474628807</v>
          </cell>
          <cell r="T221">
            <v>12519.769446158069</v>
          </cell>
          <cell r="U221">
            <v>12967.888825980486</v>
          </cell>
          <cell r="V221">
            <v>13558.150693998554</v>
          </cell>
          <cell r="W221">
            <v>14224.259334040678</v>
          </cell>
          <cell r="X221">
            <v>14794.052239649414</v>
          </cell>
          <cell r="Y221">
            <v>14909.132180470486</v>
          </cell>
          <cell r="Z221">
            <v>16089.783930114661</v>
          </cell>
          <cell r="AA221">
            <v>17617.092653342384</v>
          </cell>
          <cell r="AB221">
            <v>18419.311769849035</v>
          </cell>
          <cell r="AC221">
            <v>19009.848165719726</v>
          </cell>
          <cell r="AD221">
            <v>19949.851202602753</v>
          </cell>
          <cell r="AE221">
            <v>21177.433659989274</v>
          </cell>
        </row>
        <row r="222">
          <cell r="G222">
            <v>22373.060981145409</v>
          </cell>
          <cell r="H222">
            <v>19427.476132820269</v>
          </cell>
          <cell r="I222">
            <v>19813.303588395116</v>
          </cell>
          <cell r="J222">
            <v>20266.447157796101</v>
          </cell>
          <cell r="K222">
            <v>20576.638177640001</v>
          </cell>
          <cell r="L222">
            <v>21748.135105042526</v>
          </cell>
          <cell r="M222">
            <v>21701.60786022446</v>
          </cell>
          <cell r="N222">
            <v>23042.725268910268</v>
          </cell>
          <cell r="O222">
            <v>22819.927630635757</v>
          </cell>
          <cell r="P222">
            <v>23789.836288996135</v>
          </cell>
          <cell r="Q222">
            <v>24234.541592860558</v>
          </cell>
          <cell r="R222">
            <v>23509.161823876082</v>
          </cell>
          <cell r="S222">
            <v>23542.796444278309</v>
          </cell>
          <cell r="T222">
            <v>24172.140863938701</v>
          </cell>
          <cell r="U222">
            <v>25037.332896388816</v>
          </cell>
          <cell r="V222">
            <v>26176.96195119722</v>
          </cell>
          <cell r="W222">
            <v>27463.02971362921</v>
          </cell>
          <cell r="X222">
            <v>28563.138979768595</v>
          </cell>
          <cell r="Y222">
            <v>28785.325862051341</v>
          </cell>
          <cell r="Z222">
            <v>28924.071606197242</v>
          </cell>
          <cell r="AA222">
            <v>29469.866159102188</v>
          </cell>
          <cell r="AB222">
            <v>29116.933433380244</v>
          </cell>
          <cell r="AC222">
            <v>28678.217716061263</v>
          </cell>
          <cell r="AD222">
            <v>28831.690819149815</v>
          </cell>
          <cell r="AE222">
            <v>29362.860829323748</v>
          </cell>
        </row>
        <row r="223">
          <cell r="G223">
            <v>4115.706901028545</v>
          </cell>
          <cell r="H223">
            <v>4205.010520242442</v>
          </cell>
          <cell r="I223">
            <v>4292.0902136220993</v>
          </cell>
          <cell r="J223">
            <v>4385.1340717390349</v>
          </cell>
          <cell r="K223">
            <v>4578.7455890095252</v>
          </cell>
          <cell r="L223">
            <v>4925.2542379471824</v>
          </cell>
          <cell r="M223">
            <v>5059.9086971479355</v>
          </cell>
          <cell r="N223">
            <v>5491.2305796720329</v>
          </cell>
          <cell r="O223">
            <v>5593.5954805401325</v>
          </cell>
          <cell r="P223">
            <v>5926.3175733184044</v>
          </cell>
          <cell r="Q223">
            <v>6182.9348882424329</v>
          </cell>
          <cell r="R223">
            <v>6169.7723192810736</v>
          </cell>
          <cell r="S223">
            <v>6245.6036993975076</v>
          </cell>
          <cell r="T223">
            <v>6577.8422959626059</v>
          </cell>
          <cell r="U223">
            <v>6928.8339007962168</v>
          </cell>
          <cell r="V223">
            <v>7490.3140941843267</v>
          </cell>
          <cell r="W223">
            <v>8257.6043067687824</v>
          </cell>
          <cell r="X223">
            <v>8802.0048065065639</v>
          </cell>
          <cell r="Y223">
            <v>9009.5800347258555</v>
          </cell>
          <cell r="Z223">
            <v>9145.9892087019052</v>
          </cell>
          <cell r="AA223">
            <v>9211.6710302419669</v>
          </cell>
          <cell r="AB223">
            <v>9178.9855009367984</v>
          </cell>
          <cell r="AC223">
            <v>9148.5358510380192</v>
          </cell>
          <cell r="AD223">
            <v>9307.2672479613648</v>
          </cell>
          <cell r="AE223">
            <v>9585.7986641014031</v>
          </cell>
        </row>
        <row r="224">
          <cell r="G224">
            <v>7052.2389172900575</v>
          </cell>
          <cell r="H224">
            <v>7205.2601294462738</v>
          </cell>
          <cell r="I224">
            <v>7354.4706581173587</v>
          </cell>
          <cell r="J224">
            <v>7513.9007470440247</v>
          </cell>
          <cell r="K224">
            <v>7845.6529125321231</v>
          </cell>
          <cell r="L224">
            <v>8439.3933896795734</v>
          </cell>
          <cell r="M224">
            <v>8670.1229922479361</v>
          </cell>
          <cell r="N224">
            <v>9409.1904328995261</v>
          </cell>
          <cell r="O224">
            <v>9584.5920722840365</v>
          </cell>
          <cell r="P224">
            <v>10154.709368719003</v>
          </cell>
          <cell r="Q224">
            <v>10594.421587950512</v>
          </cell>
          <cell r="R224">
            <v>10571.867605533151</v>
          </cell>
          <cell r="S224">
            <v>10701.80421736411</v>
          </cell>
          <cell r="T224">
            <v>11271.093045957972</v>
          </cell>
          <cell r="U224">
            <v>11872.515040957445</v>
          </cell>
          <cell r="V224">
            <v>12834.607961157768</v>
          </cell>
          <cell r="W224">
            <v>14047.589314524124</v>
          </cell>
          <cell r="X224">
            <v>15152.652396838437</v>
          </cell>
          <cell r="Y224">
            <v>15479.510456527292</v>
          </cell>
          <cell r="Z224">
            <v>15798.174448709171</v>
          </cell>
          <cell r="AA224">
            <v>16024.318633545427</v>
          </cell>
          <cell r="AB224">
            <v>15915.266706434264</v>
          </cell>
          <cell r="AC224">
            <v>15890.102655033168</v>
          </cell>
          <cell r="AD224">
            <v>16206.894670169306</v>
          </cell>
          <cell r="AE224">
            <v>16751.236087215875</v>
          </cell>
        </row>
        <row r="225">
          <cell r="G225">
            <v>50887.549088008323</v>
          </cell>
          <cell r="H225">
            <v>52096.128378848516</v>
          </cell>
          <cell r="I225">
            <v>53891.473390088919</v>
          </cell>
          <cell r="J225">
            <v>55301.704088136066</v>
          </cell>
          <cell r="K225">
            <v>56320.720929326286</v>
          </cell>
          <cell r="L225">
            <v>59598.948196798665</v>
          </cell>
          <cell r="M225">
            <v>59875.038133999398</v>
          </cell>
          <cell r="N225">
            <v>63090.538108352572</v>
          </cell>
          <cell r="O225">
            <v>62290.990920621967</v>
          </cell>
          <cell r="P225">
            <v>65911.63038498332</v>
          </cell>
          <cell r="Q225">
            <v>68983.639135362406</v>
          </cell>
          <cell r="R225">
            <v>69732.96582170199</v>
          </cell>
          <cell r="S225">
            <v>71331.440918664593</v>
          </cell>
          <cell r="T225">
            <v>74031.11753504441</v>
          </cell>
          <cell r="U225">
            <v>76942.356081206293</v>
          </cell>
          <cell r="V225">
            <v>81143.432123224557</v>
          </cell>
          <cell r="W225">
            <v>85690.254182846576</v>
          </cell>
          <cell r="X225">
            <v>88772.478710730531</v>
          </cell>
          <cell r="Y225">
            <v>89611.133454044131</v>
          </cell>
          <cell r="Z225">
            <v>90910.782716700836</v>
          </cell>
          <cell r="AA225">
            <v>92712.944275381815</v>
          </cell>
          <cell r="AB225">
            <v>92106.864078517261</v>
          </cell>
          <cell r="AC225">
            <v>91226.675126907721</v>
          </cell>
          <cell r="AD225">
            <v>92126.824590314762</v>
          </cell>
          <cell r="AE225">
            <v>94226.839366206506</v>
          </cell>
        </row>
        <row r="226">
          <cell r="G226">
            <v>19812.879259651741</v>
          </cell>
          <cell r="H226">
            <v>18032.884427272984</v>
          </cell>
          <cell r="I226">
            <v>18390.850686182566</v>
          </cell>
          <cell r="J226">
            <v>18811.272058336421</v>
          </cell>
          <cell r="K226">
            <v>19099.063705396456</v>
          </cell>
          <cell r="L226">
            <v>20186.310587606091</v>
          </cell>
          <cell r="M226">
            <v>20143.040724556799</v>
          </cell>
          <cell r="N226">
            <v>21387.69116528075</v>
          </cell>
          <cell r="O226">
            <v>21180.748251774428</v>
          </cell>
          <cell r="P226">
            <v>22080.758751653964</v>
          </cell>
          <cell r="Q226">
            <v>22493.41427857352</v>
          </cell>
          <cell r="R226">
            <v>21820.012288958882</v>
          </cell>
          <cell r="S226">
            <v>21851.072681430713</v>
          </cell>
          <cell r="T226">
            <v>22435.037007354465</v>
          </cell>
          <cell r="U226">
            <v>23237.856100070774</v>
          </cell>
          <cell r="V226">
            <v>24295.423566588957</v>
          </cell>
          <cell r="W226">
            <v>25676.409631101869</v>
          </cell>
          <cell r="X226">
            <v>26947.489232296917</v>
          </cell>
          <cell r="Y226">
            <v>27352.311253779546</v>
          </cell>
          <cell r="Z226">
            <v>27335.965576247774</v>
          </cell>
          <cell r="AA226">
            <v>27602.57300118457</v>
          </cell>
          <cell r="AB226">
            <v>27114.80587866436</v>
          </cell>
          <cell r="AC226">
            <v>26610.841990217854</v>
          </cell>
          <cell r="AD226">
            <v>26693.236756604154</v>
          </cell>
          <cell r="AE226">
            <v>27154.544217813003</v>
          </cell>
        </row>
        <row r="227">
          <cell r="G227">
            <v>7419.0906995658279</v>
          </cell>
          <cell r="H227">
            <v>10929.866269561855</v>
          </cell>
          <cell r="I227">
            <v>11146.832299299163</v>
          </cell>
          <cell r="J227">
            <v>11401.652840795985</v>
          </cell>
          <cell r="K227">
            <v>11576.085512870666</v>
          </cell>
          <cell r="L227">
            <v>12235.073988756241</v>
          </cell>
          <cell r="M227">
            <v>12208.847800786238</v>
          </cell>
          <cell r="N227">
            <v>12963.239752020037</v>
          </cell>
          <cell r="O227">
            <v>12837.810102693569</v>
          </cell>
          <cell r="P227">
            <v>13383.313205347922</v>
          </cell>
          <cell r="Q227">
            <v>13633.426809902779</v>
          </cell>
          <cell r="R227">
            <v>13225.27282201311</v>
          </cell>
          <cell r="S227">
            <v>13244.098758449756</v>
          </cell>
          <cell r="T227">
            <v>13598.043908726899</v>
          </cell>
          <cell r="U227">
            <v>14084.638571795298</v>
          </cell>
          <cell r="V227">
            <v>14725.638131610645</v>
          </cell>
          <cell r="W227">
            <v>15562.664125213003</v>
          </cell>
          <cell r="X227">
            <v>16333.074988492226</v>
          </cell>
          <cell r="Y227">
            <v>16578.44064674971</v>
          </cell>
          <cell r="Z227">
            <v>16857.311575218704</v>
          </cell>
          <cell r="AA227">
            <v>17266.656645919924</v>
          </cell>
          <cell r="AB227">
            <v>17209.046241024487</v>
          </cell>
          <cell r="AC227">
            <v>17136.3703707032</v>
          </cell>
          <cell r="AD227">
            <v>17456.408368183093</v>
          </cell>
          <cell r="AE227">
            <v>18058.866872371669</v>
          </cell>
        </row>
        <row r="228">
          <cell r="G228">
            <v>83364.422267462985</v>
          </cell>
          <cell r="H228">
            <v>83832.227579195271</v>
          </cell>
          <cell r="I228">
            <v>84473.651357137482</v>
          </cell>
          <cell r="J228">
            <v>85669.000717749455</v>
          </cell>
          <cell r="K228">
            <v>86953.915160136385</v>
          </cell>
          <cell r="L228">
            <v>91285.461447874812</v>
          </cell>
          <cell r="M228">
            <v>90938.245242666802</v>
          </cell>
          <cell r="N228">
            <v>95719.927133708654</v>
          </cell>
          <cell r="O228">
            <v>93952.396537730761</v>
          </cell>
          <cell r="P228">
            <v>96705.968870619268</v>
          </cell>
          <cell r="Q228">
            <v>98084.385907262404</v>
          </cell>
          <cell r="R228">
            <v>94854.133820205563</v>
          </cell>
          <cell r="S228">
            <v>94531.289301758676</v>
          </cell>
          <cell r="T228">
            <v>96314.095346684699</v>
          </cell>
          <cell r="U228">
            <v>98468.71184276056</v>
          </cell>
          <cell r="V228">
            <v>101998.44637128555</v>
          </cell>
          <cell r="W228">
            <v>108335.20040286546</v>
          </cell>
          <cell r="X228">
            <v>114395.71234984108</v>
          </cell>
          <cell r="Y228">
            <v>116727.38959742447</v>
          </cell>
          <cell r="Z228">
            <v>141998.01843454241</v>
          </cell>
          <cell r="AA228">
            <v>171946.05794425026</v>
          </cell>
          <cell r="AB228">
            <v>192464.78312542022</v>
          </cell>
          <cell r="AC228">
            <v>208908.64373695463</v>
          </cell>
          <cell r="AD228">
            <v>228706.45614921703</v>
          </cell>
          <cell r="AE228">
            <v>252084.95499626573</v>
          </cell>
        </row>
        <row r="229">
          <cell r="G229">
            <v>12778.134917081974</v>
          </cell>
          <cell r="H229">
            <v>12894.186073617273</v>
          </cell>
          <cell r="I229">
            <v>13178.009408971293</v>
          </cell>
          <cell r="J229">
            <v>13341.082749817862</v>
          </cell>
          <cell r="K229">
            <v>13581.568601140933</v>
          </cell>
          <cell r="L229">
            <v>14287.410756019724</v>
          </cell>
          <cell r="M229">
            <v>14217.523844548945</v>
          </cell>
          <cell r="N229">
            <v>14955.493690163396</v>
          </cell>
          <cell r="O229">
            <v>14749.068526871995</v>
          </cell>
          <cell r="P229">
            <v>15217.615920965041</v>
          </cell>
          <cell r="Q229">
            <v>15615.500853886677</v>
          </cell>
          <cell r="R229">
            <v>15768.602167633129</v>
          </cell>
          <cell r="S229">
            <v>16113.909210513591</v>
          </cell>
          <cell r="T229">
            <v>16679.827859739111</v>
          </cell>
          <cell r="U229">
            <v>17277.728711114269</v>
          </cell>
          <cell r="V229">
            <v>17914.590049087761</v>
          </cell>
          <cell r="W229">
            <v>18631.873619577422</v>
          </cell>
          <cell r="X229">
            <v>19246.310352174143</v>
          </cell>
          <cell r="Y229">
            <v>19226.799168199374</v>
          </cell>
          <cell r="Z229">
            <v>19109.077435323827</v>
          </cell>
          <cell r="AA229">
            <v>19277.963444280296</v>
          </cell>
          <cell r="AB229">
            <v>18940.524142835653</v>
          </cell>
          <cell r="AC229">
            <v>18579.144573461443</v>
          </cell>
          <cell r="AD229">
            <v>18559.369474301344</v>
          </cell>
          <cell r="AE229">
            <v>18786.218095097855</v>
          </cell>
        </row>
        <row r="230">
          <cell r="G230">
            <v>19927.728810231933</v>
          </cell>
          <cell r="H230">
            <v>20387.498878375507</v>
          </cell>
          <cell r="I230">
            <v>21039.067675030969</v>
          </cell>
          <cell r="J230">
            <v>21751.96518935723</v>
          </cell>
          <cell r="K230">
            <v>22543.066584433152</v>
          </cell>
          <cell r="L230">
            <v>23942.959888780144</v>
          </cell>
          <cell r="M230">
            <v>24443.241717863308</v>
          </cell>
          <cell r="N230">
            <v>25857.012921133639</v>
          </cell>
          <cell r="O230">
            <v>26019.551101581019</v>
          </cell>
          <cell r="P230">
            <v>27043.216886545717</v>
          </cell>
          <cell r="Q230">
            <v>27714.128414291805</v>
          </cell>
          <cell r="R230">
            <v>27458.778506721221</v>
          </cell>
          <cell r="S230">
            <v>28235.725930746761</v>
          </cell>
          <cell r="T230">
            <v>30700.328022192367</v>
          </cell>
          <cell r="U230">
            <v>33048.146988518049</v>
          </cell>
          <cell r="V230">
            <v>35494.528422093819</v>
          </cell>
          <cell r="W230">
            <v>37620.955907392017</v>
          </cell>
          <cell r="X230">
            <v>39513.733368011992</v>
          </cell>
          <cell r="Y230">
            <v>40010.808440145935</v>
          </cell>
          <cell r="Z230">
            <v>48908.818659119788</v>
          </cell>
          <cell r="AA230">
            <v>52282.519633483942</v>
          </cell>
          <cell r="AB230">
            <v>55374.912449867224</v>
          </cell>
          <cell r="AC230">
            <v>58076.99156480789</v>
          </cell>
          <cell r="AD230">
            <v>62210.734014487818</v>
          </cell>
          <cell r="AE230">
            <v>67374.994373915324</v>
          </cell>
        </row>
        <row r="231">
          <cell r="G231">
            <v>45108.374295171176</v>
          </cell>
          <cell r="H231">
            <v>46149.56065856183</v>
          </cell>
          <cell r="I231">
            <v>47625.090696060222</v>
          </cell>
          <cell r="J231">
            <v>49239.504556032982</v>
          </cell>
          <cell r="K231">
            <v>51031.017404918923</v>
          </cell>
          <cell r="L231">
            <v>54200.373325811925</v>
          </cell>
          <cell r="M231">
            <v>55333.543476117171</v>
          </cell>
          <cell r="N231">
            <v>58534.252384181593</v>
          </cell>
          <cell r="O231">
            <v>58902.884869384878</v>
          </cell>
          <cell r="P231">
            <v>61220.727174027903</v>
          </cell>
          <cell r="Q231">
            <v>62739.911562789377</v>
          </cell>
          <cell r="R231">
            <v>62162.601935177241</v>
          </cell>
          <cell r="S231">
            <v>63922.405058420525</v>
          </cell>
          <cell r="T231">
            <v>69503.539738679581</v>
          </cell>
          <cell r="U231">
            <v>74820.119795511695</v>
          </cell>
          <cell r="V231">
            <v>80359.598457471366</v>
          </cell>
          <cell r="W231">
            <v>86541.70128799032</v>
          </cell>
          <cell r="X231">
            <v>92483.477913026232</v>
          </cell>
          <cell r="Y231">
            <v>94848.756057148668</v>
          </cell>
          <cell r="Z231">
            <v>104876.15733776866</v>
          </cell>
          <cell r="AA231">
            <v>108880.94517899094</v>
          </cell>
          <cell r="AB231">
            <v>111269.29774283603</v>
          </cell>
          <cell r="AC231">
            <v>113174.32196937493</v>
          </cell>
          <cell r="AD231">
            <v>117725.13831993856</v>
          </cell>
          <cell r="AE231">
            <v>124056.03016699647</v>
          </cell>
        </row>
        <row r="232">
          <cell r="G232">
            <v>14732.614363471273</v>
          </cell>
          <cell r="H232">
            <v>15190.025849992297</v>
          </cell>
          <cell r="I232">
            <v>15978.652657210951</v>
          </cell>
          <cell r="J232">
            <v>16358.081684185232</v>
          </cell>
          <cell r="K232">
            <v>16802.815184019466</v>
          </cell>
          <cell r="L232">
            <v>17995.075095351578</v>
          </cell>
          <cell r="M232">
            <v>18068.872042573646</v>
          </cell>
          <cell r="N232">
            <v>19587.401185481136</v>
          </cell>
          <cell r="O232">
            <v>19396.744558816688</v>
          </cell>
          <cell r="P232">
            <v>20469.625724466405</v>
          </cell>
          <cell r="Q232">
            <v>22021.466826109994</v>
          </cell>
          <cell r="R232">
            <v>22443.493824552352</v>
          </cell>
          <cell r="S232">
            <v>23154.520006260926</v>
          </cell>
          <cell r="T232">
            <v>24297.299686122278</v>
          </cell>
          <cell r="U232">
            <v>25604.628317990238</v>
          </cell>
          <cell r="V232">
            <v>27252.115344501475</v>
          </cell>
          <cell r="W232">
            <v>29326.592850202847</v>
          </cell>
          <cell r="X232">
            <v>31071.045803116915</v>
          </cell>
          <cell r="Y232">
            <v>31809.338088577882</v>
          </cell>
          <cell r="Z232">
            <v>32253.678455315665</v>
          </cell>
          <cell r="AA232">
            <v>33031.407872308417</v>
          </cell>
          <cell r="AB232">
            <v>33044.701825989607</v>
          </cell>
          <cell r="AC232">
            <v>33079.38765057132</v>
          </cell>
          <cell r="AD232">
            <v>33840.932034592515</v>
          </cell>
          <cell r="AE232">
            <v>35028.551814055783</v>
          </cell>
        </row>
        <row r="233">
          <cell r="G233">
            <v>30607.73667734694</v>
          </cell>
          <cell r="H233">
            <v>31558.031715771514</v>
          </cell>
          <cell r="I233">
            <v>33196.443002222775</v>
          </cell>
          <cell r="J233">
            <v>33984.725615128584</v>
          </cell>
          <cell r="K233">
            <v>34908.681507727801</v>
          </cell>
          <cell r="L233">
            <v>37385.660577205868</v>
          </cell>
          <cell r="M233">
            <v>37538.977393382476</v>
          </cell>
          <cell r="N233">
            <v>40693.796965544178</v>
          </cell>
          <cell r="O233">
            <v>40297.698372262203</v>
          </cell>
          <cell r="P233">
            <v>42526.662179644067</v>
          </cell>
          <cell r="Q233">
            <v>45750.688997447731</v>
          </cell>
          <cell r="R233">
            <v>46627.471007780034</v>
          </cell>
          <cell r="S233">
            <v>48104.663147852298</v>
          </cell>
          <cell r="T233">
            <v>50478.844583575272</v>
          </cell>
          <cell r="U233">
            <v>53194.884624247505</v>
          </cell>
          <cell r="V233">
            <v>56617.620592401901</v>
          </cell>
          <cell r="W233">
            <v>59923.157134890702</v>
          </cell>
          <cell r="X233">
            <v>63973.486449511773</v>
          </cell>
          <cell r="Y233">
            <v>66181.538107032015</v>
          </cell>
          <cell r="Z233">
            <v>66453.563269918333</v>
          </cell>
          <cell r="AA233">
            <v>66959.267579956038</v>
          </cell>
          <cell r="AB233">
            <v>66094.364426773463</v>
          </cell>
          <cell r="AC233">
            <v>65334.982685483985</v>
          </cell>
          <cell r="AD233">
            <v>65811.632936669848</v>
          </cell>
          <cell r="AE233">
            <v>67051.855449590992</v>
          </cell>
        </row>
        <row r="236">
          <cell r="G236">
            <v>365235.87759901345</v>
          </cell>
          <cell r="H236">
            <v>354859.62782446295</v>
          </cell>
          <cell r="I236">
            <v>359099.12116031331</v>
          </cell>
          <cell r="J236">
            <v>363684.89253116085</v>
          </cell>
          <cell r="K236">
            <v>371183.65691280959</v>
          </cell>
          <cell r="L236">
            <v>393810.14448577375</v>
          </cell>
          <cell r="M236">
            <v>392919.76472724194</v>
          </cell>
          <cell r="N236">
            <v>416337.28299488511</v>
          </cell>
          <cell r="O236">
            <v>415847.40765335562</v>
          </cell>
          <cell r="P236">
            <v>440930.75205977412</v>
          </cell>
          <cell r="Q236">
            <v>462610.57949277834</v>
          </cell>
          <cell r="R236">
            <v>464545.80548638868</v>
          </cell>
          <cell r="S236">
            <v>474100.778496566</v>
          </cell>
          <cell r="T236">
            <v>490120.37038982578</v>
          </cell>
          <cell r="U236">
            <v>507824.3128671766</v>
          </cell>
          <cell r="V236">
            <v>523265.66056981642</v>
          </cell>
          <cell r="W236">
            <v>547621.81359517598</v>
          </cell>
          <cell r="X236">
            <v>577195.13074333861</v>
          </cell>
          <cell r="Y236">
            <v>597901.31757310289</v>
          </cell>
          <cell r="Z236">
            <v>606724.96847552957</v>
          </cell>
          <cell r="AA236">
            <v>621130.50828699535</v>
          </cell>
          <cell r="AB236">
            <v>615303.10013566166</v>
          </cell>
          <cell r="AC236">
            <v>604685.27239587845</v>
          </cell>
          <cell r="AD236">
            <v>611946.42316720472</v>
          </cell>
          <cell r="AE236">
            <v>621775.7724142184</v>
          </cell>
        </row>
        <row r="237">
          <cell r="G237">
            <v>128508.91989594916</v>
          </cell>
          <cell r="H237">
            <v>159878.80401357694</v>
          </cell>
          <cell r="I237">
            <v>161788.86949021256</v>
          </cell>
          <cell r="J237">
            <v>163854.9474116308</v>
          </cell>
          <cell r="K237">
            <v>167233.44805501943</v>
          </cell>
          <cell r="L237">
            <v>177427.60791020317</v>
          </cell>
          <cell r="M237">
            <v>177026.45534239855</v>
          </cell>
          <cell r="N237">
            <v>187577.00694092782</v>
          </cell>
          <cell r="O237">
            <v>187356.29802512456</v>
          </cell>
          <cell r="P237">
            <v>198657.37256252611</v>
          </cell>
          <cell r="Q237">
            <v>208425.02323177626</v>
          </cell>
          <cell r="R237">
            <v>209296.92184490184</v>
          </cell>
          <cell r="S237">
            <v>213601.82873615521</v>
          </cell>
          <cell r="T237">
            <v>220819.31134577713</v>
          </cell>
          <cell r="U237">
            <v>228795.66291599342</v>
          </cell>
          <cell r="V237">
            <v>235752.62282205813</v>
          </cell>
          <cell r="W237">
            <v>246726.06784295075</v>
          </cell>
          <cell r="X237">
            <v>260050.0590936582</v>
          </cell>
          <cell r="Y237">
            <v>269379.04477264325</v>
          </cell>
          <cell r="Z237">
            <v>274246.47257606586</v>
          </cell>
          <cell r="AA237">
            <v>283323.60322947107</v>
          </cell>
          <cell r="AB237">
            <v>282176.62280447973</v>
          </cell>
          <cell r="AC237">
            <v>278788.25314832455</v>
          </cell>
          <cell r="AD237">
            <v>283474.80692722125</v>
          </cell>
          <cell r="AE237">
            <v>289306.68472038873</v>
          </cell>
        </row>
        <row r="238">
          <cell r="G238">
            <v>182617.93879950672</v>
          </cell>
          <cell r="H238">
            <v>187597.13911690007</v>
          </cell>
          <cell r="I238">
            <v>189838.35439964873</v>
          </cell>
          <cell r="J238">
            <v>192262.63014803207</v>
          </cell>
          <cell r="K238">
            <v>196226.86455117722</v>
          </cell>
          <cell r="L238">
            <v>208188.39526396897</v>
          </cell>
          <cell r="M238">
            <v>207717.6945070184</v>
          </cell>
          <cell r="N238">
            <v>220097.40492705166</v>
          </cell>
          <cell r="O238">
            <v>219838.43150379052</v>
          </cell>
          <cell r="P238">
            <v>233098.78371397682</v>
          </cell>
          <cell r="Q238">
            <v>244559.86095151352</v>
          </cell>
          <cell r="R238">
            <v>245582.9214280509</v>
          </cell>
          <cell r="S238">
            <v>250634.17398117352</v>
          </cell>
          <cell r="T238">
            <v>259102.95818021009</v>
          </cell>
          <cell r="U238">
            <v>268462.17714857374</v>
          </cell>
          <cell r="V238">
            <v>276625.27158364275</v>
          </cell>
          <cell r="W238">
            <v>289501.19284710946</v>
          </cell>
          <cell r="X238">
            <v>305135.17669927207</v>
          </cell>
          <cell r="Y238">
            <v>316081.53719425993</v>
          </cell>
          <cell r="Z238">
            <v>318864.90587520832</v>
          </cell>
          <cell r="AA238">
            <v>321024.71413024032</v>
          </cell>
          <cell r="AB238">
            <v>314825.8482508192</v>
          </cell>
          <cell r="AC238">
            <v>306269.79725356057</v>
          </cell>
          <cell r="AD238">
            <v>307123.92753089877</v>
          </cell>
          <cell r="AE238">
            <v>309360.53101240424</v>
          </cell>
        </row>
        <row r="239">
          <cell r="G239">
            <v>22826.038376498713</v>
          </cell>
          <cell r="H239">
            <v>37085.098831852469</v>
          </cell>
          <cell r="I239">
            <v>37893.103890682374</v>
          </cell>
          <cell r="J239">
            <v>38462.381555532207</v>
          </cell>
          <cell r="K239">
            <v>38969.129623895285</v>
          </cell>
          <cell r="L239">
            <v>41122.671401230393</v>
          </cell>
          <cell r="M239">
            <v>41185.78757641455</v>
          </cell>
          <cell r="N239">
            <v>44212.728429698531</v>
          </cell>
          <cell r="O239">
            <v>44951.843483761288</v>
          </cell>
          <cell r="P239">
            <v>48023.926933948365</v>
          </cell>
          <cell r="Q239">
            <v>50150.466781839837</v>
          </cell>
          <cell r="R239">
            <v>50124.859380140115</v>
          </cell>
          <cell r="S239">
            <v>50689.163852827936</v>
          </cell>
          <cell r="T239">
            <v>51823.573400304151</v>
          </cell>
          <cell r="U239">
            <v>52861.045289321017</v>
          </cell>
          <cell r="V239">
            <v>54320.35492645581</v>
          </cell>
          <cell r="W239">
            <v>56926.871894878575</v>
          </cell>
          <cell r="X239">
            <v>59891.068626553875</v>
          </cell>
          <cell r="Y239">
            <v>62046.543913457623</v>
          </cell>
          <cell r="Z239">
            <v>63939.99342109407</v>
          </cell>
          <cell r="AA239">
            <v>65822.79068051881</v>
          </cell>
          <cell r="AB239">
            <v>65849.37613974858</v>
          </cell>
          <cell r="AC239">
            <v>65246.726750042319</v>
          </cell>
          <cell r="AD239">
            <v>66564.13506297869</v>
          </cell>
          <cell r="AE239">
            <v>68260.473116669134</v>
          </cell>
        </row>
        <row r="240">
          <cell r="G240">
            <v>73043.322804795869</v>
          </cell>
          <cell r="H240">
            <v>68495.559377511716</v>
          </cell>
          <cell r="I240">
            <v>69987.931252677838</v>
          </cell>
          <cell r="J240">
            <v>71039.377610467272</v>
          </cell>
          <cell r="K240">
            <v>71975.332845840443</v>
          </cell>
          <cell r="L240">
            <v>75952.888611573333</v>
          </cell>
          <cell r="M240">
            <v>76069.463135066151</v>
          </cell>
          <cell r="N240">
            <v>81660.172435542656</v>
          </cell>
          <cell r="O240">
            <v>83025.305620219151</v>
          </cell>
          <cell r="P240">
            <v>88699.392544701768</v>
          </cell>
          <cell r="Q240">
            <v>92627.076196842638</v>
          </cell>
          <cell r="R240">
            <v>92579.779752748451</v>
          </cell>
          <cell r="S240">
            <v>93622.040707511944</v>
          </cell>
          <cell r="T240">
            <v>95717.276232429431</v>
          </cell>
          <cell r="U240">
            <v>97633.469518009108</v>
          </cell>
          <cell r="V240">
            <v>100328.79009282413</v>
          </cell>
          <cell r="W240">
            <v>105142.983485933</v>
          </cell>
          <cell r="X240">
            <v>110617.80543966891</v>
          </cell>
          <cell r="Y240">
            <v>114598.93236534574</v>
          </cell>
          <cell r="Z240">
            <v>115858.64768204739</v>
          </cell>
          <cell r="AA240">
            <v>116478.30055393775</v>
          </cell>
          <cell r="AB240">
            <v>114286.39036749169</v>
          </cell>
          <cell r="AC240">
            <v>111201.59592874881</v>
          </cell>
          <cell r="AD240">
            <v>111549.77156105102</v>
          </cell>
          <cell r="AE240">
            <v>112441.44112659105</v>
          </cell>
        </row>
        <row r="241">
          <cell r="G241">
            <v>18260.830701198967</v>
          </cell>
          <cell r="H241">
            <v>17123.889844377929</v>
          </cell>
          <cell r="I241">
            <v>17496.982813169459</v>
          </cell>
          <cell r="J241">
            <v>17759.844402616818</v>
          </cell>
          <cell r="K241">
            <v>17993.833211460111</v>
          </cell>
          <cell r="L241">
            <v>18988.222152893333</v>
          </cell>
          <cell r="M241">
            <v>19017.365783766538</v>
          </cell>
          <cell r="N241">
            <v>20415.043108885664</v>
          </cell>
          <cell r="O241">
            <v>20756.326405054788</v>
          </cell>
          <cell r="P241">
            <v>22174.848136175442</v>
          </cell>
          <cell r="Q241">
            <v>23156.769049210659</v>
          </cell>
          <cell r="R241">
            <v>23144.944938187113</v>
          </cell>
          <cell r="S241">
            <v>23405.510176877986</v>
          </cell>
          <cell r="T241">
            <v>23929.319058107358</v>
          </cell>
          <cell r="U241">
            <v>24408.367379502277</v>
          </cell>
          <cell r="V241">
            <v>25082.197523206032</v>
          </cell>
          <cell r="W241">
            <v>26285.74587148325</v>
          </cell>
          <cell r="X241">
            <v>27654.451359917228</v>
          </cell>
          <cell r="Y241">
            <v>28649.733091336435</v>
          </cell>
          <cell r="Z241">
            <v>30793.004144602553</v>
          </cell>
          <cell r="AA241">
            <v>33283.211347743643</v>
          </cell>
          <cell r="AB241">
            <v>34566.484046841208</v>
          </cell>
          <cell r="AC241">
            <v>35406.47476373057</v>
          </cell>
          <cell r="AD241">
            <v>37197.32778087561</v>
          </cell>
          <cell r="AE241">
            <v>39251.843081514526</v>
          </cell>
        </row>
        <row r="242">
          <cell r="G242">
            <v>38043.397294164519</v>
          </cell>
          <cell r="H242">
            <v>33061.397754723999</v>
          </cell>
          <cell r="I242">
            <v>33781.73496506628</v>
          </cell>
          <cell r="J242">
            <v>34289.246496741514</v>
          </cell>
          <cell r="K242">
            <v>34741.012838946874</v>
          </cell>
          <cell r="L242">
            <v>36660.897200175481</v>
          </cell>
          <cell r="M242">
            <v>36717.165325062553</v>
          </cell>
          <cell r="N242">
            <v>39415.685719579902</v>
          </cell>
          <cell r="O242">
            <v>40074.60743095701</v>
          </cell>
          <cell r="P242">
            <v>42813.372489743997</v>
          </cell>
          <cell r="Q242">
            <v>44709.184607467789</v>
          </cell>
          <cell r="R242">
            <v>44686.35558665546</v>
          </cell>
          <cell r="S242">
            <v>45189.43351320739</v>
          </cell>
          <cell r="T242">
            <v>46200.760608112003</v>
          </cell>
          <cell r="U242">
            <v>47125.667696472541</v>
          </cell>
          <cell r="V242">
            <v>48426.643502937863</v>
          </cell>
          <cell r="W242">
            <v>50750.35563966936</v>
          </cell>
          <cell r="X242">
            <v>53392.939595384662</v>
          </cell>
          <cell r="Y242">
            <v>55314.547682069737</v>
          </cell>
          <cell r="Z242">
            <v>56206.338067598081</v>
          </cell>
          <cell r="AA242">
            <v>56867.860447024854</v>
          </cell>
          <cell r="AB242">
            <v>56094.0735060183</v>
          </cell>
          <cell r="AC242">
            <v>54855.157088644417</v>
          </cell>
          <cell r="AD242">
            <v>55287.638953758076</v>
          </cell>
          <cell r="AE242">
            <v>56002.286494712542</v>
          </cell>
        </row>
        <row r="243">
          <cell r="G243">
            <v>4628.0563230687512</v>
          </cell>
          <cell r="H243">
            <v>4701.4044369701423</v>
          </cell>
          <cell r="I243">
            <v>4765.7538702829233</v>
          </cell>
          <cell r="J243">
            <v>4856.2183556535629</v>
          </cell>
          <cell r="K243">
            <v>4946.6084717631393</v>
          </cell>
          <cell r="L243">
            <v>5278.2857012813538</v>
          </cell>
          <cell r="M243">
            <v>5357.0931278130192</v>
          </cell>
          <cell r="N243">
            <v>5747.3914872416699</v>
          </cell>
          <cell r="O243">
            <v>5732.4673645938337</v>
          </cell>
          <cell r="P243">
            <v>6142.1880301032079</v>
          </cell>
          <cell r="Q243">
            <v>6440.7376439136387</v>
          </cell>
          <cell r="R243">
            <v>6446.5319933809833</v>
          </cell>
          <cell r="S243">
            <v>6508.8716791976822</v>
          </cell>
          <cell r="T243">
            <v>6604.0308077340533</v>
          </cell>
          <cell r="U243">
            <v>6726.1553145885591</v>
          </cell>
          <cell r="V243">
            <v>6888.1269957209943</v>
          </cell>
          <cell r="W243">
            <v>7236.5674433278036</v>
          </cell>
          <cell r="X243">
            <v>7730.2118587169389</v>
          </cell>
          <cell r="Y243">
            <v>8038.0237502793789</v>
          </cell>
          <cell r="Z243">
            <v>8252.3093205514033</v>
          </cell>
          <cell r="AA243">
            <v>8409.382277396091</v>
          </cell>
          <cell r="AB243">
            <v>8362.9356517854412</v>
          </cell>
          <cell r="AC243">
            <v>8292.2030909308778</v>
          </cell>
          <cell r="AD243">
            <v>8458.0331189855751</v>
          </cell>
          <cell r="AE243">
            <v>8650.3301626552002</v>
          </cell>
        </row>
        <row r="244">
          <cell r="G244">
            <v>15523.354711945038</v>
          </cell>
          <cell r="H244">
            <v>15769.377817555918</v>
          </cell>
          <cell r="I244">
            <v>15985.217688356061</v>
          </cell>
          <cell r="J244">
            <v>16288.652261578984</v>
          </cell>
          <cell r="K244">
            <v>16591.837386580326</v>
          </cell>
          <cell r="L244">
            <v>17704.344003671897</v>
          </cell>
          <cell r="M244">
            <v>17968.678651002941</v>
          </cell>
          <cell r="N244">
            <v>19277.81135250035</v>
          </cell>
          <cell r="O244">
            <v>19227.753091871116</v>
          </cell>
          <cell r="P244">
            <v>20602.031791076501</v>
          </cell>
          <cell r="Q244">
            <v>21603.422273554581</v>
          </cell>
          <cell r="R244">
            <v>21622.857590635365</v>
          </cell>
          <cell r="S244">
            <v>21831.956397566515</v>
          </cell>
          <cell r="T244">
            <v>22151.137670055909</v>
          </cell>
          <cell r="U244">
            <v>22560.765796117001</v>
          </cell>
          <cell r="V244">
            <v>23104.048695889851</v>
          </cell>
          <cell r="W244">
            <v>24222.842301479006</v>
          </cell>
          <cell r="X244">
            <v>25741.472768522566</v>
          </cell>
          <cell r="Y244">
            <v>26592.666617849558</v>
          </cell>
          <cell r="Z244">
            <v>27217.575877861957</v>
          </cell>
          <cell r="AA244">
            <v>27703.370878767415</v>
          </cell>
          <cell r="AB244">
            <v>27506.937031022229</v>
          </cell>
          <cell r="AC244">
            <v>27126.465394959287</v>
          </cell>
          <cell r="AD244">
            <v>27532.444745598816</v>
          </cell>
          <cell r="AE244">
            <v>28038.123006593294</v>
          </cell>
        </row>
        <row r="245">
          <cell r="G245">
            <v>42989.038650593269</v>
          </cell>
          <cell r="H245">
            <v>46177.524094383676</v>
          </cell>
          <cell r="I245">
            <v>48049.097799709365</v>
          </cell>
          <cell r="J245">
            <v>50221.351556134323</v>
          </cell>
          <cell r="K245">
            <v>53009.132948004757</v>
          </cell>
          <cell r="L245">
            <v>57640.128982233764</v>
          </cell>
          <cell r="M245">
            <v>59025.056673692248</v>
          </cell>
          <cell r="N245">
            <v>64140.796106645364</v>
          </cell>
          <cell r="O245">
            <v>65738.378600449563</v>
          </cell>
          <cell r="P245">
            <v>72214.596280012745</v>
          </cell>
          <cell r="Q245">
            <v>79060.97595669709</v>
          </cell>
          <cell r="R245">
            <v>81293.356899375809</v>
          </cell>
          <cell r="S245">
            <v>84841.963710676544</v>
          </cell>
          <cell r="T245">
            <v>88452.881885079623</v>
          </cell>
          <cell r="U245">
            <v>92105.077335115246</v>
          </cell>
          <cell r="V245">
            <v>97065.846332970599</v>
          </cell>
          <cell r="W245">
            <v>102052.43951083547</v>
          </cell>
          <cell r="X245">
            <v>109775.5245398815</v>
          </cell>
          <cell r="Y245">
            <v>114575.40812346498</v>
          </cell>
          <cell r="Z245">
            <v>118916.91832645051</v>
          </cell>
          <cell r="AA245">
            <v>122334.77011979968</v>
          </cell>
          <cell r="AB245">
            <v>122593.4152380662</v>
          </cell>
          <cell r="AC245">
            <v>121709.85508655623</v>
          </cell>
          <cell r="AD245">
            <v>124569.45637297981</v>
          </cell>
          <cell r="AE245">
            <v>128234.69570832193</v>
          </cell>
        </row>
        <row r="246">
          <cell r="G246">
            <v>33299.04878638684</v>
          </cell>
          <cell r="H246">
            <v>30330.448544332252</v>
          </cell>
          <cell r="I246">
            <v>30989.602297357953</v>
          </cell>
          <cell r="J246">
            <v>31454.007198291205</v>
          </cell>
          <cell r="K246">
            <v>31867.401752508187</v>
          </cell>
          <cell r="L246">
            <v>33627.757716878958</v>
          </cell>
          <cell r="M246">
            <v>33678.283068356512</v>
          </cell>
          <cell r="N246">
            <v>36151.728628515026</v>
          </cell>
          <cell r="O246">
            <v>36753.502636978956</v>
          </cell>
          <cell r="P246">
            <v>39263.465870843895</v>
          </cell>
          <cell r="Q246">
            <v>41001.093157340103</v>
          </cell>
          <cell r="R246">
            <v>40978.97325122216</v>
          </cell>
          <cell r="S246">
            <v>41438.624077021566</v>
          </cell>
          <cell r="T246">
            <v>42363.69971619008</v>
          </cell>
          <cell r="U246">
            <v>43210.133146248801</v>
          </cell>
          <cell r="V246">
            <v>44401.32382270151</v>
          </cell>
          <cell r="W246">
            <v>46342.560297745775</v>
          </cell>
          <cell r="X246">
            <v>48642.611386782039</v>
          </cell>
          <cell r="Y246">
            <v>50263.175879098308</v>
          </cell>
          <cell r="Z246">
            <v>50977.817961385736</v>
          </cell>
          <cell r="AA246">
            <v>51339.024248911577</v>
          </cell>
          <cell r="AB246">
            <v>50538.39378639061</v>
          </cell>
          <cell r="AC246">
            <v>49436.659552163255</v>
          </cell>
          <cell r="AD246">
            <v>49738.779482392318</v>
          </cell>
          <cell r="AE246">
            <v>50267.876249741275</v>
          </cell>
        </row>
        <row r="247">
          <cell r="G247">
            <v>10691.658369472056</v>
          </cell>
          <cell r="H247">
            <v>15762.991449869804</v>
          </cell>
          <cell r="I247">
            <v>16105.559247965732</v>
          </cell>
          <cell r="J247">
            <v>16346.914415265306</v>
          </cell>
          <cell r="K247">
            <v>16561.759072574627</v>
          </cell>
          <cell r="L247">
            <v>17476.631003154402</v>
          </cell>
          <cell r="M247">
            <v>17502.889457004119</v>
          </cell>
          <cell r="N247">
            <v>18788.360100786689</v>
          </cell>
          <cell r="O247">
            <v>19101.107158790332</v>
          </cell>
          <cell r="P247">
            <v>20405.55634743558</v>
          </cell>
          <cell r="Q247">
            <v>21308.615991280461</v>
          </cell>
          <cell r="R247">
            <v>21297.120088392661</v>
          </cell>
          <cell r="S247">
            <v>21536.004522508803</v>
          </cell>
          <cell r="T247">
            <v>22016.774181070974</v>
          </cell>
          <cell r="U247">
            <v>22456.672816311991</v>
          </cell>
          <cell r="V247">
            <v>23075.744717627389</v>
          </cell>
          <cell r="W247">
            <v>24084.621784300914</v>
          </cell>
          <cell r="X247">
            <v>25279.97785026049</v>
          </cell>
          <cell r="Y247">
            <v>26122.198966740394</v>
          </cell>
          <cell r="Z247">
            <v>26801.516390175642</v>
          </cell>
          <cell r="AA247">
            <v>27292.56324226594</v>
          </cell>
          <cell r="AB247">
            <v>27183.612671531475</v>
          </cell>
          <cell r="AC247">
            <v>26965.245592442159</v>
          </cell>
          <cell r="AD247">
            <v>27407.916763462723</v>
          </cell>
          <cell r="AE247">
            <v>27972.689694185861</v>
          </cell>
        </row>
        <row r="248">
          <cell r="G248">
            <v>112714.25036667172</v>
          </cell>
          <cell r="H248">
            <v>114141.16481280299</v>
          </cell>
          <cell r="I248">
            <v>115190.36661142894</v>
          </cell>
          <cell r="J248">
            <v>116520.75449208662</v>
          </cell>
          <cell r="K248">
            <v>117639.50338136432</v>
          </cell>
          <cell r="L248">
            <v>125133.03018357205</v>
          </cell>
          <cell r="M248">
            <v>125028.1219180683</v>
          </cell>
          <cell r="N248">
            <v>132782.30628235237</v>
          </cell>
          <cell r="O248">
            <v>132776.26779086614</v>
          </cell>
          <cell r="P248">
            <v>140250.1217333712</v>
          </cell>
          <cell r="Q248">
            <v>146590.53423395441</v>
          </cell>
          <cell r="R248">
            <v>146845.81875868811</v>
          </cell>
          <cell r="S248">
            <v>147443.91759888123</v>
          </cell>
          <cell r="T248">
            <v>149119.28301449967</v>
          </cell>
          <cell r="U248">
            <v>151298.35382192422</v>
          </cell>
          <cell r="V248">
            <v>153935.93009441264</v>
          </cell>
          <cell r="W248">
            <v>164146.30188532348</v>
          </cell>
          <cell r="X248">
            <v>174886.41228830878</v>
          </cell>
          <cell r="Y248">
            <v>184122.16950487869</v>
          </cell>
          <cell r="Z248">
            <v>222578.6043170327</v>
          </cell>
          <cell r="AA248">
            <v>270108.4559566789</v>
          </cell>
          <cell r="AB248">
            <v>303077.22933959612</v>
          </cell>
          <cell r="AC248">
            <v>330226.38848079956</v>
          </cell>
          <cell r="AD248">
            <v>364736.77247703593</v>
          </cell>
          <cell r="AE248">
            <v>402666.75528648176</v>
          </cell>
        </row>
        <row r="249">
          <cell r="G249">
            <v>14752.415649731582</v>
          </cell>
          <cell r="H249">
            <v>14949.486256197217</v>
          </cell>
          <cell r="I249">
            <v>15653.173296422536</v>
          </cell>
          <cell r="J249">
            <v>16126.238339946436</v>
          </cell>
          <cell r="K249">
            <v>16429.953298851924</v>
          </cell>
          <cell r="L249">
            <v>17486.291276105734</v>
          </cell>
          <cell r="M249">
            <v>17416.657106211544</v>
          </cell>
          <cell r="N249">
            <v>18528.371104601782</v>
          </cell>
          <cell r="O249">
            <v>18478.233325586072</v>
          </cell>
          <cell r="P249">
            <v>19711.765341966311</v>
          </cell>
          <cell r="Q249">
            <v>20744.547614122177</v>
          </cell>
          <cell r="R249">
            <v>21201.557636324564</v>
          </cell>
          <cell r="S249">
            <v>21869.370611957627</v>
          </cell>
          <cell r="T249">
            <v>22409.704663340748</v>
          </cell>
          <cell r="U249">
            <v>23146.437011872487</v>
          </cell>
          <cell r="V249">
            <v>23754.6214532173</v>
          </cell>
          <cell r="W249">
            <v>24638.42210750085</v>
          </cell>
          <cell r="X249">
            <v>25998.629422016213</v>
          </cell>
          <cell r="Y249">
            <v>27022.019736324251</v>
          </cell>
          <cell r="Z249">
            <v>27815.476693020497</v>
          </cell>
          <cell r="AA249">
            <v>28513.040758287032</v>
          </cell>
          <cell r="AB249">
            <v>28522.892788035613</v>
          </cell>
          <cell r="AC249">
            <v>28160.258081621505</v>
          </cell>
          <cell r="AD249">
            <v>28635.095426973003</v>
          </cell>
          <cell r="AE249">
            <v>29323.666041989127</v>
          </cell>
        </row>
        <row r="250">
          <cell r="G250">
            <v>34875.560548544068</v>
          </cell>
          <cell r="H250">
            <v>35490.215717743871</v>
          </cell>
          <cell r="I250">
            <v>36041.055471905849</v>
          </cell>
          <cell r="J250">
            <v>36987.832605266187</v>
          </cell>
          <cell r="K250">
            <v>37609.896544160554</v>
          </cell>
          <cell r="L250">
            <v>39880.544867932578</v>
          </cell>
          <cell r="M250">
            <v>40403.524766928334</v>
          </cell>
          <cell r="N250">
            <v>43318.517315310317</v>
          </cell>
          <cell r="O250">
            <v>43477.324084102991</v>
          </cell>
          <cell r="P250">
            <v>46102.792950617768</v>
          </cell>
          <cell r="Q250">
            <v>48157.744443856565</v>
          </cell>
          <cell r="R250">
            <v>48381.995246132137</v>
          </cell>
          <cell r="S250">
            <v>49049.199908716473</v>
          </cell>
          <cell r="T250">
            <v>50428.752236485008</v>
          </cell>
          <cell r="U250">
            <v>51749.10969971741</v>
          </cell>
          <cell r="V250">
            <v>53283.685692529973</v>
          </cell>
          <cell r="W250">
            <v>55740.603359634508</v>
          </cell>
          <cell r="X250">
            <v>58846.279199835903</v>
          </cell>
          <cell r="Y250">
            <v>60989.003348343955</v>
          </cell>
          <cell r="Z250">
            <v>66855.58838065021</v>
          </cell>
          <cell r="AA250">
            <v>70982.670891079164</v>
          </cell>
          <cell r="AB250">
            <v>72875.175932513535</v>
          </cell>
          <cell r="AC250">
            <v>74055.453637505809</v>
          </cell>
          <cell r="AD250">
            <v>77727.363212703494</v>
          </cell>
          <cell r="AE250">
            <v>81944.81933887284</v>
          </cell>
        </row>
        <row r="251">
          <cell r="G251">
            <v>95092.731567875642</v>
          </cell>
          <cell r="H251">
            <v>96766.415545228316</v>
          </cell>
          <cell r="I251">
            <v>98266.332436564364</v>
          </cell>
          <cell r="J251">
            <v>100844.37260873445</v>
          </cell>
          <cell r="K251">
            <v>102538.23040020447</v>
          </cell>
          <cell r="L251">
            <v>108726.98855621848</v>
          </cell>
          <cell r="M251">
            <v>110149.4485241012</v>
          </cell>
          <cell r="N251">
            <v>118093.70785323142</v>
          </cell>
          <cell r="O251">
            <v>118524.17778565657</v>
          </cell>
          <cell r="P251">
            <v>125679.56328821628</v>
          </cell>
          <cell r="Q251">
            <v>131279.82577985615</v>
          </cell>
          <cell r="R251">
            <v>131888.41597728548</v>
          </cell>
          <cell r="S251">
            <v>133704.03605860649</v>
          </cell>
          <cell r="T251">
            <v>137459.9244662337</v>
          </cell>
          <cell r="U251">
            <v>141055.35189563283</v>
          </cell>
          <cell r="V251">
            <v>145235.13322236884</v>
          </cell>
          <cell r="W251">
            <v>153068.71128711573</v>
          </cell>
          <cell r="X251">
            <v>162786.7828709142</v>
          </cell>
          <cell r="Y251">
            <v>169902.61285857085</v>
          </cell>
          <cell r="Z251">
            <v>177924.99831106921</v>
          </cell>
          <cell r="AA251">
            <v>183099.6511936677</v>
          </cell>
          <cell r="AB251">
            <v>183290.58023238834</v>
          </cell>
          <cell r="AC251">
            <v>181910.0452579376</v>
          </cell>
          <cell r="AD251">
            <v>186440.59700101402</v>
          </cell>
          <cell r="AE251">
            <v>192071.4052546951</v>
          </cell>
        </row>
        <row r="252">
          <cell r="G252">
            <v>20269.095261833754</v>
          </cell>
          <cell r="H252">
            <v>20530.532236312658</v>
          </cell>
          <cell r="I252">
            <v>20719.297673345118</v>
          </cell>
          <cell r="J252">
            <v>20905.426610008475</v>
          </cell>
          <cell r="K252">
            <v>21238.400627835614</v>
          </cell>
          <cell r="L252">
            <v>22707.133589089823</v>
          </cell>
          <cell r="M252">
            <v>22914.0953188536</v>
          </cell>
          <cell r="N252">
            <v>24446.984147439664</v>
          </cell>
          <cell r="O252">
            <v>24508.760457259279</v>
          </cell>
          <cell r="P252">
            <v>26182.572155659302</v>
          </cell>
          <cell r="Q252">
            <v>27665.032170520342</v>
          </cell>
          <cell r="R252">
            <v>27944.373484518161</v>
          </cell>
          <cell r="S252">
            <v>28737.453154020208</v>
          </cell>
          <cell r="T252">
            <v>29887.275798005736</v>
          </cell>
          <cell r="U252">
            <v>31124.852838925988</v>
          </cell>
          <cell r="V252">
            <v>32286.30287308092</v>
          </cell>
          <cell r="W252">
            <v>34084.157085432591</v>
          </cell>
          <cell r="X252">
            <v>36026.430975225201</v>
          </cell>
          <cell r="Y252">
            <v>37766.179529638641</v>
          </cell>
          <cell r="Z252">
            <v>38453.867170200647</v>
          </cell>
          <cell r="AA252">
            <v>38998.349356101215</v>
          </cell>
          <cell r="AB252">
            <v>38753.276478936947</v>
          </cell>
          <cell r="AC252">
            <v>38078.707519783769</v>
          </cell>
          <cell r="AD252">
            <v>38623.220290712226</v>
          </cell>
          <cell r="AE252">
            <v>39376.63752481604</v>
          </cell>
        </row>
        <row r="253">
          <cell r="G253">
            <v>111590.53378044043</v>
          </cell>
          <cell r="H253">
            <v>113029.8625297102</v>
          </cell>
          <cell r="I253">
            <v>114069.10160800362</v>
          </cell>
          <cell r="J253">
            <v>115093.82555971152</v>
          </cell>
          <cell r="K253">
            <v>116926.99807700257</v>
          </cell>
          <cell r="L253">
            <v>125013.03709404237</v>
          </cell>
          <cell r="M253">
            <v>126152.45499099954</v>
          </cell>
          <cell r="N253">
            <v>134591.7010648037</v>
          </cell>
          <cell r="O253">
            <v>134931.80758158234</v>
          </cell>
          <cell r="P253">
            <v>144146.89776985085</v>
          </cell>
          <cell r="Q253">
            <v>152308.51042347541</v>
          </cell>
          <cell r="R253">
            <v>153846.41065697235</v>
          </cell>
          <cell r="S253">
            <v>158212.67281652676</v>
          </cell>
          <cell r="T253">
            <v>164542.96634653877</v>
          </cell>
          <cell r="U253">
            <v>171356.38750849618</v>
          </cell>
          <cell r="V253">
            <v>177750.69507853885</v>
          </cell>
          <cell r="W253">
            <v>186860.74176010364</v>
          </cell>
          <cell r="X253">
            <v>198849.0352817431</v>
          </cell>
          <cell r="Y253">
            <v>207459.88509259641</v>
          </cell>
          <cell r="Z253">
            <v>210238.94541030767</v>
          </cell>
          <cell r="AA253">
            <v>212559.78193989891</v>
          </cell>
          <cell r="AB253">
            <v>209370.44418938732</v>
          </cell>
          <cell r="AC253">
            <v>204710.6763606098</v>
          </cell>
          <cell r="AD253">
            <v>206356.08182021734</v>
          </cell>
          <cell r="AE253">
            <v>208941.43593905578</v>
          </cell>
        </row>
        <row r="256">
          <cell r="G256">
            <v>41700.08658172701</v>
          </cell>
          <cell r="H256">
            <v>42703.510343600574</v>
          </cell>
          <cell r="I256">
            <v>44257.002746285623</v>
          </cell>
          <cell r="J256">
            <v>46606.120598262525</v>
          </cell>
          <cell r="K256">
            <v>48934.561178675896</v>
          </cell>
          <cell r="L256">
            <v>49695.768483822583</v>
          </cell>
          <cell r="M256">
            <v>49546.517070036483</v>
          </cell>
          <cell r="N256">
            <v>52273.811962574538</v>
          </cell>
          <cell r="O256">
            <v>52585.807956194207</v>
          </cell>
          <cell r="P256">
            <v>56289.490101634299</v>
          </cell>
          <cell r="Q256">
            <v>59687.816054859606</v>
          </cell>
          <cell r="R256">
            <v>62488.410252297035</v>
          </cell>
          <cell r="S256">
            <v>66288.542174939212</v>
          </cell>
          <cell r="T256">
            <v>70860.892025420588</v>
          </cell>
          <cell r="U256">
            <v>78425.921481403377</v>
          </cell>
          <cell r="V256">
            <v>82710.375879353072</v>
          </cell>
          <cell r="W256">
            <v>87029.28237334211</v>
          </cell>
          <cell r="X256">
            <v>91919.753724823735</v>
          </cell>
          <cell r="Y256">
            <v>97412.530517584542</v>
          </cell>
          <cell r="Z256">
            <v>101803.61807623306</v>
          </cell>
          <cell r="AA256">
            <v>106254.40114189948</v>
          </cell>
          <cell r="AB256">
            <v>108563.77406324894</v>
          </cell>
          <cell r="AC256">
            <v>110216.79388037193</v>
          </cell>
          <cell r="AD256">
            <v>113386.61374144799</v>
          </cell>
          <cell r="AE256">
            <v>117712.63216067546</v>
          </cell>
        </row>
        <row r="257">
          <cell r="G257">
            <v>14672.252686163205</v>
          </cell>
          <cell r="H257">
            <v>19239.68134321988</v>
          </cell>
          <cell r="I257">
            <v>19939.593330695461</v>
          </cell>
          <cell r="J257">
            <v>20997.967186756636</v>
          </cell>
          <cell r="K257">
            <v>22047.02508465117</v>
          </cell>
          <cell r="L257">
            <v>22389.980168889302</v>
          </cell>
          <cell r="M257">
            <v>22322.736290852939</v>
          </cell>
          <cell r="N257">
            <v>23551.49440088233</v>
          </cell>
          <cell r="O257">
            <v>23692.06138119155</v>
          </cell>
          <cell r="P257">
            <v>25360.721959712802</v>
          </cell>
          <cell r="Q257">
            <v>26891.807060548002</v>
          </cell>
          <cell r="R257">
            <v>28153.589511143226</v>
          </cell>
          <cell r="S257">
            <v>29865.70466667843</v>
          </cell>
          <cell r="T257">
            <v>31925.735643175518</v>
          </cell>
          <cell r="U257">
            <v>35334.09141800685</v>
          </cell>
          <cell r="V257">
            <v>37264.413695563177</v>
          </cell>
          <cell r="W257">
            <v>39210.258054186605</v>
          </cell>
          <cell r="X257">
            <v>41413.615803083063</v>
          </cell>
          <cell r="Y257">
            <v>43888.336834956921</v>
          </cell>
          <cell r="Z257">
            <v>49736.807319184532</v>
          </cell>
          <cell r="AA257">
            <v>56142.539444000598</v>
          </cell>
          <cell r="AB257">
            <v>60827.935304007333</v>
          </cell>
          <cell r="AC257">
            <v>65095.991258090726</v>
          </cell>
          <cell r="AD257">
            <v>69834.495854563807</v>
          </cell>
          <cell r="AE257">
            <v>75291.428799324145</v>
          </cell>
        </row>
        <row r="258">
          <cell r="G258">
            <v>20850.043290863505</v>
          </cell>
          <cell r="H258">
            <v>22575.282569679115</v>
          </cell>
          <cell r="I258">
            <v>23396.538941304792</v>
          </cell>
          <cell r="J258">
            <v>24638.404044926261</v>
          </cell>
          <cell r="K258">
            <v>25869.338074156876</v>
          </cell>
          <cell r="L258">
            <v>26271.751596359642</v>
          </cell>
          <cell r="M258">
            <v>26192.849585423435</v>
          </cell>
          <cell r="N258">
            <v>27634.638617624529</v>
          </cell>
          <cell r="O258">
            <v>27799.575824423198</v>
          </cell>
          <cell r="P258">
            <v>29757.533620136724</v>
          </cell>
          <cell r="Q258">
            <v>31554.064351232275</v>
          </cell>
          <cell r="R258">
            <v>33034.603184256543</v>
          </cell>
          <cell r="S258">
            <v>35043.549316914716</v>
          </cell>
          <cell r="T258">
            <v>37460.729755981731</v>
          </cell>
          <cell r="U258">
            <v>41459.995302130206</v>
          </cell>
          <cell r="V258">
            <v>43724.979325981389</v>
          </cell>
          <cell r="W258">
            <v>46008.176508351571</v>
          </cell>
          <cell r="X258">
            <v>48593.532413997003</v>
          </cell>
          <cell r="Y258">
            <v>51497.298104241556</v>
          </cell>
          <cell r="Z258">
            <v>52757.518908787002</v>
          </cell>
          <cell r="AA258">
            <v>53903.877954527678</v>
          </cell>
          <cell r="AB258">
            <v>54125.33752447724</v>
          </cell>
          <cell r="AC258">
            <v>54033.163247066717</v>
          </cell>
          <cell r="AD258">
            <v>54801.231162971046</v>
          </cell>
          <cell r="AE258">
            <v>56126.369631058922</v>
          </cell>
        </row>
        <row r="259">
          <cell r="G259">
            <v>3084.9199261436966</v>
          </cell>
          <cell r="H259">
            <v>5192.3238248352354</v>
          </cell>
          <cell r="I259">
            <v>5441.9087153135188</v>
          </cell>
          <cell r="J259">
            <v>5708.9913981860245</v>
          </cell>
          <cell r="K259">
            <v>5939.2683798155113</v>
          </cell>
          <cell r="L259">
            <v>5907.767503560216</v>
          </cell>
          <cell r="M259">
            <v>5893.8371432833674</v>
          </cell>
          <cell r="N259">
            <v>6195.5678689534261</v>
          </cell>
          <cell r="O259">
            <v>6123.6377703355965</v>
          </cell>
          <cell r="P259">
            <v>6556.9250028957049</v>
          </cell>
          <cell r="Q259">
            <v>6960.5527448298462</v>
          </cell>
          <cell r="R259">
            <v>7163.8361106454095</v>
          </cell>
          <cell r="S259">
            <v>7643.6281214589717</v>
          </cell>
          <cell r="T259">
            <v>8227.1598087030998</v>
          </cell>
          <cell r="U259">
            <v>8657.9336583136501</v>
          </cell>
          <cell r="V259">
            <v>9040.8792984394131</v>
          </cell>
          <cell r="W259">
            <v>9412.5989064156402</v>
          </cell>
          <cell r="X259">
            <v>9908.961078993003</v>
          </cell>
          <cell r="Y259">
            <v>10279.707681731243</v>
          </cell>
          <cell r="Z259">
            <v>10839.759702525946</v>
          </cell>
          <cell r="AA259">
            <v>11663.103603960732</v>
          </cell>
          <cell r="AB259">
            <v>12117.020713681366</v>
          </cell>
          <cell r="AC259">
            <v>12408.832497687614</v>
          </cell>
          <cell r="AD259">
            <v>12917.727582640358</v>
          </cell>
          <cell r="AE259">
            <v>13578.615297081387</v>
          </cell>
        </row>
        <row r="260">
          <cell r="G260">
            <v>9871.7437636598297</v>
          </cell>
          <cell r="H260">
            <v>9590.1355545478818</v>
          </cell>
          <cell r="I260">
            <v>10051.114686975101</v>
          </cell>
          <cell r="J260">
            <v>10544.41195028686</v>
          </cell>
          <cell r="K260">
            <v>10969.729696910446</v>
          </cell>
          <cell r="L260">
            <v>10911.548103549427</v>
          </cell>
          <cell r="M260">
            <v>10885.818960320785</v>
          </cell>
          <cell r="N260">
            <v>11443.110581137555</v>
          </cell>
          <cell r="O260">
            <v>11310.256887980453</v>
          </cell>
          <cell r="P260">
            <v>12110.53118413112</v>
          </cell>
          <cell r="Q260">
            <v>12856.024895484399</v>
          </cell>
          <cell r="R260">
            <v>13231.48588365146</v>
          </cell>
          <cell r="S260">
            <v>14117.653730056369</v>
          </cell>
          <cell r="T260">
            <v>15195.427029610313</v>
          </cell>
          <cell r="U260">
            <v>15991.059149348286</v>
          </cell>
          <cell r="V260">
            <v>16698.353363407765</v>
          </cell>
          <cell r="W260">
            <v>17384.91328321179</v>
          </cell>
          <cell r="X260">
            <v>18301.685942189361</v>
          </cell>
          <cell r="Y260">
            <v>18986.448737537681</v>
          </cell>
          <cell r="Z260">
            <v>19186.457357777792</v>
          </cell>
          <cell r="AA260">
            <v>19421.389500806956</v>
          </cell>
          <cell r="AB260">
            <v>19309.143644282176</v>
          </cell>
          <cell r="AC260">
            <v>19047.886232108558</v>
          </cell>
          <cell r="AD260">
            <v>19147.291907871771</v>
          </cell>
          <cell r="AE260">
            <v>19450.207372063909</v>
          </cell>
        </row>
        <row r="261">
          <cell r="G261">
            <v>2467.9359409149574</v>
          </cell>
          <cell r="H261">
            <v>2397.5338886369705</v>
          </cell>
          <cell r="I261">
            <v>2512.7786717437752</v>
          </cell>
          <cell r="J261">
            <v>2636.1029875717149</v>
          </cell>
          <cell r="K261">
            <v>2742.4324242276116</v>
          </cell>
          <cell r="L261">
            <v>2727.8870258873567</v>
          </cell>
          <cell r="M261">
            <v>2721.4547400801962</v>
          </cell>
          <cell r="N261">
            <v>2860.7776452843887</v>
          </cell>
          <cell r="O261">
            <v>2827.5642219951133</v>
          </cell>
          <cell r="P261">
            <v>3027.6327960327799</v>
          </cell>
          <cell r="Q261">
            <v>3214.0062238710998</v>
          </cell>
          <cell r="R261">
            <v>3307.8714709128649</v>
          </cell>
          <cell r="S261">
            <v>3529.4134325140922</v>
          </cell>
          <cell r="T261">
            <v>3798.8567574025783</v>
          </cell>
          <cell r="U261">
            <v>3997.7647873370715</v>
          </cell>
          <cell r="V261">
            <v>4174.5883408519412</v>
          </cell>
          <cell r="W261">
            <v>4346.2283208029476</v>
          </cell>
          <cell r="X261">
            <v>4575.4214855473401</v>
          </cell>
          <cell r="Y261">
            <v>4746.6121843844203</v>
          </cell>
          <cell r="Z261">
            <v>5696.4113678519134</v>
          </cell>
          <cell r="AA261">
            <v>7141.6915145381108</v>
          </cell>
          <cell r="AB261">
            <v>8138.7616941484803</v>
          </cell>
          <cell r="AC261">
            <v>8936.3970229625047</v>
          </cell>
          <cell r="AD261">
            <v>9867.6418435425585</v>
          </cell>
          <cell r="AE261">
            <v>10933.03441460919</v>
          </cell>
        </row>
        <row r="262">
          <cell r="G262">
            <v>5141.5332102394941</v>
          </cell>
          <cell r="H262">
            <v>4628.9611906538521</v>
          </cell>
          <cell r="I262">
            <v>4851.4663368605652</v>
          </cell>
          <cell r="J262">
            <v>5089.5707801541757</v>
          </cell>
          <cell r="K262">
            <v>5294.8629088856933</v>
          </cell>
          <cell r="L262">
            <v>5266.7798503984886</v>
          </cell>
          <cell r="M262">
            <v>5254.3609221365559</v>
          </cell>
          <cell r="N262">
            <v>5523.3541256178196</v>
          </cell>
          <cell r="O262">
            <v>5459.2283803495338</v>
          </cell>
          <cell r="P262">
            <v>5845.504323759169</v>
          </cell>
          <cell r="Q262">
            <v>6205.3388055662963</v>
          </cell>
          <cell r="R262">
            <v>6386.5661024010788</v>
          </cell>
          <cell r="S262">
            <v>6814.3010959349658</v>
          </cell>
          <cell r="T262">
            <v>7334.5201009303946</v>
          </cell>
          <cell r="U262">
            <v>7718.5553612618451</v>
          </cell>
          <cell r="V262">
            <v>8059.9517313791303</v>
          </cell>
          <cell r="W262">
            <v>8391.3400841041475</v>
          </cell>
          <cell r="X262">
            <v>8833.8473912138234</v>
          </cell>
          <cell r="Y262">
            <v>9164.3683089257556</v>
          </cell>
          <cell r="Z262">
            <v>9427.4013538185536</v>
          </cell>
          <cell r="AA262">
            <v>9797.3565548521656</v>
          </cell>
          <cell r="AB262">
            <v>9932.861944815053</v>
          </cell>
          <cell r="AC262">
            <v>9966.4333527343661</v>
          </cell>
          <cell r="AD262">
            <v>10182.127978430055</v>
          </cell>
          <cell r="AE262">
            <v>10511.460426461397</v>
          </cell>
        </row>
        <row r="263">
          <cell r="G263">
            <v>38695.862157504649</v>
          </cell>
          <cell r="H263">
            <v>39188.4671848789</v>
          </cell>
          <cell r="I263">
            <v>39741.214823901777</v>
          </cell>
          <cell r="J263">
            <v>40107.89074653374</v>
          </cell>
          <cell r="K263">
            <v>41756.080499778414</v>
          </cell>
          <cell r="L263">
            <v>42655.293736363157</v>
          </cell>
          <cell r="M263">
            <v>41788.422279535007</v>
          </cell>
          <cell r="N263">
            <v>42758.588014985733</v>
          </cell>
          <cell r="O263">
            <v>42675.647914828987</v>
          </cell>
          <cell r="P263">
            <v>44698.188170030255</v>
          </cell>
          <cell r="Q263">
            <v>46622.423951739962</v>
          </cell>
          <cell r="R263">
            <v>47476.187309589091</v>
          </cell>
          <cell r="S263">
            <v>47987.913010357173</v>
          </cell>
          <cell r="T263">
            <v>48926.548887985504</v>
          </cell>
          <cell r="U263">
            <v>49631.181693389517</v>
          </cell>
          <cell r="V263">
            <v>51502.693953272537</v>
          </cell>
          <cell r="W263">
            <v>53982.101264314697</v>
          </cell>
          <cell r="X263">
            <v>56987.497434832425</v>
          </cell>
          <cell r="Y263">
            <v>57959.733733594301</v>
          </cell>
          <cell r="Z263">
            <v>59424.072963241932</v>
          </cell>
          <cell r="AA263">
            <v>62248.204735016327</v>
          </cell>
          <cell r="AB263">
            <v>63461.255420553018</v>
          </cell>
          <cell r="AC263">
            <v>63503.996144116907</v>
          </cell>
          <cell r="AD263">
            <v>64899.250469511047</v>
          </cell>
          <cell r="AE263">
            <v>67021.594229596027</v>
          </cell>
        </row>
        <row r="264">
          <cell r="G264">
            <v>15817.337232070206</v>
          </cell>
          <cell r="H264">
            <v>16018.694674591499</v>
          </cell>
          <cell r="I264">
            <v>16244.636036876404</v>
          </cell>
          <cell r="J264">
            <v>16394.518644467444</v>
          </cell>
          <cell r="K264">
            <v>17068.233395760493</v>
          </cell>
          <cell r="L264">
            <v>17435.796184482177</v>
          </cell>
          <cell r="M264">
            <v>17081.453435541836</v>
          </cell>
          <cell r="N264">
            <v>17478.018798168017</v>
          </cell>
          <cell r="O264">
            <v>17444.116167212251</v>
          </cell>
          <cell r="P264">
            <v>18270.850590436661</v>
          </cell>
          <cell r="Q264">
            <v>19057.402034863284</v>
          </cell>
          <cell r="R264">
            <v>19406.386711636154</v>
          </cell>
          <cell r="S264">
            <v>19615.559928824609</v>
          </cell>
          <cell r="T264">
            <v>19999.237133227925</v>
          </cell>
          <cell r="U264">
            <v>20287.263141344494</v>
          </cell>
          <cell r="V264">
            <v>21052.263296348981</v>
          </cell>
          <cell r="W264">
            <v>22167.22763662495</v>
          </cell>
          <cell r="X264">
            <v>23362.862099979786</v>
          </cell>
          <cell r="Y264">
            <v>23744.685317019321</v>
          </cell>
          <cell r="Z264">
            <v>23996.322284808713</v>
          </cell>
          <cell r="AA264">
            <v>23948.878801276289</v>
          </cell>
          <cell r="AB264">
            <v>23807.88839224822</v>
          </cell>
          <cell r="AC264">
            <v>23579.111074955865</v>
          </cell>
          <cell r="AD264">
            <v>23808.133708016674</v>
          </cell>
          <cell r="AE264">
            <v>24242.268569309461</v>
          </cell>
        </row>
        <row r="265">
          <cell r="G265">
            <v>5322.184838687871</v>
          </cell>
          <cell r="H265">
            <v>5545.0304646425429</v>
          </cell>
          <cell r="I265">
            <v>5646.0717363855647</v>
          </cell>
          <cell r="J265">
            <v>5772.714861515663</v>
          </cell>
          <cell r="K265">
            <v>5942.4333319450498</v>
          </cell>
          <cell r="L265">
            <v>6101.6843781988837</v>
          </cell>
          <cell r="M265">
            <v>5984.6208573422091</v>
          </cell>
          <cell r="N265">
            <v>6060.5218777927839</v>
          </cell>
          <cell r="O265">
            <v>5984.088884824102</v>
          </cell>
          <cell r="P265">
            <v>6250.5787353942815</v>
          </cell>
          <cell r="Q265">
            <v>6572.719636686692</v>
          </cell>
          <cell r="R265">
            <v>6621.4012106557939</v>
          </cell>
          <cell r="S265">
            <v>7007.3620811741166</v>
          </cell>
          <cell r="T265">
            <v>7493.6319939120322</v>
          </cell>
          <cell r="U265">
            <v>7852.5601573598751</v>
          </cell>
          <cell r="V265">
            <v>8244.2529789954897</v>
          </cell>
          <cell r="W265">
            <v>8590.1003647840844</v>
          </cell>
          <cell r="X265">
            <v>8791.169223543573</v>
          </cell>
          <cell r="Y265">
            <v>9001.664162895453</v>
          </cell>
          <cell r="Z265">
            <v>9312.348144124393</v>
          </cell>
          <cell r="AA265">
            <v>9600.2460714418157</v>
          </cell>
          <cell r="AB265">
            <v>9649.7064927956617</v>
          </cell>
          <cell r="AC265">
            <v>9594.2324440334487</v>
          </cell>
          <cell r="AD265">
            <v>9674.6836717986062</v>
          </cell>
          <cell r="AE265">
            <v>9849.4812135498341</v>
          </cell>
        </row>
        <row r="266">
          <cell r="G266">
            <v>40188.47897715179</v>
          </cell>
          <cell r="H266">
            <v>37894.786608260598</v>
          </cell>
          <cell r="I266">
            <v>39692.417744606828</v>
          </cell>
          <cell r="J266">
            <v>41616.076447625463</v>
          </cell>
          <cell r="K266">
            <v>43274.642682815946</v>
          </cell>
          <cell r="L266">
            <v>43037.119273569937</v>
          </cell>
          <cell r="M266">
            <v>42915.311055033781</v>
          </cell>
          <cell r="N266">
            <v>45084.536114695635</v>
          </cell>
          <cell r="O266">
            <v>44539.564838901228</v>
          </cell>
          <cell r="P266">
            <v>47662.286009123229</v>
          </cell>
          <cell r="Q266">
            <v>50573.227173981133</v>
          </cell>
          <cell r="R266">
            <v>52028.353540521784</v>
          </cell>
          <cell r="S266">
            <v>55480.383681701147</v>
          </cell>
          <cell r="T266">
            <v>59679.121785217372</v>
          </cell>
          <cell r="U266">
            <v>62780.458365300248</v>
          </cell>
          <cell r="V266">
            <v>65538.345071305797</v>
          </cell>
          <cell r="W266">
            <v>66650.46253738238</v>
          </cell>
          <cell r="X266">
            <v>67942.572302651621</v>
          </cell>
          <cell r="Y266">
            <v>68392.695694490918</v>
          </cell>
          <cell r="Z266">
            <v>68988.233738220995</v>
          </cell>
          <cell r="AA266">
            <v>69484.825010124769</v>
          </cell>
          <cell r="AB266">
            <v>68888.699697287899</v>
          </cell>
          <cell r="AC266">
            <v>67780.569700880937</v>
          </cell>
          <cell r="AD266">
            <v>67936.197356717166</v>
          </cell>
          <cell r="AE266">
            <v>68764.752407722292</v>
          </cell>
        </row>
        <row r="267">
          <cell r="G267">
            <v>1188.7545350603505</v>
          </cell>
          <cell r="H267">
            <v>1814.3315151782574</v>
          </cell>
          <cell r="I267">
            <v>1900.3987322087844</v>
          </cell>
          <cell r="J267">
            <v>1992.499913445489</v>
          </cell>
          <cell r="K267">
            <v>2071.9089630760959</v>
          </cell>
          <cell r="L267">
            <v>2060.5367864375899</v>
          </cell>
          <cell r="M267">
            <v>2054.7048367295088</v>
          </cell>
          <cell r="N267">
            <v>2158.5632758848569</v>
          </cell>
          <cell r="O267">
            <v>2132.4710703590135</v>
          </cell>
          <cell r="P267">
            <v>2281.9811201401903</v>
          </cell>
          <cell r="Q267">
            <v>2421.3515393175903</v>
          </cell>
          <cell r="R267">
            <v>2491.0202684932815</v>
          </cell>
          <cell r="S267">
            <v>2656.2970159581087</v>
          </cell>
          <cell r="T267">
            <v>2857.3247442295396</v>
          </cell>
          <cell r="U267">
            <v>3005.8109398265065</v>
          </cell>
          <cell r="V267">
            <v>3137.8533977435613</v>
          </cell>
          <cell r="W267">
            <v>3191.0995022312723</v>
          </cell>
          <cell r="X267">
            <v>3252.9633013979505</v>
          </cell>
          <cell r="Y267">
            <v>3274.5143676165139</v>
          </cell>
          <cell r="Z267">
            <v>3365.3187326417874</v>
          </cell>
          <cell r="AA267">
            <v>3474.0116701583424</v>
          </cell>
          <cell r="AB267">
            <v>3512.953897458478</v>
          </cell>
          <cell r="AC267">
            <v>3516.3128897770621</v>
          </cell>
          <cell r="AD267">
            <v>3581.1158402421911</v>
          </cell>
          <cell r="AE267">
            <v>3680.4791879235472</v>
          </cell>
        </row>
        <row r="268">
          <cell r="G268">
            <v>3849.7950827751201</v>
          </cell>
          <cell r="H268">
            <v>3906.2891171259025</v>
          </cell>
          <cell r="I268">
            <v>3961.8719573742533</v>
          </cell>
          <cell r="J268">
            <v>4034.5396870432041</v>
          </cell>
          <cell r="K268">
            <v>4138.6436132460585</v>
          </cell>
          <cell r="L268">
            <v>4100.6830786251285</v>
          </cell>
          <cell r="M268">
            <v>4035.3829999262734</v>
          </cell>
          <cell r="N268">
            <v>4110.6521986094058</v>
          </cell>
          <cell r="O268">
            <v>4006.1320247028834</v>
          </cell>
          <cell r="P268">
            <v>4254.9883579236111</v>
          </cell>
          <cell r="Q268">
            <v>4437.9947273019006</v>
          </cell>
          <cell r="R268">
            <v>4680.7221218276991</v>
          </cell>
          <cell r="S268">
            <v>4828.4799985370428</v>
          </cell>
          <cell r="T268">
            <v>5017.4618558662078</v>
          </cell>
          <cell r="U268">
            <v>5345.4511655331662</v>
          </cell>
          <cell r="V268">
            <v>5516.9923667331486</v>
          </cell>
          <cell r="W268">
            <v>5867.6518045882958</v>
          </cell>
          <cell r="X268">
            <v>6329.7630600932562</v>
          </cell>
          <cell r="Y268">
            <v>6722.9459400846354</v>
          </cell>
          <cell r="Z268">
            <v>6861.7784227451157</v>
          </cell>
          <cell r="AA268">
            <v>6955.8284829545846</v>
          </cell>
          <cell r="AB268">
            <v>6957.0865987713378</v>
          </cell>
          <cell r="AC268">
            <v>6912.3452832716694</v>
          </cell>
          <cell r="AD268">
            <v>6996.4987096325658</v>
          </cell>
          <cell r="AE268">
            <v>7149.722042615902</v>
          </cell>
        </row>
        <row r="269">
          <cell r="G269">
            <v>534.44742790618818</v>
          </cell>
          <cell r="H269">
            <v>549.59350482299533</v>
          </cell>
          <cell r="I269">
            <v>558.80354351382152</v>
          </cell>
          <cell r="J269">
            <v>563.62274980553275</v>
          </cell>
          <cell r="K269">
            <v>587.5147936961863</v>
          </cell>
          <cell r="L269">
            <v>579.97784016970309</v>
          </cell>
          <cell r="M269">
            <v>560.90805620046797</v>
          </cell>
          <cell r="N269">
            <v>573.68000690966471</v>
          </cell>
          <cell r="O269">
            <v>553.53475886949707</v>
          </cell>
          <cell r="P269">
            <v>576.68826299924194</v>
          </cell>
          <cell r="Q269">
            <v>617.12387357911405</v>
          </cell>
          <cell r="R269">
            <v>611.47974591985735</v>
          </cell>
          <cell r="S269">
            <v>612.49116303855203</v>
          </cell>
          <cell r="T269">
            <v>617.39099685506926</v>
          </cell>
          <cell r="U269">
            <v>625.42155541820807</v>
          </cell>
          <cell r="V269">
            <v>634.89317973156528</v>
          </cell>
          <cell r="W269">
            <v>649.66639439859387</v>
          </cell>
          <cell r="X269">
            <v>664.18689457805033</v>
          </cell>
          <cell r="Y269">
            <v>675.222447049018</v>
          </cell>
          <cell r="Z269">
            <v>689.29368563316996</v>
          </cell>
          <cell r="AA269">
            <v>708.88049415932687</v>
          </cell>
          <cell r="AB269">
            <v>715.26417571277989</v>
          </cell>
          <cell r="AC269">
            <v>712.08311568624777</v>
          </cell>
          <cell r="AD269">
            <v>720.56979461845128</v>
          </cell>
          <cell r="AE269">
            <v>738.00039313122193</v>
          </cell>
        </row>
        <row r="270">
          <cell r="G270">
            <v>3115.2089672205038</v>
          </cell>
          <cell r="H270">
            <v>3197.5651166446492</v>
          </cell>
          <cell r="I270">
            <v>3229.0497286223444</v>
          </cell>
          <cell r="J270">
            <v>3272.3257565644481</v>
          </cell>
          <cell r="K270">
            <v>3286.9654885929872</v>
          </cell>
          <cell r="L270">
            <v>3293.264126133221</v>
          </cell>
          <cell r="M270">
            <v>3300.0809674539782</v>
          </cell>
          <cell r="N270">
            <v>3451.930911696365</v>
          </cell>
          <cell r="O270">
            <v>3297.3681869148945</v>
          </cell>
          <cell r="P270">
            <v>3489.5232829070401</v>
          </cell>
          <cell r="Q270">
            <v>3673.2929341504673</v>
          </cell>
          <cell r="R270">
            <v>3717.6174958107317</v>
          </cell>
          <cell r="S270">
            <v>3800.0880835238581</v>
          </cell>
          <cell r="T270">
            <v>3887.0650904153217</v>
          </cell>
          <cell r="U270">
            <v>4056.124578585614</v>
          </cell>
          <cell r="V270">
            <v>4194.5406633190933</v>
          </cell>
          <cell r="W270">
            <v>4344.0884180067906</v>
          </cell>
          <cell r="X270">
            <v>4474.3387921523226</v>
          </cell>
          <cell r="Y270">
            <v>4678.5785905776456</v>
          </cell>
          <cell r="Z270">
            <v>5141.8087527319158</v>
          </cell>
          <cell r="AA270">
            <v>5563.8893544924167</v>
          </cell>
          <cell r="AB270">
            <v>5764.1241758474371</v>
          </cell>
          <cell r="AC270">
            <v>5987.6855187118917</v>
          </cell>
          <cell r="AD270">
            <v>6250.8438285058528</v>
          </cell>
          <cell r="AE270">
            <v>6624.8401927575715</v>
          </cell>
        </row>
        <row r="271">
          <cell r="G271">
            <v>11420.491920913755</v>
          </cell>
          <cell r="H271">
            <v>11592.720625003223</v>
          </cell>
          <cell r="I271">
            <v>11658.563357544677</v>
          </cell>
          <cell r="J271">
            <v>11749.065090113814</v>
          </cell>
          <cell r="K271">
            <v>11779.680679758576</v>
          </cell>
          <cell r="L271">
            <v>11687.872839212228</v>
          </cell>
          <cell r="M271">
            <v>11490.221763086443</v>
          </cell>
          <cell r="N271">
            <v>11768.452142521628</v>
          </cell>
          <cell r="O271">
            <v>11179.822225067792</v>
          </cell>
          <cell r="P271">
            <v>11601.176974790342</v>
          </cell>
          <cell r="Q271">
            <v>12023.171597635273</v>
          </cell>
          <cell r="R271">
            <v>12026.872322236679</v>
          </cell>
          <cell r="S271">
            <v>12163.184919060364</v>
          </cell>
          <cell r="T271">
            <v>12304.230792458153</v>
          </cell>
          <cell r="U271">
            <v>12644.901097631564</v>
          </cell>
          <cell r="V271">
            <v>12931.671530017473</v>
          </cell>
          <cell r="W271">
            <v>13317.881753484435</v>
          </cell>
          <cell r="X271">
            <v>13653.779577349764</v>
          </cell>
          <cell r="Y271">
            <v>14138.492855194008</v>
          </cell>
          <cell r="Z271">
            <v>14622.668209005438</v>
          </cell>
          <cell r="AA271">
            <v>15006.014751748147</v>
          </cell>
          <cell r="AB271">
            <v>15029.928175957646</v>
          </cell>
          <cell r="AC271">
            <v>15034.086030244467</v>
          </cell>
          <cell r="AD271">
            <v>15245.007781740544</v>
          </cell>
          <cell r="AE271">
            <v>15663.703138796815</v>
          </cell>
        </row>
        <row r="272">
          <cell r="G272">
            <v>3691.5192148666688</v>
          </cell>
          <cell r="H272">
            <v>3753.6667501636275</v>
          </cell>
          <cell r="I272">
            <v>3908.1283727573941</v>
          </cell>
          <cell r="J272">
            <v>3990.3782404125386</v>
          </cell>
          <cell r="K272">
            <v>4054.2488327687715</v>
          </cell>
          <cell r="L272">
            <v>4020.6948301558132</v>
          </cell>
          <cell r="M272">
            <v>3920.8513231352058</v>
          </cell>
          <cell r="N272">
            <v>4041.18327816493</v>
          </cell>
          <cell r="O272">
            <v>3904.2872844354733</v>
          </cell>
          <cell r="P272">
            <v>3990.4226943218055</v>
          </cell>
          <cell r="Q272">
            <v>4159.7894375329506</v>
          </cell>
          <cell r="R272">
            <v>4196.5362378426089</v>
          </cell>
          <cell r="S272">
            <v>4339.6995561507783</v>
          </cell>
          <cell r="T272">
            <v>4479.5142833859791</v>
          </cell>
          <cell r="U272">
            <v>4693.9937824858698</v>
          </cell>
          <cell r="V272">
            <v>4845.6041433523815</v>
          </cell>
          <cell r="W272">
            <v>4995.1928652936713</v>
          </cell>
          <cell r="X272">
            <v>5242.7236629585241</v>
          </cell>
          <cell r="Y272">
            <v>5545.2672924388035</v>
          </cell>
          <cell r="Z272">
            <v>5673.8896302172889</v>
          </cell>
          <cell r="AA272">
            <v>5924.0874725941449</v>
          </cell>
          <cell r="AB272">
            <v>5934.4464396809926</v>
          </cell>
          <cell r="AC272">
            <v>5912.4372921907834</v>
          </cell>
          <cell r="AD272">
            <v>6006.6769874874071</v>
          </cell>
          <cell r="AE272">
            <v>6164.8604393322439</v>
          </cell>
        </row>
        <row r="273">
          <cell r="G273">
            <v>17497.207948601801</v>
          </cell>
          <cell r="H273">
            <v>17791.777280438058</v>
          </cell>
          <cell r="I273">
            <v>18901.054967077107</v>
          </cell>
          <cell r="J273">
            <v>19491.738538742164</v>
          </cell>
          <cell r="K273">
            <v>19950.42997123814</v>
          </cell>
          <cell r="L273">
            <v>19905.594194185171</v>
          </cell>
          <cell r="M273">
            <v>19584.467713881531</v>
          </cell>
          <cell r="N273">
            <v>20522.118178496305</v>
          </cell>
          <cell r="O273">
            <v>20034.834221414225</v>
          </cell>
          <cell r="P273">
            <v>20616.976813630718</v>
          </cell>
          <cell r="Q273">
            <v>21762.89295682016</v>
          </cell>
          <cell r="R273">
            <v>22193.060520158731</v>
          </cell>
          <cell r="S273">
            <v>23288.74802317745</v>
          </cell>
          <cell r="T273">
            <v>24369.151315222582</v>
          </cell>
          <cell r="U273">
            <v>25933.512365323673</v>
          </cell>
          <cell r="V273">
            <v>27027.347784204048</v>
          </cell>
          <cell r="W273">
            <v>28045.729928476008</v>
          </cell>
          <cell r="X273">
            <v>28851.325810615399</v>
          </cell>
          <cell r="Y273">
            <v>28873.897229677121</v>
          </cell>
          <cell r="Z273">
            <v>29028.51577124407</v>
          </cell>
          <cell r="AA273">
            <v>28959.754956209981</v>
          </cell>
          <cell r="AB273">
            <v>28706.819769662256</v>
          </cell>
          <cell r="AC273">
            <v>28180.95717693547</v>
          </cell>
          <cell r="AD273">
            <v>28203.027422428651</v>
          </cell>
          <cell r="AE273">
            <v>28506.77394470897</v>
          </cell>
        </row>
        <row r="276">
          <cell r="G276">
            <v>53708.756626847957</v>
          </cell>
          <cell r="H276">
            <v>50349.464058565485</v>
          </cell>
          <cell r="I276">
            <v>50585.765733522334</v>
          </cell>
          <cell r="J276">
            <v>50756.917170227302</v>
          </cell>
          <cell r="K276">
            <v>50890.56319950617</v>
          </cell>
          <cell r="L276">
            <v>50409.683971895211</v>
          </cell>
          <cell r="M276">
            <v>49748.857660934671</v>
          </cell>
          <cell r="N276">
            <v>51074.418525560905</v>
          </cell>
          <cell r="O276">
            <v>50637.294229816769</v>
          </cell>
          <cell r="P276">
            <v>51882.363343747689</v>
          </cell>
          <cell r="Q276">
            <v>53040.286432316985</v>
          </cell>
          <cell r="R276">
            <v>53738.485192411041</v>
          </cell>
          <cell r="S276">
            <v>55949.769545049654</v>
          </cell>
          <cell r="T276">
            <v>57329.270888827872</v>
          </cell>
          <cell r="U276">
            <v>59883.340093594605</v>
          </cell>
          <cell r="V276">
            <v>62238.988957004687</v>
          </cell>
          <cell r="W276">
            <v>64365.633187934131</v>
          </cell>
          <cell r="X276">
            <v>65570.953790492698</v>
          </cell>
          <cell r="Y276">
            <v>67305.727422033131</v>
          </cell>
          <cell r="Z276">
            <v>68196.039917622096</v>
          </cell>
          <cell r="AA276">
            <v>68883.240349581378</v>
          </cell>
          <cell r="AB276">
            <v>68252.643635550878</v>
          </cell>
          <cell r="AC276">
            <v>68712.851087571893</v>
          </cell>
          <cell r="AD276">
            <v>69589.365365579099</v>
          </cell>
          <cell r="AE276">
            <v>71181.30416701932</v>
          </cell>
        </row>
        <row r="277">
          <cell r="G277">
            <v>18897.525479816875</v>
          </cell>
          <cell r="H277">
            <v>22684.496812891877</v>
          </cell>
          <cell r="I277">
            <v>22790.96040079034</v>
          </cell>
          <cell r="J277">
            <v>22868.071136585651</v>
          </cell>
          <cell r="K277">
            <v>22928.284149413474</v>
          </cell>
          <cell r="L277">
            <v>22711.628351579398</v>
          </cell>
          <cell r="M277">
            <v>22413.899018702621</v>
          </cell>
          <cell r="N277">
            <v>23011.11850794945</v>
          </cell>
          <cell r="O277">
            <v>22814.176099940669</v>
          </cell>
          <cell r="P277">
            <v>23375.130757053677</v>
          </cell>
          <cell r="Q277">
            <v>23896.822558612297</v>
          </cell>
          <cell r="R277">
            <v>24211.389711297299</v>
          </cell>
          <cell r="S277">
            <v>25207.663927671896</v>
          </cell>
          <cell r="T277">
            <v>25829.18581318625</v>
          </cell>
          <cell r="U277">
            <v>26979.898652314874</v>
          </cell>
          <cell r="V277">
            <v>28041.214996658913</v>
          </cell>
          <cell r="W277">
            <v>28999.35536976318</v>
          </cell>
          <cell r="X277">
            <v>29542.401693661457</v>
          </cell>
          <cell r="Y277">
            <v>30323.988303401613</v>
          </cell>
          <cell r="Z277">
            <v>31006.105312805237</v>
          </cell>
          <cell r="AA277">
            <v>31737.357087980727</v>
          </cell>
          <cell r="AB277">
            <v>31853.529467166318</v>
          </cell>
          <cell r="AC277">
            <v>32575.680823859493</v>
          </cell>
          <cell r="AD277">
            <v>33518.523530953906</v>
          </cell>
          <cell r="AE277">
            <v>34882.341931854091</v>
          </cell>
        </row>
        <row r="278">
          <cell r="G278">
            <v>26854.378313423978</v>
          </cell>
          <cell r="H278">
            <v>26617.32886145165</v>
          </cell>
          <cell r="I278">
            <v>26742.250139372747</v>
          </cell>
          <cell r="J278">
            <v>26832.72963426046</v>
          </cell>
          <cell r="K278">
            <v>26903.381832428946</v>
          </cell>
          <cell r="L278">
            <v>26649.16421992223</v>
          </cell>
          <cell r="M278">
            <v>26299.817279134986</v>
          </cell>
          <cell r="N278">
            <v>27000.577259789123</v>
          </cell>
          <cell r="O278">
            <v>26769.490765608803</v>
          </cell>
          <cell r="P278">
            <v>27427.698646872188</v>
          </cell>
          <cell r="Q278">
            <v>28039.836635250114</v>
          </cell>
          <cell r="R278">
            <v>28408.940584131567</v>
          </cell>
          <cell r="S278">
            <v>29577.939776494393</v>
          </cell>
          <cell r="T278">
            <v>30307.215482179141</v>
          </cell>
          <cell r="U278">
            <v>31657.428463177443</v>
          </cell>
          <cell r="V278">
            <v>32902.746196978107</v>
          </cell>
          <cell r="W278">
            <v>34027.00024663622</v>
          </cell>
          <cell r="X278">
            <v>34664.19501050633</v>
          </cell>
          <cell r="Y278">
            <v>35581.286008678158</v>
          </cell>
          <cell r="Z278">
            <v>36083.497426165137</v>
          </cell>
          <cell r="AA278">
            <v>36494.12300096816</v>
          </cell>
          <cell r="AB278">
            <v>36205.695140698299</v>
          </cell>
          <cell r="AC278">
            <v>36506.780251500866</v>
          </cell>
          <cell r="AD278">
            <v>37031.665828922414</v>
          </cell>
          <cell r="AE278">
            <v>37945.836580810574</v>
          </cell>
        </row>
        <row r="279">
          <cell r="G279">
            <v>2899.3137186553386</v>
          </cell>
          <cell r="H279">
            <v>4653.2063275829678</v>
          </cell>
          <cell r="I279">
            <v>4722.1827958588665</v>
          </cell>
          <cell r="J279">
            <v>4803.0505198635774</v>
          </cell>
          <cell r="K279">
            <v>4864.1054718609148</v>
          </cell>
          <cell r="L279">
            <v>4847.1465088239911</v>
          </cell>
          <cell r="M279">
            <v>4921.2901977497777</v>
          </cell>
          <cell r="N279">
            <v>5132.826898850004</v>
          </cell>
          <cell r="O279">
            <v>5165.3941277993135</v>
          </cell>
          <cell r="P279">
            <v>5307.180926289423</v>
          </cell>
          <cell r="Q279">
            <v>5413.9324826064094</v>
          </cell>
          <cell r="R279">
            <v>5527.7892431994651</v>
          </cell>
          <cell r="S279">
            <v>5793.8879649185292</v>
          </cell>
          <cell r="T279">
            <v>6012.6273752844645</v>
          </cell>
          <cell r="U279">
            <v>6396.3583829453282</v>
          </cell>
          <cell r="V279">
            <v>6644.3243452930392</v>
          </cell>
          <cell r="W279">
            <v>6897.2765527024421</v>
          </cell>
          <cell r="X279">
            <v>7099.8649378566442</v>
          </cell>
          <cell r="Y279">
            <v>7280.7841604239902</v>
          </cell>
          <cell r="Z279">
            <v>7440.8024860006608</v>
          </cell>
          <cell r="AA279">
            <v>7753.3183815559305</v>
          </cell>
          <cell r="AB279">
            <v>7831.6449985303652</v>
          </cell>
          <cell r="AC279">
            <v>8006.5157584517292</v>
          </cell>
          <cell r="AD279">
            <v>8228.1687845852503</v>
          </cell>
          <cell r="AE279">
            <v>8541.3880336494094</v>
          </cell>
        </row>
        <row r="280">
          <cell r="G280">
            <v>9277.8038996970827</v>
          </cell>
          <cell r="H280">
            <v>8594.3945235766678</v>
          </cell>
          <cell r="I280">
            <v>8721.7929107257623</v>
          </cell>
          <cell r="J280">
            <v>8871.1542489927488</v>
          </cell>
          <cell r="K280">
            <v>8983.9217276176933</v>
          </cell>
          <cell r="L280">
            <v>8952.5988055744328</v>
          </cell>
          <cell r="M280">
            <v>9089.5409631323892</v>
          </cell>
          <cell r="N280">
            <v>9480.2457239968408</v>
          </cell>
          <cell r="O280">
            <v>9540.3968530088641</v>
          </cell>
          <cell r="P280">
            <v>9802.2747064011619</v>
          </cell>
          <cell r="Q280">
            <v>9999.4430514959204</v>
          </cell>
          <cell r="R280">
            <v>10209.734590453189</v>
          </cell>
          <cell r="S280">
            <v>10701.214493916017</v>
          </cell>
          <cell r="T280">
            <v>11105.222538733551</v>
          </cell>
          <cell r="U280">
            <v>11813.967313539215</v>
          </cell>
          <cell r="V280">
            <v>12271.956312694891</v>
          </cell>
          <cell r="W280">
            <v>12739.154823364681</v>
          </cell>
          <cell r="X280">
            <v>13113.332193834716</v>
          </cell>
          <cell r="Y280">
            <v>13447.486982206243</v>
          </cell>
          <cell r="Z280">
            <v>13640.857864027112</v>
          </cell>
          <cell r="AA280">
            <v>13872.69083053642</v>
          </cell>
          <cell r="AB280">
            <v>13796.657277388424</v>
          </cell>
          <cell r="AC280">
            <v>13921.166336675924</v>
          </cell>
          <cell r="AD280">
            <v>14127.797044953708</v>
          </cell>
          <cell r="AE280">
            <v>14478.709794728822</v>
          </cell>
        </row>
        <row r="281">
          <cell r="G281">
            <v>2319.4509749242707</v>
          </cell>
          <cell r="H281">
            <v>2148.5986308941669</v>
          </cell>
          <cell r="I281">
            <v>2180.4482276814406</v>
          </cell>
          <cell r="J281">
            <v>2217.7885622481872</v>
          </cell>
          <cell r="K281">
            <v>2245.9804319044233</v>
          </cell>
          <cell r="L281">
            <v>2238.1497013936082</v>
          </cell>
          <cell r="M281">
            <v>2272.3852407830973</v>
          </cell>
          <cell r="N281">
            <v>2370.0614309992102</v>
          </cell>
          <cell r="O281">
            <v>2385.099213252216</v>
          </cell>
          <cell r="P281">
            <v>2450.5686766002905</v>
          </cell>
          <cell r="Q281">
            <v>2499.8607628739801</v>
          </cell>
          <cell r="R281">
            <v>2552.4336476132971</v>
          </cell>
          <cell r="S281">
            <v>2675.3036234790043</v>
          </cell>
          <cell r="T281">
            <v>2776.3056346833878</v>
          </cell>
          <cell r="U281">
            <v>2953.4918283848037</v>
          </cell>
          <cell r="V281">
            <v>3067.9890781737226</v>
          </cell>
          <cell r="W281">
            <v>3184.7887058411702</v>
          </cell>
          <cell r="X281">
            <v>3278.3330484586791</v>
          </cell>
          <cell r="Y281">
            <v>3361.8717455515607</v>
          </cell>
          <cell r="Z281">
            <v>3632.5223696265007</v>
          </cell>
          <cell r="AA281">
            <v>4441.9015054216325</v>
          </cell>
          <cell r="AB281">
            <v>4903.0609251577835</v>
          </cell>
          <cell r="AC281">
            <v>5365.9975567944002</v>
          </cell>
          <cell r="AD281">
            <v>5858.7859645388498</v>
          </cell>
          <cell r="AE281">
            <v>6441.6862271514865</v>
          </cell>
        </row>
        <row r="282">
          <cell r="G282">
            <v>4832.1895310922318</v>
          </cell>
          <cell r="H282">
            <v>4148.337474535304</v>
          </cell>
          <cell r="I282">
            <v>4209.8300557934908</v>
          </cell>
          <cell r="J282">
            <v>4281.9237018415006</v>
          </cell>
          <cell r="K282">
            <v>4336.3542444708164</v>
          </cell>
          <cell r="L282">
            <v>4321.2353142230195</v>
          </cell>
          <cell r="M282">
            <v>4387.3344771696347</v>
          </cell>
          <cell r="N282">
            <v>4575.9196295648571</v>
          </cell>
          <cell r="O282">
            <v>4604.9533424031115</v>
          </cell>
          <cell r="P282">
            <v>4731.3563961607624</v>
          </cell>
          <cell r="Q282">
            <v>4826.5255011518029</v>
          </cell>
          <cell r="R282">
            <v>4928.0289019138954</v>
          </cell>
          <cell r="S282">
            <v>5165.2561429862953</v>
          </cell>
          <cell r="T282">
            <v>5360.2625169353532</v>
          </cell>
          <cell r="U282">
            <v>5702.3590428909547</v>
          </cell>
          <cell r="V282">
            <v>5923.4209132659416</v>
          </cell>
          <cell r="W282">
            <v>6148.928025435609</v>
          </cell>
          <cell r="X282">
            <v>6329.5357464083654</v>
          </cell>
          <cell r="Y282">
            <v>6490.8253901516618</v>
          </cell>
          <cell r="Z282">
            <v>6641.7124607483611</v>
          </cell>
          <cell r="AA282">
            <v>6948.1408095370089</v>
          </cell>
          <cell r="AB282">
            <v>7035.7465017183213</v>
          </cell>
          <cell r="AC282">
            <v>7207.6309870677396</v>
          </cell>
          <cell r="AD282">
            <v>7421.5670118882181</v>
          </cell>
          <cell r="AE282">
            <v>7719.1351981849666</v>
          </cell>
        </row>
        <row r="283">
          <cell r="G283">
            <v>52715.95523740026</v>
          </cell>
          <cell r="H283">
            <v>52972.193082349717</v>
          </cell>
          <cell r="I283">
            <v>53212.466582069668</v>
          </cell>
          <cell r="J283">
            <v>53938.137008894228</v>
          </cell>
          <cell r="K283">
            <v>54658.14918677666</v>
          </cell>
          <cell r="L283">
            <v>54742.833531026023</v>
          </cell>
          <cell r="M283">
            <v>54443.844986943564</v>
          </cell>
          <cell r="N283">
            <v>55849.634953873981</v>
          </cell>
          <cell r="O283">
            <v>55878.248310892755</v>
          </cell>
          <cell r="P283">
            <v>57396.258918086387</v>
          </cell>
          <cell r="Q283">
            <v>58035.309287294032</v>
          </cell>
          <cell r="R283">
            <v>59654.398509755512</v>
          </cell>
          <cell r="S283">
            <v>62104.8709686109</v>
          </cell>
          <cell r="T283">
            <v>63526.574546607473</v>
          </cell>
          <cell r="U283">
            <v>65957.962889180169</v>
          </cell>
          <cell r="V283">
            <v>68171.241513705259</v>
          </cell>
          <cell r="W283">
            <v>70617.724740144578</v>
          </cell>
          <cell r="X283">
            <v>71464.039108899116</v>
          </cell>
          <cell r="Y283">
            <v>72789.143125892486</v>
          </cell>
          <cell r="Z283">
            <v>75215.745131270101</v>
          </cell>
          <cell r="AA283">
            <v>76186.560911929831</v>
          </cell>
          <cell r="AB283">
            <v>76853.980700327316</v>
          </cell>
          <cell r="AC283">
            <v>77917.122126248083</v>
          </cell>
          <cell r="AD283">
            <v>79216.483772401363</v>
          </cell>
          <cell r="AE283">
            <v>81328.70406933871</v>
          </cell>
        </row>
        <row r="284">
          <cell r="G284">
            <v>12325.222891105739</v>
          </cell>
          <cell r="H284">
            <v>12411.478571584297</v>
          </cell>
          <cell r="I284">
            <v>12492.3602782791</v>
          </cell>
          <cell r="J284">
            <v>12736.637997994008</v>
          </cell>
          <cell r="K284">
            <v>12979.011018139992</v>
          </cell>
          <cell r="L284">
            <v>13082.905311561863</v>
          </cell>
          <cell r="M284">
            <v>13062.787028174751</v>
          </cell>
          <cell r="N284">
            <v>13424.845554871805</v>
          </cell>
          <cell r="O284">
            <v>13548.59001540821</v>
          </cell>
          <cell r="P284">
            <v>13980.657672693853</v>
          </cell>
          <cell r="Q284">
            <v>14151.634240852109</v>
          </cell>
          <cell r="R284">
            <v>14662.608287554143</v>
          </cell>
          <cell r="S284">
            <v>15342.221667490938</v>
          </cell>
          <cell r="T284">
            <v>15752.539658883021</v>
          </cell>
          <cell r="U284">
            <v>16413.182641424464</v>
          </cell>
          <cell r="V284">
            <v>17008.725904970168</v>
          </cell>
          <cell r="W284">
            <v>17714.846912884725</v>
          </cell>
          <cell r="X284">
            <v>18311.517709238116</v>
          </cell>
          <cell r="Y284">
            <v>18790.104072193208</v>
          </cell>
          <cell r="Z284">
            <v>19448.410032238226</v>
          </cell>
          <cell r="AA284">
            <v>20279.403781524616</v>
          </cell>
          <cell r="AB284">
            <v>20865.767577195416</v>
          </cell>
          <cell r="AC284">
            <v>21460.307798955622</v>
          </cell>
          <cell r="AD284">
            <v>22071.159594989709</v>
          </cell>
          <cell r="AE284">
            <v>22914.833275438461</v>
          </cell>
        </row>
        <row r="285">
          <cell r="G285">
            <v>4064.3381986614581</v>
          </cell>
          <cell r="H285">
            <v>4110.6155283892722</v>
          </cell>
          <cell r="I285">
            <v>4130.4447133594185</v>
          </cell>
          <cell r="J285">
            <v>4205.0534065292159</v>
          </cell>
          <cell r="K285">
            <v>4217.0450784455206</v>
          </cell>
          <cell r="L285">
            <v>4170.9267556090681</v>
          </cell>
          <cell r="M285">
            <v>4134.7945018280743</v>
          </cell>
          <cell r="N285">
            <v>4282.9160340500976</v>
          </cell>
          <cell r="O285">
            <v>4275.4670964137213</v>
          </cell>
          <cell r="P285">
            <v>4429.7057135800214</v>
          </cell>
          <cell r="Q285">
            <v>4571.3057004235488</v>
          </cell>
          <cell r="R285">
            <v>4650.7392960571424</v>
          </cell>
          <cell r="S285">
            <v>4871.7140546202527</v>
          </cell>
          <cell r="T285">
            <v>5071.655054028929</v>
          </cell>
          <cell r="U285">
            <v>5305.9233944586949</v>
          </cell>
          <cell r="V285">
            <v>5510.6914731726365</v>
          </cell>
          <cell r="W285">
            <v>5667.2540484688725</v>
          </cell>
          <cell r="X285">
            <v>5754.0571342942558</v>
          </cell>
          <cell r="Y285">
            <v>5912.2142025016201</v>
          </cell>
          <cell r="Z285">
            <v>6003.5111888109896</v>
          </cell>
          <cell r="AA285">
            <v>6134.9943818498568</v>
          </cell>
          <cell r="AB285">
            <v>6108.7349988576152</v>
          </cell>
          <cell r="AC285">
            <v>6173.6786485485254</v>
          </cell>
          <cell r="AD285">
            <v>6269.9374728963212</v>
          </cell>
          <cell r="AE285">
            <v>6430.4101834982612</v>
          </cell>
        </row>
        <row r="286">
          <cell r="G286">
            <v>23923.707463310635</v>
          </cell>
          <cell r="H286">
            <v>21647.641659652782</v>
          </cell>
          <cell r="I286">
            <v>22128.313168026249</v>
          </cell>
          <cell r="J286">
            <v>22691.850441645358</v>
          </cell>
          <cell r="K286">
            <v>23117.319831479061</v>
          </cell>
          <cell r="L286">
            <v>23149.057701051199</v>
          </cell>
          <cell r="M286">
            <v>23825.879336971771</v>
          </cell>
          <cell r="N286">
            <v>25078.936527734691</v>
          </cell>
          <cell r="O286">
            <v>25532.814116989506</v>
          </cell>
          <cell r="P286">
            <v>26363.909867431343</v>
          </cell>
          <cell r="Q286">
            <v>27020.037905563124</v>
          </cell>
          <cell r="R286">
            <v>27745.751550098303</v>
          </cell>
          <cell r="S286">
            <v>29311.199170970409</v>
          </cell>
          <cell r="T286">
            <v>30699.76709413149</v>
          </cell>
          <cell r="U286">
            <v>33060.000699184602</v>
          </cell>
          <cell r="V286">
            <v>34490.685630520056</v>
          </cell>
          <cell r="W286">
            <v>35472.814235427039</v>
          </cell>
          <cell r="X286">
            <v>35945.792596740102</v>
          </cell>
          <cell r="Y286">
            <v>36599.196670922705</v>
          </cell>
          <cell r="Z286">
            <v>37338.175449304828</v>
          </cell>
          <cell r="AA286">
            <v>37764.39848142652</v>
          </cell>
          <cell r="AB286">
            <v>37576.372594239103</v>
          </cell>
          <cell r="AC286">
            <v>37973.19540543147</v>
          </cell>
          <cell r="AD286">
            <v>38602.990098158494</v>
          </cell>
          <cell r="AE286">
            <v>39622.564281848492</v>
          </cell>
        </row>
        <row r="287">
          <cell r="G287">
            <v>996.27006530550568</v>
          </cell>
          <cell r="H287">
            <v>1459.1695219378896</v>
          </cell>
          <cell r="I287">
            <v>1491.5694122404775</v>
          </cell>
          <cell r="J287">
            <v>1529.5549086316887</v>
          </cell>
          <cell r="K287">
            <v>1558.2338740323387</v>
          </cell>
          <cell r="L287">
            <v>1560.3731801377803</v>
          </cell>
          <cell r="M287">
            <v>1605.9946625352893</v>
          </cell>
          <cell r="N287">
            <v>1690.4575749741171</v>
          </cell>
          <cell r="O287">
            <v>1721.0514084892775</v>
          </cell>
          <cell r="P287">
            <v>1777.0718105230519</v>
          </cell>
          <cell r="Q287">
            <v>1821.2984311768487</v>
          </cell>
          <cell r="R287">
            <v>1870.2155025331188</v>
          </cell>
          <cell r="S287">
            <v>1975.7352396241201</v>
          </cell>
          <cell r="T287">
            <v>2069.3323170551284</v>
          </cell>
          <cell r="U287">
            <v>2228.4249792163846</v>
          </cell>
          <cell r="V287">
            <v>2324.8609734979896</v>
          </cell>
          <cell r="W287">
            <v>2391.0618165013484</v>
          </cell>
          <cell r="X287">
            <v>2422.9431465887023</v>
          </cell>
          <cell r="Y287">
            <v>2466.986157164506</v>
          </cell>
          <cell r="Z287">
            <v>2548.1271595340168</v>
          </cell>
          <cell r="AA287">
            <v>2591.155501135403</v>
          </cell>
          <cell r="AB287">
            <v>2602.4683840851649</v>
          </cell>
          <cell r="AC287">
            <v>2654.8483583836405</v>
          </cell>
          <cell r="AD287">
            <v>2724.2999372452</v>
          </cell>
          <cell r="AE287">
            <v>2822.2253817942296</v>
          </cell>
        </row>
        <row r="288">
          <cell r="G288">
            <v>6892.3787896395215</v>
          </cell>
          <cell r="H288">
            <v>6928.1609750366788</v>
          </cell>
          <cell r="I288">
            <v>6982.6206747894967</v>
          </cell>
          <cell r="J288">
            <v>7002.6744270450472</v>
          </cell>
          <cell r="K288">
            <v>7017.2232277010353</v>
          </cell>
          <cell r="L288">
            <v>6982.0498196612562</v>
          </cell>
          <cell r="M288">
            <v>6901.8684594309616</v>
          </cell>
          <cell r="N288">
            <v>7198.137989982336</v>
          </cell>
          <cell r="O288">
            <v>7124.1508540068598</v>
          </cell>
          <cell r="P288">
            <v>7324.0058826836794</v>
          </cell>
          <cell r="Q288">
            <v>7473.4110288347356</v>
          </cell>
          <cell r="R288">
            <v>7621.4968117202607</v>
          </cell>
          <cell r="S288">
            <v>7927.3463352318622</v>
          </cell>
          <cell r="T288">
            <v>8076.0865137607298</v>
          </cell>
          <cell r="U288">
            <v>8366.4477846220634</v>
          </cell>
          <cell r="V288">
            <v>8638.4901170356188</v>
          </cell>
          <cell r="W288">
            <v>8983.0887739326063</v>
          </cell>
          <cell r="X288">
            <v>9271.6822999805772</v>
          </cell>
          <cell r="Y288">
            <v>9518.2206653226694</v>
          </cell>
          <cell r="Z288">
            <v>10391.498689374765</v>
          </cell>
          <cell r="AA288">
            <v>13044.720292089158</v>
          </cell>
          <cell r="AB288">
            <v>14581.489120295437</v>
          </cell>
          <cell r="AC288">
            <v>16100.012982795835</v>
          </cell>
          <cell r="AD288">
            <v>17707.540694802836</v>
          </cell>
          <cell r="AE288">
            <v>19596.207526869926</v>
          </cell>
        </row>
        <row r="289">
          <cell r="G289">
            <v>1781.7556093565017</v>
          </cell>
          <cell r="H289">
            <v>1783.0538360074877</v>
          </cell>
          <cell r="I289">
            <v>1788.8878421921647</v>
          </cell>
          <cell r="J289">
            <v>1807.4316475648882</v>
          </cell>
          <cell r="K289">
            <v>1812.4722930184073</v>
          </cell>
          <cell r="L289">
            <v>1793.6088525783809</v>
          </cell>
          <cell r="M289">
            <v>1774.6486729597157</v>
          </cell>
          <cell r="N289">
            <v>1823.0509687537462</v>
          </cell>
          <cell r="O289">
            <v>1794.2995981969964</v>
          </cell>
          <cell r="P289">
            <v>1840.40380825741</v>
          </cell>
          <cell r="Q289">
            <v>1872.8279339126823</v>
          </cell>
          <cell r="R289">
            <v>1897.4249208326673</v>
          </cell>
          <cell r="S289">
            <v>1968.2360718720968</v>
          </cell>
          <cell r="T289">
            <v>2005.124253123417</v>
          </cell>
          <cell r="U289">
            <v>2074.6913217054471</v>
          </cell>
          <cell r="V289">
            <v>2157.0993395020882</v>
          </cell>
          <cell r="W289">
            <v>2230.5387643737845</v>
          </cell>
          <cell r="X289">
            <v>2244.3283016341893</v>
          </cell>
          <cell r="Y289">
            <v>2286.2415552117754</v>
          </cell>
          <cell r="Z289">
            <v>2326.3694648036135</v>
          </cell>
          <cell r="AA289">
            <v>2374.7982364656368</v>
          </cell>
          <cell r="AB289">
            <v>2372.028004997203</v>
          </cell>
          <cell r="AC289">
            <v>2401.8374704377493</v>
          </cell>
          <cell r="AD289">
            <v>2445.1309775396853</v>
          </cell>
          <cell r="AE289">
            <v>2516.1911582055527</v>
          </cell>
        </row>
        <row r="290">
          <cell r="G290">
            <v>2766.2306421587773</v>
          </cell>
          <cell r="H290">
            <v>2818.4580776956645</v>
          </cell>
          <cell r="I290">
            <v>2891.2487001949826</v>
          </cell>
          <cell r="J290">
            <v>2928.2449547405686</v>
          </cell>
          <cell r="K290">
            <v>2963.6022730245368</v>
          </cell>
          <cell r="L290">
            <v>2967.139006534268</v>
          </cell>
          <cell r="M290">
            <v>2966.3889493279867</v>
          </cell>
          <cell r="N290">
            <v>3122.6086524580405</v>
          </cell>
          <cell r="O290">
            <v>3102.4778216604896</v>
          </cell>
          <cell r="P290">
            <v>3203.2341197678347</v>
          </cell>
          <cell r="Q290">
            <v>3308.1437877260823</v>
          </cell>
          <cell r="R290">
            <v>3416.7948674728191</v>
          </cell>
          <cell r="S290">
            <v>3565.1526112071565</v>
          </cell>
          <cell r="T290">
            <v>3680.8949130500373</v>
          </cell>
          <cell r="U290">
            <v>3890.9266215566536</v>
          </cell>
          <cell r="V290">
            <v>4108.0317271811991</v>
          </cell>
          <cell r="W290">
            <v>4297.4681162204697</v>
          </cell>
          <cell r="X290">
            <v>4366.5805978291328</v>
          </cell>
          <cell r="Y290">
            <v>4487.4959667609901</v>
          </cell>
          <cell r="Z290">
            <v>4926.8541427762138</v>
          </cell>
          <cell r="AA290">
            <v>5327.6338130134527</v>
          </cell>
          <cell r="AB290">
            <v>5467.5606581810716</v>
          </cell>
          <cell r="AC290">
            <v>5692.4167839611218</v>
          </cell>
          <cell r="AD290">
            <v>6015.7371534228814</v>
          </cell>
          <cell r="AE290">
            <v>6447.6555798742547</v>
          </cell>
        </row>
        <row r="291">
          <cell r="G291">
            <v>4846.9173570763787</v>
          </cell>
          <cell r="H291">
            <v>5008.2207596646458</v>
          </cell>
          <cell r="I291">
            <v>5233.033158836829</v>
          </cell>
          <cell r="J291">
            <v>5347.2953599171369</v>
          </cell>
          <cell r="K291">
            <v>5456.4957387404911</v>
          </cell>
          <cell r="L291">
            <v>5518.8324925047837</v>
          </cell>
          <cell r="M291">
            <v>5571.4355115558528</v>
          </cell>
          <cell r="N291">
            <v>5978.1045452741855</v>
          </cell>
          <cell r="O291">
            <v>5993.7545762651171</v>
          </cell>
          <cell r="P291">
            <v>6251.1086086014566</v>
          </cell>
          <cell r="Q291">
            <v>6545.0150556943636</v>
          </cell>
          <cell r="R291">
            <v>6857.360364281305</v>
          </cell>
          <cell r="S291">
            <v>7216.4853030157956</v>
          </cell>
          <cell r="T291">
            <v>7527.399842884297</v>
          </cell>
          <cell r="U291">
            <v>8068.4471852160214</v>
          </cell>
          <cell r="V291">
            <v>8637.0155147854675</v>
          </cell>
          <cell r="W291">
            <v>9132.2699067393223</v>
          </cell>
          <cell r="X291">
            <v>9334.210585621915</v>
          </cell>
          <cell r="Y291">
            <v>9652.3734184585046</v>
          </cell>
          <cell r="Z291">
            <v>10129.531809913426</v>
          </cell>
          <cell r="AA291">
            <v>10549.414687247838</v>
          </cell>
          <cell r="AB291">
            <v>10617.785206666567</v>
          </cell>
          <cell r="AC291">
            <v>10850.415661333316</v>
          </cell>
          <cell r="AD291">
            <v>11208.394192480373</v>
          </cell>
          <cell r="AE291">
            <v>11723.25428099248</v>
          </cell>
        </row>
        <row r="292">
          <cell r="G292">
            <v>8982.682049718147</v>
          </cell>
          <cell r="H292">
            <v>9133.9571886090871</v>
          </cell>
          <cell r="I292">
            <v>9228.0551391407607</v>
          </cell>
          <cell r="J292">
            <v>9325.9303391624871</v>
          </cell>
          <cell r="K292">
            <v>9435.3594788008522</v>
          </cell>
          <cell r="L292">
            <v>9402.5029670648019</v>
          </cell>
          <cell r="M292">
            <v>9317.0133829133265</v>
          </cell>
          <cell r="N292">
            <v>9594.8534284338602</v>
          </cell>
          <cell r="O292">
            <v>9549.1543135264837</v>
          </cell>
          <cell r="P292">
            <v>9905.9247494187312</v>
          </cell>
          <cell r="Q292">
            <v>10179.873946420012</v>
          </cell>
          <cell r="R292">
            <v>10570.47967384969</v>
          </cell>
          <cell r="S292">
            <v>11214.050773343295</v>
          </cell>
          <cell r="T292">
            <v>11613.829592872014</v>
          </cell>
          <cell r="U292">
            <v>12097.143965452469</v>
          </cell>
          <cell r="V292">
            <v>12642.748453845543</v>
          </cell>
          <cell r="W292">
            <v>13013.240075139931</v>
          </cell>
          <cell r="X292">
            <v>13291.521251566393</v>
          </cell>
          <cell r="Y292">
            <v>13704.521907588638</v>
          </cell>
          <cell r="Z292">
            <v>14204.638505637235</v>
          </cell>
          <cell r="AA292">
            <v>14704.160551185496</v>
          </cell>
          <cell r="AB292">
            <v>14715.028570659057</v>
          </cell>
          <cell r="AC292">
            <v>14928.119440779048</v>
          </cell>
          <cell r="AD292">
            <v>15215.031073933886</v>
          </cell>
          <cell r="AE292">
            <v>15656.809695717346</v>
          </cell>
        </row>
        <row r="293">
          <cell r="G293">
            <v>11026.806939503975</v>
          </cell>
          <cell r="H293">
            <v>11212.506682861736</v>
          </cell>
          <cell r="I293">
            <v>11328.017832891619</v>
          </cell>
          <cell r="J293">
            <v>11448.165794138758</v>
          </cell>
          <cell r="K293">
            <v>11582.496942638683</v>
          </cell>
          <cell r="L293">
            <v>11542.163508858694</v>
          </cell>
          <cell r="M293">
            <v>11437.219669751494</v>
          </cell>
          <cell r="N293">
            <v>11778.285792882729</v>
          </cell>
          <cell r="O293">
            <v>11722.187256320849</v>
          </cell>
          <cell r="P293">
            <v>12160.145395831078</v>
          </cell>
          <cell r="Q293">
            <v>12496.43525779497</v>
          </cell>
          <cell r="R293">
            <v>12975.92834482533</v>
          </cell>
          <cell r="S293">
            <v>13765.952329497366</v>
          </cell>
          <cell r="T293">
            <v>14256.705963773478</v>
          </cell>
          <cell r="U293">
            <v>14850.004741135788</v>
          </cell>
          <cell r="V293">
            <v>15519.768551714615</v>
          </cell>
          <cell r="W293">
            <v>15983.555698489869</v>
          </cell>
          <cell r="X293">
            <v>16194.710846388716</v>
          </cell>
          <cell r="Y293">
            <v>16576.532245536484</v>
          </cell>
          <cell r="Z293">
            <v>16934.510115706671</v>
          </cell>
          <cell r="AA293">
            <v>17217.490214471542</v>
          </cell>
          <cell r="AB293">
            <v>17241.166059223928</v>
          </cell>
          <cell r="AC293">
            <v>17506.071071606191</v>
          </cell>
          <cell r="AD293">
            <v>17889.73979428424</v>
          </cell>
          <cell r="AE293">
            <v>18472.572870047712</v>
          </cell>
        </row>
      </sheetData>
      <sheetData sheetId="7">
        <row r="20">
          <cell r="H20">
            <v>0.54056403834827815</v>
          </cell>
          <cell r="I20">
            <v>0.48200277076100684</v>
          </cell>
          <cell r="J20">
            <v>0.56609879065860214</v>
          </cell>
          <cell r="K20">
            <v>0.38751242004584513</v>
          </cell>
          <cell r="L20">
            <v>0.37711808922827855</v>
          </cell>
          <cell r="M20">
            <v>0.25636734424005708</v>
          </cell>
          <cell r="N20">
            <v>0.44466162759752242</v>
          </cell>
          <cell r="O20">
            <v>0.45536974953410997</v>
          </cell>
          <cell r="P20">
            <v>0.70573583862289258</v>
          </cell>
          <cell r="Q20">
            <v>0.32030228474056088</v>
          </cell>
          <cell r="R20">
            <v>0.45656607817537698</v>
          </cell>
          <cell r="S20">
            <v>0.54274096423648555</v>
          </cell>
          <cell r="T20">
            <v>0.5468986965635122</v>
          </cell>
          <cell r="U20">
            <v>0.68988938711233838</v>
          </cell>
          <cell r="V20">
            <v>0.53901469469811258</v>
          </cell>
          <cell r="W20">
            <v>0.3806850435515966</v>
          </cell>
          <cell r="X20">
            <v>0.49257182617893736</v>
          </cell>
          <cell r="Y20">
            <v>0.47062937090000179</v>
          </cell>
          <cell r="Z20">
            <v>0.56590400000000007</v>
          </cell>
          <cell r="AA20">
            <v>0.63572800000000007</v>
          </cell>
          <cell r="AB20">
            <v>0.55195677698180112</v>
          </cell>
          <cell r="AC20">
            <v>0.49509450059010646</v>
          </cell>
          <cell r="AD20">
            <v>0.48926806425812347</v>
          </cell>
          <cell r="AE20">
            <v>0.50707539425908554</v>
          </cell>
        </row>
        <row r="21">
          <cell r="H21">
            <v>0.40814400000000001</v>
          </cell>
          <cell r="I21">
            <v>0.39798</v>
          </cell>
          <cell r="J21">
            <v>0.425238</v>
          </cell>
          <cell r="K21">
            <v>0.88486200000000004</v>
          </cell>
          <cell r="L21">
            <v>0.683562</v>
          </cell>
          <cell r="M21">
            <v>0.85707600000000006</v>
          </cell>
          <cell r="N21">
            <v>0.88373999999999997</v>
          </cell>
          <cell r="O21">
            <v>1.075866</v>
          </cell>
          <cell r="P21">
            <v>1.041018</v>
          </cell>
          <cell r="Q21">
            <v>0.91416599999999992</v>
          </cell>
          <cell r="R21">
            <v>1.1944680000000001</v>
          </cell>
          <cell r="S21">
            <v>0.82579200000000008</v>
          </cell>
          <cell r="T21">
            <v>1.2765060000000001</v>
          </cell>
          <cell r="U21">
            <v>1.201794</v>
          </cell>
          <cell r="V21">
            <v>1.6133040000000001</v>
          </cell>
          <cell r="W21">
            <v>2.0698000000000003</v>
          </cell>
          <cell r="X21">
            <v>1.415</v>
          </cell>
          <cell r="Y21">
            <v>1.1031</v>
          </cell>
          <cell r="Z21">
            <v>1.0355000000000001</v>
          </cell>
          <cell r="AA21">
            <v>0.28970000000000001</v>
          </cell>
          <cell r="AB21">
            <v>0.96416996977002289</v>
          </cell>
          <cell r="AC21">
            <v>1.0474829794917409</v>
          </cell>
          <cell r="AD21">
            <v>1.0602062008599469</v>
          </cell>
          <cell r="AE21">
            <v>1.0741061198150028</v>
          </cell>
        </row>
        <row r="22">
          <cell r="H22">
            <v>0.210256</v>
          </cell>
          <cell r="I22">
            <v>0.20502000000000001</v>
          </cell>
          <cell r="J22">
            <v>0.21906200000000001</v>
          </cell>
          <cell r="K22">
            <v>0.45583800000000002</v>
          </cell>
          <cell r="L22">
            <v>0.35213800000000001</v>
          </cell>
          <cell r="M22">
            <v>0.44152400000000003</v>
          </cell>
          <cell r="N22">
            <v>0.45526000000000005</v>
          </cell>
          <cell r="O22">
            <v>0.554234</v>
          </cell>
          <cell r="P22">
            <v>0.53628200000000004</v>
          </cell>
          <cell r="Q22">
            <v>0.47093400000000002</v>
          </cell>
          <cell r="R22">
            <v>0.61533199999999999</v>
          </cell>
          <cell r="S22">
            <v>0.42540800000000006</v>
          </cell>
          <cell r="T22">
            <v>0.65759400000000001</v>
          </cell>
          <cell r="U22">
            <v>0.61910600000000016</v>
          </cell>
          <cell r="V22">
            <v>0.83109600000000017</v>
          </cell>
          <cell r="W22">
            <v>0.93820000000000003</v>
          </cell>
          <cell r="X22">
            <v>0.94359999999999999</v>
          </cell>
          <cell r="Y22">
            <v>0.53320000000000001</v>
          </cell>
          <cell r="Z22">
            <v>0.64049999999999996</v>
          </cell>
          <cell r="AA22">
            <v>0.29170000000000001</v>
          </cell>
          <cell r="AB22">
            <v>0.43694662123493522</v>
          </cell>
          <cell r="AC22">
            <v>0.58273476357135601</v>
          </cell>
          <cell r="AD22">
            <v>0.6086834810811409</v>
          </cell>
          <cell r="AE22">
            <v>0.64149366754371639</v>
          </cell>
        </row>
        <row r="23">
          <cell r="H23">
            <v>1.9095</v>
          </cell>
          <cell r="I23">
            <v>2.8365629999999999</v>
          </cell>
          <cell r="J23">
            <v>2.2281</v>
          </cell>
          <cell r="K23">
            <v>1.61</v>
          </cell>
          <cell r="L23">
            <v>1.4142000000000001</v>
          </cell>
          <cell r="M23">
            <v>1.5080250000000002</v>
          </cell>
          <cell r="N23">
            <v>0.83910000000000007</v>
          </cell>
          <cell r="O23">
            <v>1.2907</v>
          </cell>
          <cell r="P23">
            <v>3.8820000000000001</v>
          </cell>
          <cell r="Q23">
            <v>3.8363</v>
          </cell>
          <cell r="R23">
            <v>5.9918000000000005</v>
          </cell>
          <cell r="S23">
            <v>4.3921000000000001</v>
          </cell>
          <cell r="T23">
            <v>3.3323</v>
          </cell>
          <cell r="U23">
            <v>3.0750000000000002</v>
          </cell>
          <cell r="V23">
            <v>3.1429999999999998</v>
          </cell>
          <cell r="W23">
            <v>2.3030999999999997</v>
          </cell>
          <cell r="X23">
            <v>1.4487000000000001</v>
          </cell>
          <cell r="Y23">
            <v>2.0606</v>
          </cell>
          <cell r="Z23">
            <v>3.4781999999999997</v>
          </cell>
          <cell r="AA23">
            <v>2.6520000000000001</v>
          </cell>
          <cell r="AB23">
            <v>2.9438208100000005</v>
          </cell>
          <cell r="AC23">
            <v>2.7560084900000006</v>
          </cell>
          <cell r="AD23">
            <v>2.603018580000001</v>
          </cell>
          <cell r="AE23">
            <v>2.6672277900000001</v>
          </cell>
        </row>
        <row r="24">
          <cell r="H24">
            <v>0.14913168675370994</v>
          </cell>
          <cell r="I24">
            <v>0.1329757089339306</v>
          </cell>
          <cell r="J24">
            <v>0.15617625578296401</v>
          </cell>
          <cell r="K24">
            <v>0.1069075571805157</v>
          </cell>
          <cell r="L24">
            <v>0.10403995227613426</v>
          </cell>
          <cell r="M24">
            <v>7.0727040207687705E-2</v>
          </cell>
          <cell r="N24">
            <v>0.12267397357932248</v>
          </cell>
          <cell r="O24">
            <v>0.12562814768836453</v>
          </cell>
          <cell r="P24">
            <v>0.19469955185691878</v>
          </cell>
          <cell r="Q24">
            <v>8.8365515657279348E-2</v>
          </cell>
          <cell r="R24">
            <v>0.12595819278113293</v>
          </cell>
          <cell r="S24">
            <v>0.14973226061104264</v>
          </cell>
          <cell r="T24">
            <v>0.15087930257279522</v>
          </cell>
          <cell r="U24">
            <v>0.19032780702155982</v>
          </cell>
          <cell r="V24">
            <v>0.14870425130569837</v>
          </cell>
          <cell r="W24">
            <v>0.16880282991010148</v>
          </cell>
          <cell r="X24">
            <v>0.21751936506571806</v>
          </cell>
          <cell r="Y24">
            <v>0.19732937621560423</v>
          </cell>
          <cell r="Z24">
            <v>0.10970000000000001</v>
          </cell>
          <cell r="AA24">
            <v>9.4200000000000006E-2</v>
          </cell>
          <cell r="AB24">
            <v>9.8923323863743931E-2</v>
          </cell>
          <cell r="AC24">
            <v>0.10283212131183471</v>
          </cell>
          <cell r="AD24">
            <v>0.11325872838672849</v>
          </cell>
          <cell r="AE24">
            <v>0.12860505588071519</v>
          </cell>
        </row>
        <row r="25">
          <cell r="H25">
            <v>6.0347113246290073E-2</v>
          </cell>
          <cell r="I25">
            <v>5.3809491066069394E-2</v>
          </cell>
          <cell r="J25">
            <v>6.3197744217035973E-2</v>
          </cell>
          <cell r="K25">
            <v>4.326084281948428E-2</v>
          </cell>
          <cell r="L25">
            <v>4.2100447723865751E-2</v>
          </cell>
          <cell r="M25">
            <v>2.8620159792312291E-2</v>
          </cell>
          <cell r="N25">
            <v>4.9640826420677527E-2</v>
          </cell>
          <cell r="O25">
            <v>5.0836252311635494E-2</v>
          </cell>
          <cell r="P25">
            <v>7.8786448143081236E-2</v>
          </cell>
          <cell r="Q25">
            <v>3.5757684342720655E-2</v>
          </cell>
          <cell r="R25">
            <v>5.0969807218867055E-2</v>
          </cell>
          <cell r="S25">
            <v>6.059013938895734E-2</v>
          </cell>
          <cell r="T25">
            <v>6.1054297427204751E-2</v>
          </cell>
          <cell r="U25">
            <v>7.7017392978440125E-2</v>
          </cell>
          <cell r="V25">
            <v>6.0174148694301641E-2</v>
          </cell>
          <cell r="W25">
            <v>6.8307170089898533E-2</v>
          </cell>
          <cell r="X25">
            <v>8.8020634934281985E-2</v>
          </cell>
          <cell r="Y25">
            <v>7.9850623784395738E-2</v>
          </cell>
          <cell r="Z25">
            <v>0.10970000000000001</v>
          </cell>
          <cell r="AA25">
            <v>9.4200000000000006E-2</v>
          </cell>
          <cell r="AB25">
            <v>9.8923323863743931E-2</v>
          </cell>
          <cell r="AC25">
            <v>0.10283212131183471</v>
          </cell>
          <cell r="AD25">
            <v>0.11325872838672849</v>
          </cell>
          <cell r="AE25">
            <v>0.12860505588071519</v>
          </cell>
        </row>
        <row r="26">
          <cell r="H26">
            <v>6.7900000000000002E-2</v>
          </cell>
          <cell r="I26">
            <v>9.3099999999999988E-2</v>
          </cell>
          <cell r="J26">
            <v>0.17349999999999999</v>
          </cell>
          <cell r="K26">
            <v>0.1865</v>
          </cell>
          <cell r="L26">
            <v>9.8900000000000002E-2</v>
          </cell>
          <cell r="M26">
            <v>0.1036</v>
          </cell>
          <cell r="N26">
            <v>0.1033</v>
          </cell>
          <cell r="O26">
            <v>0.10299999999999999</v>
          </cell>
          <cell r="P26">
            <v>0.16839999999999999</v>
          </cell>
          <cell r="Q26">
            <v>9.3099999999999988E-2</v>
          </cell>
          <cell r="R26">
            <v>0.1729</v>
          </cell>
          <cell r="S26">
            <v>0.18819999999999998</v>
          </cell>
          <cell r="T26">
            <v>0.14849999999999999</v>
          </cell>
          <cell r="U26">
            <v>0.13639999999999999</v>
          </cell>
          <cell r="V26">
            <v>0.11509999999999999</v>
          </cell>
          <cell r="W26">
            <v>0.34855169999999996</v>
          </cell>
          <cell r="X26">
            <v>0.44914379999999998</v>
          </cell>
          <cell r="Y26">
            <v>0.4074546</v>
          </cell>
          <cell r="Z26">
            <v>3.5369000000000002</v>
          </cell>
          <cell r="AA26">
            <v>3.9733000000000001</v>
          </cell>
          <cell r="AB26">
            <v>3.449729856136257</v>
          </cell>
          <cell r="AC26">
            <v>3.0943406286881654</v>
          </cell>
          <cell r="AD26">
            <v>3.0579254016132715</v>
          </cell>
          <cell r="AE26">
            <v>3.1692212141192844</v>
          </cell>
        </row>
        <row r="27">
          <cell r="H27">
            <v>0.34329999999999999</v>
          </cell>
          <cell r="I27">
            <v>0.83960000000000001</v>
          </cell>
          <cell r="J27">
            <v>0.4824</v>
          </cell>
          <cell r="K27">
            <v>0.71140000000000003</v>
          </cell>
          <cell r="L27">
            <v>0.39800000000000002</v>
          </cell>
          <cell r="M27">
            <v>0.2858</v>
          </cell>
          <cell r="N27">
            <v>0.30269999999999997</v>
          </cell>
          <cell r="O27">
            <v>0.52510000000000001</v>
          </cell>
          <cell r="P27">
            <v>0.63970000000000005</v>
          </cell>
          <cell r="Q27">
            <v>0.7984</v>
          </cell>
          <cell r="R27">
            <v>2.4916999999999998</v>
          </cell>
          <cell r="S27">
            <v>1.8120000000000001</v>
          </cell>
          <cell r="T27">
            <v>1.2810999999999999</v>
          </cell>
          <cell r="U27">
            <v>1.1297999999999999</v>
          </cell>
          <cell r="V27">
            <v>0.46079999999999999</v>
          </cell>
          <cell r="W27">
            <v>0.1757</v>
          </cell>
          <cell r="X27">
            <v>0.44230000000000003</v>
          </cell>
          <cell r="Y27">
            <v>0.30010000000000003</v>
          </cell>
          <cell r="Z27">
            <v>0.32750000000000001</v>
          </cell>
          <cell r="AA27">
            <v>0.47720000000000001</v>
          </cell>
          <cell r="AB27">
            <v>0.55912742999999965</v>
          </cell>
          <cell r="AC27">
            <v>0.54529235000000031</v>
          </cell>
          <cell r="AD27">
            <v>0.40671768999999997</v>
          </cell>
          <cell r="AE27">
            <v>0.44228138999999994</v>
          </cell>
        </row>
        <row r="28">
          <cell r="H28">
            <v>0.20303249999999998</v>
          </cell>
          <cell r="I28">
            <v>0.28772999999999999</v>
          </cell>
          <cell r="J28">
            <v>0.3148125</v>
          </cell>
          <cell r="K28">
            <v>0.34934699999999996</v>
          </cell>
          <cell r="L28">
            <v>0.195408</v>
          </cell>
          <cell r="M28">
            <v>0.33637499999999998</v>
          </cell>
          <cell r="N28">
            <v>0.13727549999999999</v>
          </cell>
          <cell r="O28">
            <v>0.35469449999999997</v>
          </cell>
          <cell r="P28">
            <v>0.25029750000000001</v>
          </cell>
          <cell r="Q28">
            <v>0.1968915</v>
          </cell>
          <cell r="R28">
            <v>0.43252649999999998</v>
          </cell>
          <cell r="S28">
            <v>0.54820499999999994</v>
          </cell>
          <cell r="T28">
            <v>0.97724699999999987</v>
          </cell>
          <cell r="U28">
            <v>0.84756149999999986</v>
          </cell>
          <cell r="V28">
            <v>0.64639199999999997</v>
          </cell>
          <cell r="W28">
            <v>0.33719399999999999</v>
          </cell>
          <cell r="X28">
            <v>0.39087360000000004</v>
          </cell>
          <cell r="Y28">
            <v>0.30558060000000004</v>
          </cell>
          <cell r="Z28">
            <v>3.7835000000000001</v>
          </cell>
          <cell r="AA28">
            <v>1.3673</v>
          </cell>
          <cell r="AB28">
            <v>1.8872418900000005</v>
          </cell>
          <cell r="AC28">
            <v>1.84246679</v>
          </cell>
          <cell r="AD28">
            <v>1.9964261199999997</v>
          </cell>
          <cell r="AE28">
            <v>2.11022474</v>
          </cell>
        </row>
        <row r="29">
          <cell r="H29">
            <v>0.38546750000000002</v>
          </cell>
          <cell r="I29">
            <v>0.54627000000000003</v>
          </cell>
          <cell r="J29">
            <v>0.59768750000000004</v>
          </cell>
          <cell r="K29">
            <v>0.66325300000000009</v>
          </cell>
          <cell r="L29">
            <v>0.37099200000000004</v>
          </cell>
          <cell r="M29">
            <v>0.638625</v>
          </cell>
          <cell r="N29">
            <v>0.26062450000000004</v>
          </cell>
          <cell r="O29">
            <v>0.67340549999999999</v>
          </cell>
          <cell r="P29">
            <v>0.47520250000000003</v>
          </cell>
          <cell r="Q29">
            <v>0.37380850000000004</v>
          </cell>
          <cell r="R29">
            <v>0.82117350000000011</v>
          </cell>
          <cell r="S29">
            <v>1.0407950000000001</v>
          </cell>
          <cell r="T29">
            <v>1.855353</v>
          </cell>
          <cell r="U29">
            <v>1.6091385</v>
          </cell>
          <cell r="V29">
            <v>1.2272080000000001</v>
          </cell>
          <cell r="W29">
            <v>1.1038060000000001</v>
          </cell>
          <cell r="X29">
            <v>1.2795264000000002</v>
          </cell>
          <cell r="Y29">
            <v>1.0003194000000002</v>
          </cell>
          <cell r="Z29">
            <v>3.7835000000000001</v>
          </cell>
          <cell r="AA29">
            <v>1.3673</v>
          </cell>
          <cell r="AB29">
            <v>1.8872418900000005</v>
          </cell>
          <cell r="AC29">
            <v>1.84246679</v>
          </cell>
          <cell r="AD29">
            <v>1.9964261199999997</v>
          </cell>
          <cell r="AE29">
            <v>2.11022474</v>
          </cell>
        </row>
        <row r="30">
          <cell r="H30">
            <v>0.66609400000000007</v>
          </cell>
          <cell r="I30">
            <v>1.1484180000000002</v>
          </cell>
          <cell r="J30">
            <v>0.55253399999999997</v>
          </cell>
          <cell r="K30">
            <v>0.6476320000000001</v>
          </cell>
          <cell r="L30">
            <v>0.68836400000000009</v>
          </cell>
          <cell r="M30">
            <v>0.40613802400000004</v>
          </cell>
          <cell r="N30">
            <v>0.97611110000000012</v>
          </cell>
          <cell r="O30">
            <v>0.44944599999999996</v>
          </cell>
          <cell r="P30">
            <v>1.0394595600000001</v>
          </cell>
          <cell r="Q30">
            <v>1.9108285600000001</v>
          </cell>
          <cell r="R30">
            <v>2.0233162</v>
          </cell>
          <cell r="S30">
            <v>1.5876980000000001</v>
          </cell>
          <cell r="T30">
            <v>1.3800260000000002</v>
          </cell>
          <cell r="U30">
            <v>1.4298360000000001</v>
          </cell>
          <cell r="V30">
            <v>1.3088299999999999</v>
          </cell>
          <cell r="W30">
            <v>1.4430000000000001</v>
          </cell>
          <cell r="X30">
            <v>1.3551</v>
          </cell>
          <cell r="Y30">
            <v>1.248</v>
          </cell>
          <cell r="Z30">
            <v>1.1154000000000002</v>
          </cell>
          <cell r="AA30">
            <v>1.0509999999999999</v>
          </cell>
          <cell r="AB30">
            <v>1.2799544001277074</v>
          </cell>
          <cell r="AC30">
            <v>1.4046792195590034</v>
          </cell>
          <cell r="AD30">
            <v>1.4878548079657998</v>
          </cell>
          <cell r="AE30">
            <v>1.4917427808967407</v>
          </cell>
        </row>
        <row r="31">
          <cell r="H31">
            <v>1.2930060000000001</v>
          </cell>
          <cell r="I31">
            <v>2.229282</v>
          </cell>
          <cell r="J31">
            <v>1.0725660000000001</v>
          </cell>
          <cell r="K31">
            <v>1.2571680000000001</v>
          </cell>
          <cell r="L31">
            <v>1.3362360000000002</v>
          </cell>
          <cell r="M31">
            <v>0.78838557600000003</v>
          </cell>
          <cell r="N31">
            <v>1.8948039000000001</v>
          </cell>
          <cell r="O31">
            <v>0.87245399999999995</v>
          </cell>
          <cell r="P31">
            <v>2.0177744400000002</v>
          </cell>
          <cell r="Q31">
            <v>3.7092554399999997</v>
          </cell>
          <cell r="R31">
            <v>3.9276137999999996</v>
          </cell>
          <cell r="S31">
            <v>3.0820020000000001</v>
          </cell>
          <cell r="T31">
            <v>2.6788740000000009</v>
          </cell>
          <cell r="U31">
            <v>2.7755639999999997</v>
          </cell>
          <cell r="V31">
            <v>2.5406699999999995</v>
          </cell>
          <cell r="W31">
            <v>1.5496500000000002</v>
          </cell>
          <cell r="X31">
            <v>3.1783999999999999</v>
          </cell>
          <cell r="Y31">
            <v>3.2438500000000001</v>
          </cell>
          <cell r="Z31">
            <v>1.3588</v>
          </cell>
          <cell r="AA31">
            <v>0.66200000000000003</v>
          </cell>
          <cell r="AB31">
            <v>1.2854712808283151</v>
          </cell>
          <cell r="AC31">
            <v>1.5350817518422488</v>
          </cell>
          <cell r="AD31">
            <v>1.3825302212329729</v>
          </cell>
          <cell r="AE31">
            <v>1.2973344781524432</v>
          </cell>
        </row>
        <row r="53">
          <cell r="H53">
            <v>4.6720565328458212</v>
          </cell>
          <cell r="I53">
            <v>1.5093528080297529</v>
          </cell>
          <cell r="J53">
            <v>1.6326353993862486</v>
          </cell>
          <cell r="K53">
            <v>2.6697249363466713</v>
          </cell>
          <cell r="L53">
            <v>1.9057770751539596</v>
          </cell>
          <cell r="M53">
            <v>1.3124038157725313</v>
          </cell>
          <cell r="N53">
            <v>1.0072288765130091</v>
          </cell>
          <cell r="O53">
            <v>1.7837576251023464</v>
          </cell>
          <cell r="P53">
            <v>1.8651544507889506</v>
          </cell>
          <cell r="Q53">
            <v>2.2166108874593542</v>
          </cell>
          <cell r="R53">
            <v>2.5878733797903091</v>
          </cell>
          <cell r="S53">
            <v>4.1569475087148886</v>
          </cell>
          <cell r="T53">
            <v>5.6567509684797317</v>
          </cell>
          <cell r="U53">
            <v>5.4289813283833865</v>
          </cell>
          <cell r="V53">
            <v>3.5235074071425996</v>
          </cell>
          <cell r="W53">
            <v>2.4352050691170355</v>
          </cell>
          <cell r="X53">
            <v>2.1414388221232086</v>
          </cell>
          <cell r="Y53">
            <v>2.302555021843534</v>
          </cell>
          <cell r="Z53">
            <v>1.4488319999999999</v>
          </cell>
          <cell r="AA53">
            <v>4.2056000000000004</v>
          </cell>
          <cell r="AB53">
            <v>2.5994797107084047</v>
          </cell>
          <cell r="AC53">
            <v>2.6698126381317313</v>
          </cell>
          <cell r="AD53">
            <v>2.4533274635786939</v>
          </cell>
          <cell r="AE53">
            <v>2.3671787571438605</v>
          </cell>
        </row>
        <row r="54">
          <cell r="H54">
            <v>2.1049529227503614</v>
          </cell>
          <cell r="I54">
            <v>0.68002529130110145</v>
          </cell>
          <cell r="J54">
            <v>0.7355691506648977</v>
          </cell>
          <cell r="K54">
            <v>1.2028204856244402</v>
          </cell>
          <cell r="L54">
            <v>0.85863066858321024</v>
          </cell>
          <cell r="M54">
            <v>0.59129169957975791</v>
          </cell>
          <cell r="N54">
            <v>0.45379788377757357</v>
          </cell>
          <cell r="O54">
            <v>0.80365590613912508</v>
          </cell>
          <cell r="P54">
            <v>0.84032851164530364</v>
          </cell>
          <cell r="Q54">
            <v>0.99867403858570003</v>
          </cell>
          <cell r="R54">
            <v>1.1659430052271653</v>
          </cell>
          <cell r="S54">
            <v>1.8728751988922039</v>
          </cell>
          <cell r="T54">
            <v>2.5485981174802896</v>
          </cell>
          <cell r="U54">
            <v>2.4459785609179971</v>
          </cell>
          <cell r="V54">
            <v>1.587484475595518</v>
          </cell>
          <cell r="W54">
            <v>1.0971596751232116</v>
          </cell>
          <cell r="X54">
            <v>0.96480594269985731</v>
          </cell>
          <cell r="Y54">
            <v>1.0373953930028383</v>
          </cell>
          <cell r="Z54">
            <v>0.90551999999999988</v>
          </cell>
          <cell r="AA54">
            <v>2.6284999999999998</v>
          </cell>
          <cell r="AB54">
            <v>1.6246748191927527</v>
          </cell>
          <cell r="AC54">
            <v>1.668632898832332</v>
          </cell>
          <cell r="AD54">
            <v>1.5333296647366834</v>
          </cell>
          <cell r="AE54">
            <v>1.4794867232149127</v>
          </cell>
        </row>
        <row r="55">
          <cell r="H55">
            <v>2.4698905444038184</v>
          </cell>
          <cell r="I55">
            <v>0.79792190066914614</v>
          </cell>
          <cell r="J55">
            <v>0.86309544994885412</v>
          </cell>
          <cell r="K55">
            <v>1.4113545780288896</v>
          </cell>
          <cell r="L55">
            <v>1.0074922562628299</v>
          </cell>
          <cell r="M55">
            <v>0.69380448464771105</v>
          </cell>
          <cell r="N55">
            <v>0.53247323970941751</v>
          </cell>
          <cell r="O55">
            <v>0.94298646875852898</v>
          </cell>
          <cell r="P55">
            <v>0.98601703756574599</v>
          </cell>
          <cell r="Q55">
            <v>1.1718150739549462</v>
          </cell>
          <cell r="R55">
            <v>1.368083614982526</v>
          </cell>
          <cell r="S55">
            <v>2.1975772923929076</v>
          </cell>
          <cell r="T55">
            <v>2.9904509140399775</v>
          </cell>
          <cell r="U55">
            <v>2.8700401106986155</v>
          </cell>
          <cell r="V55">
            <v>1.8627081172618836</v>
          </cell>
          <cell r="W55">
            <v>1.2873752557597529</v>
          </cell>
          <cell r="X55">
            <v>1.1320752351769341</v>
          </cell>
          <cell r="Y55">
            <v>1.2172495851536278</v>
          </cell>
          <cell r="Z55">
            <v>0.23284799999999997</v>
          </cell>
          <cell r="AA55">
            <v>0.67589999999999995</v>
          </cell>
          <cell r="AB55">
            <v>0.41777352493527931</v>
          </cell>
          <cell r="AC55">
            <v>0.42907703112831391</v>
          </cell>
          <cell r="AD55">
            <v>0.39428477093229003</v>
          </cell>
          <cell r="AE55">
            <v>0.38043944311240613</v>
          </cell>
        </row>
        <row r="56">
          <cell r="H56">
            <v>1.1645465043915073</v>
          </cell>
          <cell r="I56">
            <v>1.1001820295846425</v>
          </cell>
          <cell r="J56">
            <v>0.77513011814390298</v>
          </cell>
          <cell r="K56">
            <v>0.68998963836582305</v>
          </cell>
          <cell r="L56">
            <v>0.47628477138962716</v>
          </cell>
          <cell r="M56">
            <v>0.72979317264235954</v>
          </cell>
          <cell r="N56">
            <v>1.1207523315363412</v>
          </cell>
          <cell r="O56">
            <v>1.7296949802124721</v>
          </cell>
          <cell r="P56">
            <v>1.2091017784188862</v>
          </cell>
          <cell r="Q56">
            <v>0.64730626181604856</v>
          </cell>
          <cell r="R56">
            <v>0.79226517966966792</v>
          </cell>
          <cell r="S56">
            <v>1.1545493376429821</v>
          </cell>
          <cell r="T56">
            <v>1.6151595389454148</v>
          </cell>
          <cell r="U56">
            <v>1.1894365697530624</v>
          </cell>
          <cell r="V56">
            <v>1.2257225823958589</v>
          </cell>
          <cell r="W56">
            <v>1.0573849449768578</v>
          </cell>
          <cell r="X56">
            <v>0.72875294390060763</v>
          </cell>
          <cell r="Y56">
            <v>0.92132453975849626</v>
          </cell>
          <cell r="Z56">
            <v>1.6346550000000002</v>
          </cell>
          <cell r="AA56">
            <v>2.0905169999999997</v>
          </cell>
          <cell r="AB56">
            <v>1.7691131441651935</v>
          </cell>
          <cell r="AC56">
            <v>1.7050112905317358</v>
          </cell>
          <cell r="AD56">
            <v>1.6258923167686812</v>
          </cell>
          <cell r="AE56">
            <v>1.7031142550524103</v>
          </cell>
        </row>
        <row r="57">
          <cell r="H57">
            <v>2.1508979819924536</v>
          </cell>
          <cell r="I57">
            <v>2.0320178699041631</v>
          </cell>
          <cell r="J57">
            <v>1.4316524077056443</v>
          </cell>
          <cell r="K57">
            <v>1.2743993607470525</v>
          </cell>
          <cell r="L57">
            <v>0.87969003365045617</v>
          </cell>
          <cell r="M57">
            <v>1.3479158250777785</v>
          </cell>
          <cell r="N57">
            <v>2.0700108747262438</v>
          </cell>
          <cell r="O57">
            <v>3.1947177964742988</v>
          </cell>
          <cell r="P57">
            <v>2.2331908304370804</v>
          </cell>
          <cell r="Q57">
            <v>1.195563875741235</v>
          </cell>
          <cell r="R57">
            <v>1.4633005807224375</v>
          </cell>
          <cell r="S57">
            <v>2.1324333816489229</v>
          </cell>
          <cell r="T57">
            <v>2.983172745624953</v>
          </cell>
          <cell r="U57">
            <v>2.1968695178271713</v>
          </cell>
          <cell r="V57">
            <v>2.2638891783333217</v>
          </cell>
          <cell r="W57">
            <v>1.9529723680105797</v>
          </cell>
          <cell r="X57">
            <v>1.3459945399311508</v>
          </cell>
          <cell r="Y57">
            <v>1.701671067538973</v>
          </cell>
          <cell r="Z57">
            <v>0.59441999999999995</v>
          </cell>
          <cell r="AA57">
            <v>0.76018799999999986</v>
          </cell>
          <cell r="AB57">
            <v>0.64331387060552492</v>
          </cell>
          <cell r="AC57">
            <v>0.62000410564790387</v>
          </cell>
          <cell r="AD57">
            <v>0.59123356973406582</v>
          </cell>
          <cell r="AE57">
            <v>0.61931427456451282</v>
          </cell>
        </row>
        <row r="58">
          <cell r="H58">
            <v>0.53772449549811341</v>
          </cell>
          <cell r="I58">
            <v>0.50800446747604078</v>
          </cell>
          <cell r="J58">
            <v>0.35791310192641107</v>
          </cell>
          <cell r="K58">
            <v>0.31859984018676313</v>
          </cell>
          <cell r="L58">
            <v>0.21992250841261404</v>
          </cell>
          <cell r="M58">
            <v>0.33697895626944463</v>
          </cell>
          <cell r="N58">
            <v>0.51750271868156095</v>
          </cell>
          <cell r="O58">
            <v>0.79867944911857469</v>
          </cell>
          <cell r="P58">
            <v>0.55829770760927011</v>
          </cell>
          <cell r="Q58">
            <v>0.29889096893530875</v>
          </cell>
          <cell r="R58">
            <v>0.36582514518060938</v>
          </cell>
          <cell r="S58">
            <v>0.53310834541223073</v>
          </cell>
          <cell r="T58">
            <v>0.74579318640623826</v>
          </cell>
          <cell r="U58">
            <v>0.54921737945679283</v>
          </cell>
          <cell r="V58">
            <v>0.56597229458333043</v>
          </cell>
          <cell r="W58">
            <v>0.48824309200264493</v>
          </cell>
          <cell r="X58">
            <v>0.3364986349827877</v>
          </cell>
          <cell r="Y58">
            <v>0.42541776688474325</v>
          </cell>
          <cell r="Z58">
            <v>2.1300050000000001</v>
          </cell>
          <cell r="AA58">
            <v>2.7240069999999998</v>
          </cell>
          <cell r="AB58">
            <v>2.305208036336464</v>
          </cell>
          <cell r="AC58">
            <v>2.2216813785716556</v>
          </cell>
          <cell r="AD58">
            <v>2.118586958213736</v>
          </cell>
          <cell r="AE58">
            <v>2.2192094838561709</v>
          </cell>
        </row>
        <row r="59">
          <cell r="H59">
            <v>1.0381942181179253</v>
          </cell>
          <cell r="I59">
            <v>0.980813233035153</v>
          </cell>
          <cell r="J59">
            <v>0.69102917222404159</v>
          </cell>
          <cell r="K59">
            <v>0.61512636070036175</v>
          </cell>
          <cell r="L59">
            <v>0.42460828654730265</v>
          </cell>
          <cell r="M59">
            <v>0.65061124601041742</v>
          </cell>
          <cell r="N59">
            <v>0.99915167505585367</v>
          </cell>
          <cell r="O59">
            <v>1.542024574194655</v>
          </cell>
          <cell r="P59">
            <v>1.077915283534763</v>
          </cell>
          <cell r="Q59">
            <v>0.57707409350740779</v>
          </cell>
          <cell r="R59">
            <v>0.70630509442728517</v>
          </cell>
          <cell r="S59">
            <v>1.029281735295865</v>
          </cell>
          <cell r="T59">
            <v>1.4399161290233935</v>
          </cell>
          <cell r="U59">
            <v>1.0603837329629731</v>
          </cell>
          <cell r="V59">
            <v>1.092732744687489</v>
          </cell>
          <cell r="W59">
            <v>0.94265959500991836</v>
          </cell>
          <cell r="X59">
            <v>0.64968388118545384</v>
          </cell>
          <cell r="Y59">
            <v>0.82136162581778727</v>
          </cell>
          <cell r="Z59">
            <v>0.59441999999999995</v>
          </cell>
          <cell r="AA59">
            <v>0.76018799999999986</v>
          </cell>
          <cell r="AB59">
            <v>0.64331387060552492</v>
          </cell>
          <cell r="AC59">
            <v>0.62000410564790387</v>
          </cell>
          <cell r="AD59">
            <v>0.59123356973406582</v>
          </cell>
          <cell r="AE59">
            <v>0.61931427456451282</v>
          </cell>
        </row>
        <row r="60">
          <cell r="H60">
            <v>1.6924380000000001</v>
          </cell>
          <cell r="I60">
            <v>1.484802</v>
          </cell>
          <cell r="J60">
            <v>2.0873819999999998</v>
          </cell>
          <cell r="K60">
            <v>2.0856660000000002</v>
          </cell>
          <cell r="L60">
            <v>2.3110560000000002</v>
          </cell>
          <cell r="M60">
            <v>3.1661519999999999</v>
          </cell>
          <cell r="N60">
            <v>2.39778</v>
          </cell>
          <cell r="O60">
            <v>1.4201721599999999</v>
          </cell>
          <cell r="P60">
            <v>2.9824739999999998</v>
          </cell>
          <cell r="Q60">
            <v>1.9324140000000003</v>
          </cell>
          <cell r="R60">
            <v>1.907796</v>
          </cell>
          <cell r="S60">
            <v>2.3078220000000003</v>
          </cell>
          <cell r="T60">
            <v>2.4817980000000004</v>
          </cell>
          <cell r="U60">
            <v>2.3626019999999999</v>
          </cell>
          <cell r="V60">
            <v>2.16249</v>
          </cell>
          <cell r="W60">
            <v>2.6243000000000003</v>
          </cell>
          <cell r="X60">
            <v>3.7761</v>
          </cell>
          <cell r="Y60">
            <v>2.5621999999999998</v>
          </cell>
          <cell r="Z60">
            <v>3.0191999999999997</v>
          </cell>
          <cell r="AA60">
            <v>2.9931000000000001</v>
          </cell>
          <cell r="AB60">
            <v>2.8918301090794269</v>
          </cell>
          <cell r="AC60">
            <v>3.782360064278282</v>
          </cell>
          <cell r="AD60">
            <v>3.4705377413257055</v>
          </cell>
          <cell r="AE60">
            <v>3.2160116321090824</v>
          </cell>
        </row>
        <row r="61">
          <cell r="H61">
            <v>0.87186200000000003</v>
          </cell>
          <cell r="I61">
            <v>0.76489800000000008</v>
          </cell>
          <cell r="J61">
            <v>1.075318</v>
          </cell>
          <cell r="K61">
            <v>1.0744339999999999</v>
          </cell>
          <cell r="L61">
            <v>1.190544</v>
          </cell>
          <cell r="M61">
            <v>1.6310480000000001</v>
          </cell>
          <cell r="N61">
            <v>1.23522</v>
          </cell>
          <cell r="O61">
            <v>0.73160384000000001</v>
          </cell>
          <cell r="P61">
            <v>1.5364259999999998</v>
          </cell>
          <cell r="Q61">
            <v>0.99548600000000009</v>
          </cell>
          <cell r="R61">
            <v>0.98280400000000012</v>
          </cell>
          <cell r="S61">
            <v>1.1888779999999999</v>
          </cell>
          <cell r="T61">
            <v>1.2785020000000002</v>
          </cell>
          <cell r="U61">
            <v>1.217098</v>
          </cell>
          <cell r="V61">
            <v>1.1140099999999999</v>
          </cell>
          <cell r="W61">
            <v>1.2012</v>
          </cell>
          <cell r="X61">
            <v>1.5534000000000001</v>
          </cell>
          <cell r="Y61">
            <v>0.81710000000000005</v>
          </cell>
          <cell r="Z61">
            <v>1.2970999999999999</v>
          </cell>
          <cell r="AA61">
            <v>1.4250999999999998</v>
          </cell>
          <cell r="AB61">
            <v>1.3376018689940781</v>
          </cell>
          <cell r="AC61">
            <v>1.4693053926132156</v>
          </cell>
          <cell r="AD61">
            <v>1.3354667382339562</v>
          </cell>
          <cell r="AE61">
            <v>1.249250206816515</v>
          </cell>
        </row>
        <row r="62">
          <cell r="H62">
            <v>5.2438000000000002</v>
          </cell>
          <cell r="I62">
            <v>3.0779999999999998</v>
          </cell>
          <cell r="J62">
            <v>3.5724999999999998</v>
          </cell>
          <cell r="K62">
            <v>4.5848000000000004</v>
          </cell>
          <cell r="L62">
            <v>3.4581999999999997</v>
          </cell>
          <cell r="M62">
            <v>3.2988000000000004</v>
          </cell>
          <cell r="N62">
            <v>3.1168</v>
          </cell>
          <cell r="O62">
            <v>3.8371</v>
          </cell>
          <cell r="P62">
            <v>5.0454999999999997</v>
          </cell>
          <cell r="Q62">
            <v>6.3580129999999997</v>
          </cell>
          <cell r="R62">
            <v>4.7816999999999998</v>
          </cell>
          <cell r="S62">
            <v>6.0843999999999996</v>
          </cell>
          <cell r="T62">
            <v>5.7608000000000006</v>
          </cell>
          <cell r="U62">
            <v>5.1916000000000002</v>
          </cell>
          <cell r="V62">
            <v>6.0718000000000005</v>
          </cell>
          <cell r="W62">
            <v>2.7429000000000001</v>
          </cell>
          <cell r="X62">
            <v>4.8205</v>
          </cell>
          <cell r="Y62">
            <v>3.1579999999999999</v>
          </cell>
          <cell r="Z62">
            <v>4.7521000000000004</v>
          </cell>
          <cell r="AA62">
            <v>4.5863000000000005</v>
          </cell>
          <cell r="AB62">
            <v>4.2521218800000069</v>
          </cell>
          <cell r="AC62">
            <v>4.1643903399999962</v>
          </cell>
          <cell r="AD62">
            <v>4.2213762000000035</v>
          </cell>
          <cell r="AE62">
            <v>4.5285378099999987</v>
          </cell>
        </row>
        <row r="63">
          <cell r="H63">
            <v>0.5481317139383739</v>
          </cell>
          <cell r="I63">
            <v>0.5178364790468617</v>
          </cell>
          <cell r="J63">
            <v>0.36484021769957081</v>
          </cell>
          <cell r="K63">
            <v>0.32476607988686124</v>
          </cell>
          <cell r="L63">
            <v>0.22417892894792907</v>
          </cell>
          <cell r="M63">
            <v>0.34350090875073974</v>
          </cell>
          <cell r="N63">
            <v>0.52751856114705731</v>
          </cell>
          <cell r="O63">
            <v>0.81413723755914813</v>
          </cell>
          <cell r="P63">
            <v>0.56910310376739748</v>
          </cell>
          <cell r="Q63">
            <v>0.30467575952895537</v>
          </cell>
          <cell r="R63">
            <v>0.37290539208903378</v>
          </cell>
          <cell r="S63">
            <v>0.54342622203767876</v>
          </cell>
          <cell r="T63">
            <v>0.76022740442525871</v>
          </cell>
          <cell r="U63">
            <v>0.55984703327961061</v>
          </cell>
          <cell r="V63">
            <v>0.57692622610435551</v>
          </cell>
          <cell r="W63">
            <v>0.37201976634398637</v>
          </cell>
          <cell r="X63">
            <v>0.26963174813441793</v>
          </cell>
          <cell r="Y63">
            <v>0.34990048025184839</v>
          </cell>
          <cell r="Z63">
            <v>0.25180000000000002</v>
          </cell>
          <cell r="AA63">
            <v>0.24840000000000001</v>
          </cell>
          <cell r="AB63">
            <v>0.2696633082872934</v>
          </cell>
          <cell r="AC63">
            <v>0.33187896960079466</v>
          </cell>
          <cell r="AD63">
            <v>0.24932755554944439</v>
          </cell>
          <cell r="AE63">
            <v>0.2462404319623952</v>
          </cell>
        </row>
        <row r="64">
          <cell r="H64">
            <v>0.22180508606162622</v>
          </cell>
          <cell r="I64">
            <v>0.20954592095313826</v>
          </cell>
          <cell r="J64">
            <v>0.14763498230042921</v>
          </cell>
          <cell r="K64">
            <v>0.13141872011313882</v>
          </cell>
          <cell r="L64">
            <v>9.0715471052070965E-2</v>
          </cell>
          <cell r="M64">
            <v>0.13899989124926035</v>
          </cell>
          <cell r="N64">
            <v>0.21346383885294262</v>
          </cell>
          <cell r="O64">
            <v>0.32944596244085222</v>
          </cell>
          <cell r="P64">
            <v>0.23029129623260253</v>
          </cell>
          <cell r="Q64">
            <v>0.12328904047104472</v>
          </cell>
          <cell r="R64">
            <v>0.15089860791096629</v>
          </cell>
          <cell r="S64">
            <v>0.2199009779623213</v>
          </cell>
          <cell r="T64">
            <v>0.30763099557474127</v>
          </cell>
          <cell r="U64">
            <v>0.22654576672038956</v>
          </cell>
          <cell r="V64">
            <v>0.23345697389564446</v>
          </cell>
          <cell r="W64">
            <v>0.15054023365601354</v>
          </cell>
          <cell r="X64">
            <v>0.1091082518655821</v>
          </cell>
          <cell r="Y64">
            <v>0.14158951974815162</v>
          </cell>
          <cell r="Z64">
            <v>0.25180000000000002</v>
          </cell>
          <cell r="AA64">
            <v>0.24840000000000001</v>
          </cell>
          <cell r="AB64">
            <v>0.2696633082872934</v>
          </cell>
          <cell r="AC64">
            <v>0.33187896960079466</v>
          </cell>
          <cell r="AD64">
            <v>0.24932755554944439</v>
          </cell>
          <cell r="AE64">
            <v>0.2462404319623952</v>
          </cell>
        </row>
        <row r="65">
          <cell r="H65">
            <v>0.23799999999999999</v>
          </cell>
          <cell r="I65">
            <v>0.17499999999999999</v>
          </cell>
          <cell r="J65">
            <v>0.22190000000000001</v>
          </cell>
          <cell r="K65">
            <v>0.18659999999999999</v>
          </cell>
          <cell r="L65">
            <v>0.33439999999999998</v>
          </cell>
          <cell r="M65">
            <v>0.22409999999999999</v>
          </cell>
          <cell r="N65">
            <v>0.1966</v>
          </cell>
          <cell r="O65">
            <v>0.28989999999999999</v>
          </cell>
          <cell r="P65">
            <v>0.19939999999999999</v>
          </cell>
          <cell r="Q65">
            <v>0.25030000000000002</v>
          </cell>
          <cell r="R65">
            <v>0.33189999999999997</v>
          </cell>
          <cell r="S65">
            <v>0.25900000000000001</v>
          </cell>
          <cell r="T65">
            <v>0.33539999999999998</v>
          </cell>
          <cell r="U65">
            <v>0.30019999999999997</v>
          </cell>
          <cell r="V65">
            <v>0.20430000000000001</v>
          </cell>
          <cell r="W65">
            <v>0.76816319999999993</v>
          </cell>
          <cell r="X65">
            <v>0.55674780000000001</v>
          </cell>
          <cell r="Y65">
            <v>0.72249029999999992</v>
          </cell>
          <cell r="Z65">
            <v>4.9535</v>
          </cell>
          <cell r="AA65">
            <v>6.3348999999999993</v>
          </cell>
          <cell r="AB65">
            <v>5.3609489217127075</v>
          </cell>
          <cell r="AC65">
            <v>5.1667008803991994</v>
          </cell>
          <cell r="AD65">
            <v>4.9269464144505486</v>
          </cell>
          <cell r="AE65">
            <v>5.1609522880376071</v>
          </cell>
        </row>
        <row r="66">
          <cell r="H66">
            <v>0.61850000000000005</v>
          </cell>
          <cell r="I66">
            <v>2.2084999999999999</v>
          </cell>
          <cell r="J66">
            <v>1.4847000000000001</v>
          </cell>
          <cell r="K66">
            <v>0.95320000000000005</v>
          </cell>
          <cell r="L66">
            <v>0.90810000000000002</v>
          </cell>
          <cell r="M66">
            <v>0.42230000000000001</v>
          </cell>
          <cell r="N66">
            <v>0.60639999999999994</v>
          </cell>
          <cell r="O66">
            <v>0.6167999999999999</v>
          </cell>
          <cell r="P66">
            <v>1.0635999999999999</v>
          </cell>
          <cell r="Q66">
            <v>1.0459000000000001</v>
          </cell>
          <cell r="R66">
            <v>2.0405000000000002</v>
          </cell>
          <cell r="S66">
            <v>2.3144</v>
          </cell>
          <cell r="T66">
            <v>1.7478</v>
          </cell>
          <cell r="U66">
            <v>1.9861</v>
          </cell>
          <cell r="V66">
            <v>1.1522000000000001</v>
          </cell>
          <cell r="W66">
            <v>0.38150000000000001</v>
          </cell>
          <cell r="X66">
            <v>0.92549999999999999</v>
          </cell>
          <cell r="Y66">
            <v>1.1422999999999999</v>
          </cell>
          <cell r="Z66">
            <v>1.5630999999999999</v>
          </cell>
          <cell r="AA66">
            <v>1.7925</v>
          </cell>
          <cell r="AB66">
            <v>1.7621433593581584</v>
          </cell>
          <cell r="AC66">
            <v>1.4336343163011998</v>
          </cell>
          <cell r="AD66">
            <v>1.3691762784064214</v>
          </cell>
          <cell r="AE66">
            <v>1.5800612145564872</v>
          </cell>
        </row>
        <row r="67">
          <cell r="H67">
            <v>0.43003140000000001</v>
          </cell>
          <cell r="I67">
            <v>0.38538420000000001</v>
          </cell>
          <cell r="J67">
            <v>0.66239400000000004</v>
          </cell>
          <cell r="K67">
            <v>0.43521479999999996</v>
          </cell>
          <cell r="L67">
            <v>0.36477779999999993</v>
          </cell>
          <cell r="M67">
            <v>0.67629059999999996</v>
          </cell>
          <cell r="N67">
            <v>0.52988339999999989</v>
          </cell>
          <cell r="O67">
            <v>0.50167679999999992</v>
          </cell>
          <cell r="P67">
            <v>0.38506620000000003</v>
          </cell>
          <cell r="Q67">
            <v>0.32744460000000003</v>
          </cell>
          <cell r="R67">
            <v>0.54336660000000003</v>
          </cell>
          <cell r="S67">
            <v>0.64827480000000004</v>
          </cell>
          <cell r="T67">
            <v>0.97781820000000008</v>
          </cell>
          <cell r="U67">
            <v>0.78724080000000007</v>
          </cell>
          <cell r="V67">
            <v>0.68166479999999996</v>
          </cell>
          <cell r="W67">
            <v>0.47345219999999999</v>
          </cell>
          <cell r="X67">
            <v>0.48302279999999997</v>
          </cell>
          <cell r="Y67">
            <v>0.4790682</v>
          </cell>
          <cell r="Z67">
            <v>3.056</v>
          </cell>
          <cell r="AA67">
            <v>2.3259000000000003</v>
          </cell>
          <cell r="AB67">
            <v>2.0441822700000003</v>
          </cell>
          <cell r="AC67">
            <v>2.0585218499999991</v>
          </cell>
          <cell r="AD67">
            <v>2.2333007499999997</v>
          </cell>
          <cell r="AE67">
            <v>2.33822785</v>
          </cell>
        </row>
        <row r="68">
          <cell r="H68">
            <v>0.92226859999999999</v>
          </cell>
          <cell r="I68">
            <v>0.82651580000000013</v>
          </cell>
          <cell r="J68">
            <v>1.420606</v>
          </cell>
          <cell r="K68">
            <v>0.93338520000000003</v>
          </cell>
          <cell r="L68">
            <v>0.78232219999999997</v>
          </cell>
          <cell r="M68">
            <v>1.4504094000000001</v>
          </cell>
          <cell r="N68">
            <v>1.1364166</v>
          </cell>
          <cell r="O68">
            <v>1.0759231999999999</v>
          </cell>
          <cell r="P68">
            <v>0.82583380000000006</v>
          </cell>
          <cell r="Q68">
            <v>0.70225540000000009</v>
          </cell>
          <cell r="R68">
            <v>1.1653334000000002</v>
          </cell>
          <cell r="S68">
            <v>1.3903251999999999</v>
          </cell>
          <cell r="T68">
            <v>2.0970818000000002</v>
          </cell>
          <cell r="U68">
            <v>1.6883592000000001</v>
          </cell>
          <cell r="V68">
            <v>1.4619352000000001</v>
          </cell>
          <cell r="W68">
            <v>1.5498478</v>
          </cell>
          <cell r="X68">
            <v>1.5811771999999999</v>
          </cell>
          <cell r="Y68">
            <v>1.5682318</v>
          </cell>
          <cell r="Z68">
            <v>3.056</v>
          </cell>
          <cell r="AA68">
            <v>2.3259000000000003</v>
          </cell>
          <cell r="AB68">
            <v>2.0441822700000003</v>
          </cell>
          <cell r="AC68">
            <v>2.0585218499999991</v>
          </cell>
          <cell r="AD68">
            <v>2.2333007499999997</v>
          </cell>
          <cell r="AE68">
            <v>2.33822785</v>
          </cell>
        </row>
        <row r="69">
          <cell r="H69">
            <v>1.112582</v>
          </cell>
          <cell r="I69">
            <v>0.80331799999999998</v>
          </cell>
          <cell r="J69">
            <v>0.79209799999999997</v>
          </cell>
          <cell r="K69">
            <v>1.4170180000000003</v>
          </cell>
          <cell r="L69">
            <v>2.0118140000000002</v>
          </cell>
          <cell r="M69">
            <v>1.9682630600000002</v>
          </cell>
          <cell r="N69">
            <v>1.356931568</v>
          </cell>
          <cell r="O69">
            <v>1.6115660000000003</v>
          </cell>
          <cell r="P69">
            <v>2.0560044800000004</v>
          </cell>
          <cell r="Q69">
            <v>2.2904100000000001</v>
          </cell>
          <cell r="R69">
            <v>2.4596072599999999</v>
          </cell>
          <cell r="S69">
            <v>3.8090502600000002</v>
          </cell>
          <cell r="T69">
            <v>4.7729200000000009</v>
          </cell>
          <cell r="U69">
            <v>4.5525319999999994</v>
          </cell>
          <cell r="V69">
            <v>3.3850400000000009</v>
          </cell>
          <cell r="W69">
            <v>2.8653000000000004</v>
          </cell>
          <cell r="X69">
            <v>1.9470999999999998</v>
          </cell>
          <cell r="Y69">
            <v>3.2425000000000002</v>
          </cell>
          <cell r="Z69">
            <v>1.5354000000000001</v>
          </cell>
          <cell r="AA69">
            <v>1.9370000000000001</v>
          </cell>
          <cell r="AB69">
            <v>2.3703669220352253</v>
          </cell>
          <cell r="AC69">
            <v>1.9890497993605087</v>
          </cell>
          <cell r="AD69">
            <v>2.1600621794832904</v>
          </cell>
          <cell r="AE69">
            <v>2.2621435716444833</v>
          </cell>
        </row>
        <row r="70">
          <cell r="H70">
            <v>2.1597179999999998</v>
          </cell>
          <cell r="I70">
            <v>1.559382</v>
          </cell>
          <cell r="J70">
            <v>1.5376019999999999</v>
          </cell>
          <cell r="K70">
            <v>2.7506820000000007</v>
          </cell>
          <cell r="L70">
            <v>3.9052860000000007</v>
          </cell>
          <cell r="M70">
            <v>3.8207459400000001</v>
          </cell>
          <cell r="N70">
            <v>2.634043632</v>
          </cell>
          <cell r="O70">
            <v>3.1283340000000002</v>
          </cell>
          <cell r="P70">
            <v>3.991067520000001</v>
          </cell>
          <cell r="Q70">
            <v>4.446089999999999</v>
          </cell>
          <cell r="R70">
            <v>4.7745317399999996</v>
          </cell>
          <cell r="S70">
            <v>7.3940387400000001</v>
          </cell>
          <cell r="T70">
            <v>9.2650800000000011</v>
          </cell>
          <cell r="U70">
            <v>8.8372679999999981</v>
          </cell>
          <cell r="V70">
            <v>6.5709600000000021</v>
          </cell>
          <cell r="W70">
            <v>4.5552000000000001</v>
          </cell>
          <cell r="X70">
            <v>5.4093999999999998</v>
          </cell>
          <cell r="Y70">
            <v>5.1186000000000007</v>
          </cell>
          <cell r="Z70">
            <v>1.7812999999999999</v>
          </cell>
          <cell r="AA70">
            <v>2.95</v>
          </cell>
          <cell r="AB70">
            <v>2.2861592609503698</v>
          </cell>
          <cell r="AC70">
            <v>2.5053125556405771</v>
          </cell>
          <cell r="AD70">
            <v>2.4712945670254456</v>
          </cell>
          <cell r="AE70">
            <v>2.4438312461536253</v>
          </cell>
        </row>
        <row r="92">
          <cell r="H92">
            <v>0.41436087365353341</v>
          </cell>
          <cell r="I92">
            <v>0.17461665398690543</v>
          </cell>
          <cell r="J92">
            <v>0.26404705837256015</v>
          </cell>
          <cell r="K92">
            <v>0.26172287837157698</v>
          </cell>
          <cell r="L92">
            <v>0.20771095617481719</v>
          </cell>
          <cell r="M92">
            <v>0.24565572097347629</v>
          </cell>
          <cell r="N92">
            <v>0.38202445624855086</v>
          </cell>
          <cell r="O92">
            <v>0.43265115974822654</v>
          </cell>
          <cell r="P92">
            <v>0.44386785453557986</v>
          </cell>
          <cell r="Q92">
            <v>0.36903936363436263</v>
          </cell>
          <cell r="R92">
            <v>0.5218289358729048</v>
          </cell>
          <cell r="S92">
            <v>0.56649361241353691</v>
          </cell>
          <cell r="T92">
            <v>0.68866463942173628</v>
          </cell>
          <cell r="U92">
            <v>1.031127510001379</v>
          </cell>
          <cell r="V92">
            <v>0.57467876806917317</v>
          </cell>
          <cell r="W92">
            <v>0.49454508368745087</v>
          </cell>
          <cell r="X92">
            <v>0.57525981306941887</v>
          </cell>
          <cell r="Y92">
            <v>0.81019904321227521</v>
          </cell>
          <cell r="Z92">
            <v>0.6358950000000001</v>
          </cell>
          <cell r="AA92">
            <v>0.73733399999999993</v>
          </cell>
          <cell r="AB92">
            <v>0.6518964294875611</v>
          </cell>
          <cell r="AC92">
            <v>0.67716166468748484</v>
          </cell>
          <cell r="AD92">
            <v>0.61357820737900048</v>
          </cell>
          <cell r="AE92">
            <v>0.62155831420158214</v>
          </cell>
        </row>
        <row r="93">
          <cell r="H93">
            <v>0.18668655354200558</v>
          </cell>
          <cell r="I93">
            <v>7.8671958180852486E-2</v>
          </cell>
          <cell r="J93">
            <v>0.11896402009639327</v>
          </cell>
          <cell r="K93">
            <v>0.11791688176412496</v>
          </cell>
          <cell r="L93">
            <v>9.3582297477281418E-2</v>
          </cell>
          <cell r="M93">
            <v>0.11067796894540068</v>
          </cell>
          <cell r="N93">
            <v>0.17211767239740325</v>
          </cell>
          <cell r="O93">
            <v>0.19492707693942124</v>
          </cell>
          <cell r="P93">
            <v>0.19998065758645517</v>
          </cell>
          <cell r="Q93">
            <v>0.1662673560627739</v>
          </cell>
          <cell r="R93">
            <v>0.23510531947101979</v>
          </cell>
          <cell r="S93">
            <v>0.25522858655200176</v>
          </cell>
          <cell r="T93">
            <v>0.31027164062645235</v>
          </cell>
          <cell r="U93">
            <v>0.46456519749850622</v>
          </cell>
          <cell r="V93">
            <v>0.25891633459172925</v>
          </cell>
          <cell r="W93">
            <v>0.22281282600526162</v>
          </cell>
          <cell r="X93">
            <v>0.25917811917479627</v>
          </cell>
          <cell r="Y93">
            <v>0.3650278698533686</v>
          </cell>
          <cell r="Z93">
            <v>0.79894500000000002</v>
          </cell>
          <cell r="AA93">
            <v>0.92639399999999994</v>
          </cell>
          <cell r="AB93">
            <v>0.81904936012539731</v>
          </cell>
          <cell r="AC93">
            <v>0.85079286076119875</v>
          </cell>
          <cell r="AD93">
            <v>0.77090595286079544</v>
          </cell>
          <cell r="AE93">
            <v>0.78093224091993652</v>
          </cell>
        </row>
        <row r="94">
          <cell r="H94">
            <v>0.21905257280446114</v>
          </cell>
          <cell r="I94">
            <v>9.2311387832242131E-2</v>
          </cell>
          <cell r="J94">
            <v>0.13958892153104671</v>
          </cell>
          <cell r="K94">
            <v>0.1383602398642981</v>
          </cell>
          <cell r="L94">
            <v>0.10980674634790144</v>
          </cell>
          <cell r="M94">
            <v>0.12986631008112301</v>
          </cell>
          <cell r="N94">
            <v>0.20195787135404591</v>
          </cell>
          <cell r="O94">
            <v>0.22872176331235222</v>
          </cell>
          <cell r="P94">
            <v>0.234651487877965</v>
          </cell>
          <cell r="Q94">
            <v>0.19509328030286358</v>
          </cell>
          <cell r="R94">
            <v>0.27586574465607538</v>
          </cell>
          <cell r="S94">
            <v>0.29947780103446142</v>
          </cell>
          <cell r="T94">
            <v>0.36406371995181136</v>
          </cell>
          <cell r="U94">
            <v>0.54510729250011491</v>
          </cell>
          <cell r="V94">
            <v>0.30380489733909782</v>
          </cell>
          <cell r="W94">
            <v>0.2614420903072876</v>
          </cell>
          <cell r="X94">
            <v>0.30411206775578492</v>
          </cell>
          <cell r="Y94">
            <v>0.42831308693435627</v>
          </cell>
          <cell r="Z94">
            <v>0.19566</v>
          </cell>
          <cell r="AA94">
            <v>0.22687199999999996</v>
          </cell>
          <cell r="AB94">
            <v>0.20058351676540342</v>
          </cell>
          <cell r="AC94">
            <v>0.20835743528845685</v>
          </cell>
          <cell r="AD94">
            <v>0.188793294578154</v>
          </cell>
          <cell r="AE94">
            <v>0.19124871206202526</v>
          </cell>
        </row>
        <row r="95">
          <cell r="H95">
            <v>0.16229015911096059</v>
          </cell>
          <cell r="I95">
            <v>0.13689095496788101</v>
          </cell>
          <cell r="J95">
            <v>0.1464880483900218</v>
          </cell>
          <cell r="K95">
            <v>0.12630105877793252</v>
          </cell>
          <cell r="L95">
            <v>5.3578256036020636E-2</v>
          </cell>
          <cell r="M95">
            <v>0.14473409683356164</v>
          </cell>
          <cell r="N95">
            <v>0.20832311411164292</v>
          </cell>
          <cell r="O95">
            <v>0.18181528021117813</v>
          </cell>
          <cell r="P95">
            <v>0.25346254662129836</v>
          </cell>
          <cell r="Q95">
            <v>0.21457777154883126</v>
          </cell>
          <cell r="R95">
            <v>0.21891301030159141</v>
          </cell>
          <cell r="S95">
            <v>0.34506514866435284</v>
          </cell>
          <cell r="T95">
            <v>0.4237613147259075</v>
          </cell>
          <cell r="U95">
            <v>0.29486242203887825</v>
          </cell>
          <cell r="V95">
            <v>0.25132802067051191</v>
          </cell>
          <cell r="W95">
            <v>0.19929265632196788</v>
          </cell>
          <cell r="X95">
            <v>0.28278808334118855</v>
          </cell>
          <cell r="Y95">
            <v>0.28374874501219671</v>
          </cell>
          <cell r="Z95">
            <v>0.38990000000000008</v>
          </cell>
          <cell r="AA95">
            <v>0.61124000000000001</v>
          </cell>
          <cell r="AB95">
            <v>0.48311013099802608</v>
          </cell>
          <cell r="AC95">
            <v>0.44265568341819511</v>
          </cell>
          <cell r="AD95">
            <v>0.44279982054836869</v>
          </cell>
          <cell r="AE95">
            <v>0.46242683685728003</v>
          </cell>
        </row>
        <row r="96">
          <cell r="H96">
            <v>0.29974721869213228</v>
          </cell>
          <cell r="I96">
            <v>0.25283531201468296</v>
          </cell>
          <cell r="J96">
            <v>0.27056098359313285</v>
          </cell>
          <cell r="K96">
            <v>0.23327595027294512</v>
          </cell>
          <cell r="L96">
            <v>9.8958145812104853E-2</v>
          </cell>
          <cell r="M96">
            <v>0.26732146430465759</v>
          </cell>
          <cell r="N96">
            <v>0.38476931926324892</v>
          </cell>
          <cell r="O96">
            <v>0.33580979190346144</v>
          </cell>
          <cell r="P96">
            <v>0.46814109868740644</v>
          </cell>
          <cell r="Q96">
            <v>0.39632156729196283</v>
          </cell>
          <cell r="R96">
            <v>0.40432868100498676</v>
          </cell>
          <cell r="S96">
            <v>0.63732957775343879</v>
          </cell>
          <cell r="T96">
            <v>0.78268008469672801</v>
          </cell>
          <cell r="U96">
            <v>0.54460597849651282</v>
          </cell>
          <cell r="V96">
            <v>0.46419866483633754</v>
          </cell>
          <cell r="W96">
            <v>0.36809021425281468</v>
          </cell>
          <cell r="X96">
            <v>0.52230487618688526</v>
          </cell>
          <cell r="Y96">
            <v>0.52407920228013871</v>
          </cell>
          <cell r="Z96">
            <v>0.18102500000000002</v>
          </cell>
          <cell r="AA96">
            <v>0.28378999999999999</v>
          </cell>
          <cell r="AB96">
            <v>0.22430113224908352</v>
          </cell>
          <cell r="AC96">
            <v>0.20551871015844772</v>
          </cell>
          <cell r="AD96">
            <v>0.20558563096888544</v>
          </cell>
          <cell r="AE96">
            <v>0.21469817425516571</v>
          </cell>
        </row>
        <row r="97">
          <cell r="H97">
            <v>7.4936804673033069E-2</v>
          </cell>
          <cell r="I97">
            <v>6.3208828003670739E-2</v>
          </cell>
          <cell r="J97">
            <v>6.7640245898283213E-2</v>
          </cell>
          <cell r="K97">
            <v>5.831898756823628E-2</v>
          </cell>
          <cell r="L97">
            <v>2.4739536453026213E-2</v>
          </cell>
          <cell r="M97">
            <v>6.6830366076164396E-2</v>
          </cell>
          <cell r="N97">
            <v>9.619232981581223E-2</v>
          </cell>
          <cell r="O97">
            <v>8.395244797586536E-2</v>
          </cell>
          <cell r="P97">
            <v>0.11703527467185161</v>
          </cell>
          <cell r="Q97">
            <v>9.9080391822990707E-2</v>
          </cell>
          <cell r="R97">
            <v>0.10108217025124669</v>
          </cell>
          <cell r="S97">
            <v>0.1593323944383597</v>
          </cell>
          <cell r="T97">
            <v>0.195670021174182</v>
          </cell>
          <cell r="U97">
            <v>0.13615149462412821</v>
          </cell>
          <cell r="V97">
            <v>0.11604966620908438</v>
          </cell>
          <cell r="W97">
            <v>9.2022553563203671E-2</v>
          </cell>
          <cell r="X97">
            <v>0.13057621904672131</v>
          </cell>
          <cell r="Y97">
            <v>0.13101980057003468</v>
          </cell>
          <cell r="Z97">
            <v>0.6266250000000001</v>
          </cell>
          <cell r="AA97">
            <v>0.98234999999999995</v>
          </cell>
          <cell r="AB97">
            <v>0.77642699624682754</v>
          </cell>
          <cell r="AC97">
            <v>0.71141091977924209</v>
          </cell>
          <cell r="AD97">
            <v>0.71164256873844955</v>
          </cell>
          <cell r="AE97">
            <v>0.74318598780634293</v>
          </cell>
        </row>
        <row r="98">
          <cell r="H98">
            <v>0.14468181752387402</v>
          </cell>
          <cell r="I98">
            <v>0.12203840501376527</v>
          </cell>
          <cell r="J98">
            <v>0.13059422211856206</v>
          </cell>
          <cell r="K98">
            <v>0.11259750338088605</v>
          </cell>
          <cell r="L98">
            <v>4.7765061698848296E-2</v>
          </cell>
          <cell r="M98">
            <v>0.12903057278561647</v>
          </cell>
          <cell r="N98">
            <v>0.18572023680929586</v>
          </cell>
          <cell r="O98">
            <v>0.1620884799094951</v>
          </cell>
          <cell r="P98">
            <v>0.22596208001944354</v>
          </cell>
          <cell r="Q98">
            <v>0.19129626933621519</v>
          </cell>
          <cell r="R98">
            <v>0.19516113844217509</v>
          </cell>
          <cell r="S98">
            <v>0.30762587914384881</v>
          </cell>
          <cell r="T98">
            <v>0.37778357940318252</v>
          </cell>
          <cell r="U98">
            <v>0.26287010484048079</v>
          </cell>
          <cell r="V98">
            <v>0.2240591482840664</v>
          </cell>
          <cell r="W98">
            <v>0.17766957586201376</v>
          </cell>
          <cell r="X98">
            <v>0.25210582142520493</v>
          </cell>
          <cell r="Y98">
            <v>0.25296225213763002</v>
          </cell>
          <cell r="Z98">
            <v>0.19495000000000004</v>
          </cell>
          <cell r="AA98">
            <v>0.30562</v>
          </cell>
          <cell r="AB98">
            <v>0.24155506549901304</v>
          </cell>
          <cell r="AC98">
            <v>0.22132784170909756</v>
          </cell>
          <cell r="AD98">
            <v>0.22139991027418435</v>
          </cell>
          <cell r="AE98">
            <v>0.23121341842864002</v>
          </cell>
        </row>
        <row r="99">
          <cell r="H99">
            <v>0.18433800000000003</v>
          </cell>
          <cell r="I99">
            <v>0.206844</v>
          </cell>
          <cell r="J99">
            <v>0.137214</v>
          </cell>
          <cell r="K99">
            <v>0.61676999999999993</v>
          </cell>
          <cell r="L99">
            <v>0.68554199999999998</v>
          </cell>
          <cell r="M99">
            <v>0.40642800000000001</v>
          </cell>
          <cell r="N99">
            <v>0.53598599999999996</v>
          </cell>
          <cell r="O99">
            <v>1.033296</v>
          </cell>
          <cell r="P99">
            <v>0.77985599999999999</v>
          </cell>
          <cell r="Q99">
            <v>0.64818600000000004</v>
          </cell>
          <cell r="R99">
            <v>0.78117599999999998</v>
          </cell>
          <cell r="S99">
            <v>0.39857400000000004</v>
          </cell>
          <cell r="T99">
            <v>0.61709999999999998</v>
          </cell>
          <cell r="U99">
            <v>0.37732200000000005</v>
          </cell>
          <cell r="V99">
            <v>0.84011400000000014</v>
          </cell>
          <cell r="W99">
            <v>0.93320000000000003</v>
          </cell>
          <cell r="X99">
            <v>1.1757</v>
          </cell>
          <cell r="Y99">
            <v>0.60420000000000007</v>
          </cell>
          <cell r="Z99">
            <v>0.75339999999999996</v>
          </cell>
          <cell r="AA99">
            <v>1.5335999999999999</v>
          </cell>
          <cell r="AB99">
            <v>1.2076663465344608</v>
          </cell>
          <cell r="AC99">
            <v>0.88413198109065294</v>
          </cell>
          <cell r="AD99">
            <v>0.97240838928959727</v>
          </cell>
          <cell r="AE99">
            <v>1.0165069098294888</v>
          </cell>
        </row>
        <row r="100">
          <cell r="H100">
            <v>9.4962000000000019E-2</v>
          </cell>
          <cell r="I100">
            <v>0.106556</v>
          </cell>
          <cell r="J100">
            <v>7.0686000000000013E-2</v>
          </cell>
          <cell r="K100">
            <v>0.31773000000000001</v>
          </cell>
          <cell r="L100">
            <v>0.35315800000000003</v>
          </cell>
          <cell r="M100">
            <v>0.20937199999999997</v>
          </cell>
          <cell r="N100">
            <v>0.27611400000000003</v>
          </cell>
          <cell r="O100">
            <v>0.532304</v>
          </cell>
          <cell r="P100">
            <v>0.40174399999999999</v>
          </cell>
          <cell r="Q100">
            <v>0.33391400000000004</v>
          </cell>
          <cell r="R100">
            <v>0.402424</v>
          </cell>
          <cell r="S100">
            <v>0.20532599999999998</v>
          </cell>
          <cell r="T100">
            <v>0.31790000000000002</v>
          </cell>
          <cell r="U100">
            <v>0.19437800000000005</v>
          </cell>
          <cell r="V100">
            <v>0.43278600000000006</v>
          </cell>
          <cell r="W100">
            <v>0.53679999999999994</v>
          </cell>
          <cell r="X100">
            <v>0.58729999999999993</v>
          </cell>
          <cell r="Y100">
            <v>0.3029</v>
          </cell>
          <cell r="Z100">
            <v>0.19550000000000001</v>
          </cell>
          <cell r="AA100">
            <v>0.11359999999999999</v>
          </cell>
          <cell r="AB100">
            <v>0.23634605624237559</v>
          </cell>
          <cell r="AC100">
            <v>0.27313452288332429</v>
          </cell>
          <cell r="AD100">
            <v>0.28219361090513184</v>
          </cell>
          <cell r="AE100">
            <v>0.26393138211722167</v>
          </cell>
        </row>
        <row r="101">
          <cell r="H101">
            <v>0.51962010000000003</v>
          </cell>
          <cell r="I101">
            <v>0.2356029</v>
          </cell>
          <cell r="J101">
            <v>0.29530000000000001</v>
          </cell>
          <cell r="K101">
            <v>0.39574090000000001</v>
          </cell>
          <cell r="L101">
            <v>0.68245239999999996</v>
          </cell>
          <cell r="M101">
            <v>0.37956290000000004</v>
          </cell>
          <cell r="N101">
            <v>0.31980000000000003</v>
          </cell>
          <cell r="O101">
            <v>0.7399</v>
          </cell>
          <cell r="P101">
            <v>0.63590000000000002</v>
          </cell>
          <cell r="Q101">
            <v>0.7046</v>
          </cell>
          <cell r="R101">
            <v>0.49339999999999995</v>
          </cell>
          <cell r="S101">
            <v>1.1999000000000002</v>
          </cell>
          <cell r="T101">
            <v>1.5182</v>
          </cell>
          <cell r="U101">
            <v>1.0499000000000001</v>
          </cell>
          <cell r="V101">
            <v>1.0911</v>
          </cell>
          <cell r="W101">
            <v>0.79139999999999999</v>
          </cell>
          <cell r="X101">
            <v>0.41299999999999998</v>
          </cell>
          <cell r="Y101">
            <v>0.74629999999999996</v>
          </cell>
          <cell r="Z101">
            <v>0.95779999999999998</v>
          </cell>
          <cell r="AA101">
            <v>1.0682</v>
          </cell>
          <cell r="AB101">
            <v>0.76954163000000042</v>
          </cell>
          <cell r="AC101">
            <v>0.65636095000000005</v>
          </cell>
          <cell r="AD101">
            <v>0.53005643999999963</v>
          </cell>
          <cell r="AE101">
            <v>0.52549197000000003</v>
          </cell>
        </row>
        <row r="102">
          <cell r="H102">
            <v>0.21296593880742018</v>
          </cell>
          <cell r="I102">
            <v>0.17963572713639753</v>
          </cell>
          <cell r="J102">
            <v>0.19222955304466666</v>
          </cell>
          <cell r="K102">
            <v>0.16573909165141087</v>
          </cell>
          <cell r="L102">
            <v>7.0308290156854247E-2</v>
          </cell>
          <cell r="M102">
            <v>0.18992792279246576</v>
          </cell>
          <cell r="N102">
            <v>0.27337287618122147</v>
          </cell>
          <cell r="O102">
            <v>0.23858786048286421</v>
          </cell>
          <cell r="P102">
            <v>0.33260728493597691</v>
          </cell>
          <cell r="Q102">
            <v>0.28158057651454166</v>
          </cell>
          <cell r="R102">
            <v>0.28726951166620807</v>
          </cell>
          <cell r="S102">
            <v>0.45281318188111136</v>
          </cell>
          <cell r="T102">
            <v>0.55608255432891829</v>
          </cell>
          <cell r="U102">
            <v>0.38693444428509655</v>
          </cell>
          <cell r="V102">
            <v>0.32980624434603434</v>
          </cell>
          <cell r="W102">
            <v>7.7976356796648869E-2</v>
          </cell>
          <cell r="X102">
            <v>0.10613982502339432</v>
          </cell>
          <cell r="Y102">
            <v>0.10925090581588365</v>
          </cell>
          <cell r="Z102">
            <v>0.1041</v>
          </cell>
          <cell r="AA102">
            <v>0.14449999999999999</v>
          </cell>
          <cell r="AB102">
            <v>0.12252214500704957</v>
          </cell>
          <cell r="AC102">
            <v>0.11151282493501802</v>
          </cell>
          <cell r="AD102">
            <v>0.10818632947011167</v>
          </cell>
          <cell r="AE102">
            <v>0.10758392265257145</v>
          </cell>
        </row>
        <row r="103">
          <cell r="H103">
            <v>8.6178061192579855E-2</v>
          </cell>
          <cell r="I103">
            <v>7.2690772863602482E-2</v>
          </cell>
          <cell r="J103">
            <v>7.7786946955333336E-2</v>
          </cell>
          <cell r="K103">
            <v>6.7067408348589097E-2</v>
          </cell>
          <cell r="L103">
            <v>2.8450709843145752E-2</v>
          </cell>
          <cell r="M103">
            <v>7.6855577207534248E-2</v>
          </cell>
          <cell r="N103">
            <v>0.11062212381877858</v>
          </cell>
          <cell r="O103">
            <v>9.6546139517135726E-2</v>
          </cell>
          <cell r="P103">
            <v>0.13459171506402304</v>
          </cell>
          <cell r="Q103">
            <v>0.11394342348545834</v>
          </cell>
          <cell r="R103">
            <v>0.11624548833379195</v>
          </cell>
          <cell r="S103">
            <v>0.18323381811888867</v>
          </cell>
          <cell r="T103">
            <v>0.22502244567108176</v>
          </cell>
          <cell r="U103">
            <v>0.15657555571490342</v>
          </cell>
          <cell r="V103">
            <v>0.13345825565396569</v>
          </cell>
          <cell r="W103">
            <v>3.1553643203351134E-2</v>
          </cell>
          <cell r="X103">
            <v>4.2950174976605679E-2</v>
          </cell>
          <cell r="Y103">
            <v>4.4209094184116358E-2</v>
          </cell>
          <cell r="Z103">
            <v>0.1041</v>
          </cell>
          <cell r="AA103">
            <v>0.14449999999999999</v>
          </cell>
          <cell r="AB103">
            <v>0.12252214500704957</v>
          </cell>
          <cell r="AC103">
            <v>0.11151282493501802</v>
          </cell>
          <cell r="AD103">
            <v>0.10818632947011167</v>
          </cell>
          <cell r="AE103">
            <v>0.10758392265257145</v>
          </cell>
        </row>
        <row r="104">
          <cell r="H104">
            <v>8.6474074074074148E-2</v>
          </cell>
          <cell r="I104">
            <v>8.6474074074074037E-2</v>
          </cell>
          <cell r="J104">
            <v>8.6474074074074148E-2</v>
          </cell>
          <cell r="K104">
            <v>8.6474074074074148E-2</v>
          </cell>
          <cell r="L104">
            <v>8.6474074074073926E-2</v>
          </cell>
          <cell r="M104">
            <v>8.6474074074074148E-2</v>
          </cell>
          <cell r="N104">
            <v>8.6474074074074148E-2</v>
          </cell>
          <cell r="O104">
            <v>8.6474074074073926E-2</v>
          </cell>
          <cell r="P104">
            <v>8.6474074074074148E-2</v>
          </cell>
          <cell r="Q104">
            <v>8.6474074074074148E-2</v>
          </cell>
          <cell r="R104">
            <v>8.6474074074073926E-2</v>
          </cell>
          <cell r="S104">
            <v>8.6474074074074148E-2</v>
          </cell>
          <cell r="T104">
            <v>8.6474074074074148E-2</v>
          </cell>
          <cell r="U104">
            <v>8.6474074074073926E-2</v>
          </cell>
          <cell r="V104">
            <v>8.6474074074073926E-2</v>
          </cell>
          <cell r="W104">
            <v>8.647407407407437E-2</v>
          </cell>
          <cell r="X104">
            <v>8.6474074074073926E-2</v>
          </cell>
          <cell r="Y104">
            <v>8.647407407407437E-2</v>
          </cell>
          <cell r="Z104">
            <v>8.6474074074073926E-2</v>
          </cell>
          <cell r="AA104">
            <v>8.6474074074073926E-2</v>
          </cell>
          <cell r="AB104">
            <v>8.6474074074073926E-2</v>
          </cell>
          <cell r="AC104">
            <v>8.647407407407437E-2</v>
          </cell>
          <cell r="AD104">
            <v>8.6474074074073926E-2</v>
          </cell>
          <cell r="AE104">
            <v>8.647407407407437E-2</v>
          </cell>
        </row>
        <row r="105">
          <cell r="H105">
            <v>0.29699999999999999</v>
          </cell>
          <cell r="I105">
            <v>0.18059999999999998</v>
          </cell>
          <cell r="J105">
            <v>9.4500000000000001E-2</v>
          </cell>
          <cell r="K105">
            <v>0.46850000000000003</v>
          </cell>
          <cell r="L105">
            <v>0.1009</v>
          </cell>
          <cell r="M105">
            <v>0.13689999999999999</v>
          </cell>
          <cell r="N105">
            <v>0.37169999999999997</v>
          </cell>
          <cell r="O105">
            <v>0.29910000000000003</v>
          </cell>
          <cell r="P105">
            <v>0.4612</v>
          </cell>
          <cell r="Q105">
            <v>0.78410000000000002</v>
          </cell>
          <cell r="R105">
            <v>0.1585</v>
          </cell>
          <cell r="S105">
            <v>0.14169999999999999</v>
          </cell>
          <cell r="T105">
            <v>0.24959999999999999</v>
          </cell>
          <cell r="U105">
            <v>0.2296</v>
          </cell>
          <cell r="V105">
            <v>0.22839999999999999</v>
          </cell>
          <cell r="W105">
            <v>0.24010000000000001</v>
          </cell>
          <cell r="X105">
            <v>0.247</v>
          </cell>
          <cell r="Y105">
            <v>0.36219999999999997</v>
          </cell>
          <cell r="Z105">
            <v>0.39089999999999997</v>
          </cell>
          <cell r="AA105">
            <v>0.62470000000000003</v>
          </cell>
          <cell r="AB105">
            <v>0.54312269999999974</v>
          </cell>
          <cell r="AC105">
            <v>0.43204304999999998</v>
          </cell>
          <cell r="AD105">
            <v>0.39338529000000044</v>
          </cell>
          <cell r="AE105">
            <v>0.43886131999999956</v>
          </cell>
        </row>
        <row r="106">
          <cell r="H106">
            <v>9.4114999999999976E-2</v>
          </cell>
          <cell r="I106">
            <v>3.5979999999999998E-2</v>
          </cell>
          <cell r="J106">
            <v>4.9454999999999999E-2</v>
          </cell>
          <cell r="K106">
            <v>1.6729999999999998E-2</v>
          </cell>
          <cell r="L106">
            <v>8.9494999999999991E-2</v>
          </cell>
          <cell r="M106">
            <v>0.18592000000000003</v>
          </cell>
          <cell r="N106">
            <v>0.22197</v>
          </cell>
          <cell r="O106">
            <v>6.1249999999999999E-2</v>
          </cell>
          <cell r="P106">
            <v>0.23075499999999996</v>
          </cell>
          <cell r="Q106">
            <v>0.19785499999999995</v>
          </cell>
          <cell r="R106">
            <v>0.15771000000000002</v>
          </cell>
          <cell r="S106">
            <v>0.15168999999999996</v>
          </cell>
          <cell r="T106">
            <v>0.16621499999999997</v>
          </cell>
          <cell r="U106">
            <v>0.24384500000000001</v>
          </cell>
          <cell r="V106">
            <v>0.190085</v>
          </cell>
          <cell r="W106">
            <v>0.16197999999999999</v>
          </cell>
          <cell r="X106">
            <v>0.14038499999999998</v>
          </cell>
          <cell r="Y106">
            <v>0.31633</v>
          </cell>
          <cell r="Z106">
            <v>0.6502</v>
          </cell>
          <cell r="AA106">
            <v>0.64700000000000002</v>
          </cell>
          <cell r="AB106">
            <v>0.45748749999999927</v>
          </cell>
          <cell r="AC106">
            <v>0.5602725700000003</v>
          </cell>
          <cell r="AD106">
            <v>0.47068721000000047</v>
          </cell>
          <cell r="AE106">
            <v>0.54478340999999997</v>
          </cell>
        </row>
        <row r="107">
          <cell r="H107">
            <v>0.174785</v>
          </cell>
          <cell r="I107">
            <v>6.6820000000000004E-2</v>
          </cell>
          <cell r="J107">
            <v>9.184500000000001E-2</v>
          </cell>
          <cell r="K107">
            <v>3.107E-2</v>
          </cell>
          <cell r="L107">
            <v>0.16620499999999999</v>
          </cell>
          <cell r="M107">
            <v>0.34528000000000003</v>
          </cell>
          <cell r="N107">
            <v>0.41223000000000004</v>
          </cell>
          <cell r="O107">
            <v>0.11375</v>
          </cell>
          <cell r="P107">
            <v>0.42854499999999995</v>
          </cell>
          <cell r="Q107">
            <v>0.36744499999999997</v>
          </cell>
          <cell r="R107">
            <v>0.29289000000000004</v>
          </cell>
          <cell r="S107">
            <v>0.28170999999999996</v>
          </cell>
          <cell r="T107">
            <v>0.30868499999999999</v>
          </cell>
          <cell r="U107">
            <v>0.45285500000000001</v>
          </cell>
          <cell r="V107">
            <v>0.35301500000000002</v>
          </cell>
          <cell r="W107">
            <v>0.35450480000000001</v>
          </cell>
          <cell r="X107">
            <v>0.30724260000000003</v>
          </cell>
          <cell r="Y107">
            <v>0.6923108</v>
          </cell>
          <cell r="Z107">
            <v>0.6502</v>
          </cell>
          <cell r="AA107">
            <v>0.64700000000000002</v>
          </cell>
          <cell r="AB107">
            <v>0.45748749999999927</v>
          </cell>
          <cell r="AC107">
            <v>0.5602725700000003</v>
          </cell>
          <cell r="AD107">
            <v>0.47068721000000047</v>
          </cell>
          <cell r="AE107">
            <v>0.54478340999999997</v>
          </cell>
        </row>
        <row r="108">
          <cell r="H108">
            <v>0.16187400000000002</v>
          </cell>
          <cell r="I108">
            <v>0.40232200000000001</v>
          </cell>
          <cell r="J108">
            <v>0.21423400000000004</v>
          </cell>
          <cell r="K108">
            <v>0.16636200000000001</v>
          </cell>
          <cell r="L108">
            <v>0.14161000000000001</v>
          </cell>
          <cell r="M108">
            <v>0.21616506400000002</v>
          </cell>
          <cell r="N108">
            <v>0.43234400000000001</v>
          </cell>
          <cell r="O108">
            <v>0.29482056200000006</v>
          </cell>
          <cell r="P108">
            <v>0.20296021200000003</v>
          </cell>
          <cell r="Q108">
            <v>0.39565800000000001</v>
          </cell>
          <cell r="R108">
            <v>0.36665600000000004</v>
          </cell>
          <cell r="S108">
            <v>0.54201909199999998</v>
          </cell>
          <cell r="T108">
            <v>0.55654331400000001</v>
          </cell>
          <cell r="U108">
            <v>0.70082122600000007</v>
          </cell>
          <cell r="V108">
            <v>0.47504799999999997</v>
          </cell>
          <cell r="W108">
            <v>0.35580000000000001</v>
          </cell>
          <cell r="X108">
            <v>0.66449999999999998</v>
          </cell>
          <cell r="Y108">
            <v>1.038</v>
          </cell>
          <cell r="Z108">
            <v>0.46650000000000003</v>
          </cell>
          <cell r="AA108">
            <v>0.95889999999999997</v>
          </cell>
          <cell r="AB108">
            <v>0.46645769387703823</v>
          </cell>
          <cell r="AC108">
            <v>0.49047162329837557</v>
          </cell>
          <cell r="AD108">
            <v>0.51237945405876495</v>
          </cell>
          <cell r="AE108">
            <v>0.52849590625857834</v>
          </cell>
        </row>
        <row r="109">
          <cell r="H109">
            <v>0.31422600000000006</v>
          </cell>
          <cell r="I109">
            <v>1.1833</v>
          </cell>
          <cell r="J109">
            <v>0.63009999999999999</v>
          </cell>
          <cell r="K109">
            <v>0.48930000000000001</v>
          </cell>
          <cell r="L109">
            <v>0.41649999999999998</v>
          </cell>
          <cell r="M109">
            <v>0.63577960000000011</v>
          </cell>
          <cell r="N109">
            <v>1.2715999999999998</v>
          </cell>
          <cell r="O109">
            <v>0.86711930000000004</v>
          </cell>
          <cell r="P109">
            <v>0.59694180000000008</v>
          </cell>
          <cell r="Q109">
            <v>1.1637</v>
          </cell>
          <cell r="R109">
            <v>1.0784</v>
          </cell>
          <cell r="S109">
            <v>1.5941737999999999</v>
          </cell>
          <cell r="T109">
            <v>1.6368920999999999</v>
          </cell>
          <cell r="U109">
            <v>2.0612388999999998</v>
          </cell>
          <cell r="V109">
            <v>1.3971999999999998</v>
          </cell>
          <cell r="W109">
            <v>1.0427</v>
          </cell>
          <cell r="X109">
            <v>0.80215000000000003</v>
          </cell>
          <cell r="Y109">
            <v>0.2843</v>
          </cell>
          <cell r="Z109">
            <v>0.34749999999999998</v>
          </cell>
          <cell r="AA109">
            <v>0.2964</v>
          </cell>
          <cell r="AB109">
            <v>0.53927991626881955</v>
          </cell>
          <cell r="AC109">
            <v>0.4102555079683779</v>
          </cell>
          <cell r="AD109">
            <v>0.42249327104785911</v>
          </cell>
          <cell r="AE109">
            <v>0.42234898958167211</v>
          </cell>
        </row>
        <row r="131">
          <cell r="H131">
            <v>2.7637531750820971E-2</v>
          </cell>
          <cell r="I131">
            <v>6.7805425246072637E-2</v>
          </cell>
          <cell r="J131">
            <v>4.9110933933817151E-2</v>
          </cell>
          <cell r="K131">
            <v>3.8348970016221416E-2</v>
          </cell>
          <cell r="L131">
            <v>6.6037027419237657E-2</v>
          </cell>
          <cell r="M131">
            <v>2.9153301316679522E-2</v>
          </cell>
          <cell r="N131">
            <v>7.9577902207574089E-2</v>
          </cell>
          <cell r="O131">
            <v>0.19129011921134953</v>
          </cell>
          <cell r="P131">
            <v>0.14137077484240779</v>
          </cell>
          <cell r="Q131">
            <v>0.21059091834994842</v>
          </cell>
          <cell r="R131">
            <v>0.10413336917448265</v>
          </cell>
          <cell r="S131">
            <v>0.21539085530850052</v>
          </cell>
          <cell r="T131">
            <v>0.19139117051574009</v>
          </cell>
          <cell r="U131">
            <v>0.25454823575984653</v>
          </cell>
          <cell r="V131">
            <v>0.21195511095922112</v>
          </cell>
          <cell r="W131">
            <v>0.19125980382003235</v>
          </cell>
          <cell r="X131">
            <v>0.26220792463265175</v>
          </cell>
          <cell r="Y131">
            <v>0.21725019930928702</v>
          </cell>
          <cell r="Z131">
            <v>2.7993000000000001E-2</v>
          </cell>
          <cell r="AA131">
            <v>4.1474999999999998E-2</v>
          </cell>
          <cell r="AB131">
            <v>4.0846333382852616E-2</v>
          </cell>
          <cell r="AC131">
            <v>5.0886648139373152E-2</v>
          </cell>
          <cell r="AD131">
            <v>5.2535476840249826E-2</v>
          </cell>
          <cell r="AE131">
            <v>5.8530607733513491E-2</v>
          </cell>
        </row>
        <row r="132">
          <cell r="H132">
            <v>1.245184060327729E-2</v>
          </cell>
          <cell r="I132">
            <v>3.0549122650087968E-2</v>
          </cell>
          <cell r="J132">
            <v>2.2126488238364762E-2</v>
          </cell>
          <cell r="K132">
            <v>1.7277782482426805E-2</v>
          </cell>
          <cell r="L132">
            <v>2.9752386962492529E-2</v>
          </cell>
          <cell r="M132">
            <v>1.3134756906930521E-2</v>
          </cell>
          <cell r="N132">
            <v>3.585310594179475E-2</v>
          </cell>
          <cell r="O132">
            <v>8.6184037521038065E-2</v>
          </cell>
          <cell r="P132">
            <v>6.3693327254058227E-2</v>
          </cell>
          <cell r="Q132">
            <v>9.4879838454222556E-2</v>
          </cell>
          <cell r="R132">
            <v>4.6916350060977136E-2</v>
          </cell>
          <cell r="S132">
            <v>9.7042406749124469E-2</v>
          </cell>
          <cell r="T132">
            <v>8.6229565274614936E-2</v>
          </cell>
          <cell r="U132">
            <v>0.11468441126016633</v>
          </cell>
          <cell r="V132">
            <v>9.5494463127510462E-2</v>
          </cell>
          <cell r="W132">
            <v>8.6170379194964994E-2</v>
          </cell>
          <cell r="X132">
            <v>0.11813541498129401</v>
          </cell>
          <cell r="Y132">
            <v>9.78801174149391E-2</v>
          </cell>
          <cell r="Z132">
            <v>8.2645999999999997E-2</v>
          </cell>
          <cell r="AA132">
            <v>0.12245</v>
          </cell>
          <cell r="AB132">
            <v>0.12059393665413629</v>
          </cell>
          <cell r="AC132">
            <v>0.15023677069719693</v>
          </cell>
          <cell r="AD132">
            <v>0.15510474114740425</v>
          </cell>
          <cell r="AE132">
            <v>0.17280465140370652</v>
          </cell>
        </row>
        <row r="133">
          <cell r="H133">
            <v>1.461062764590175E-2</v>
          </cell>
          <cell r="I133">
            <v>3.5845452103839388E-2</v>
          </cell>
          <cell r="J133">
            <v>2.5962577827818099E-2</v>
          </cell>
          <cell r="K133">
            <v>2.0273247501351788E-2</v>
          </cell>
          <cell r="L133">
            <v>3.4910585618269804E-2</v>
          </cell>
          <cell r="M133">
            <v>1.5411941776389961E-2</v>
          </cell>
          <cell r="N133">
            <v>4.2068991850631177E-2</v>
          </cell>
          <cell r="O133">
            <v>0.10112584326761248</v>
          </cell>
          <cell r="P133">
            <v>7.4735897903533979E-2</v>
          </cell>
          <cell r="Q133">
            <v>0.11132924319582904</v>
          </cell>
          <cell r="R133">
            <v>5.5050280764540223E-2</v>
          </cell>
          <cell r="S133">
            <v>0.11386673794237505</v>
          </cell>
          <cell r="T133">
            <v>0.10117926420964501</v>
          </cell>
          <cell r="U133">
            <v>0.13456735297998723</v>
          </cell>
          <cell r="V133">
            <v>0.11205042591326843</v>
          </cell>
          <cell r="W133">
            <v>0.10110981698500271</v>
          </cell>
          <cell r="X133">
            <v>0.13861666038605433</v>
          </cell>
          <cell r="Y133">
            <v>0.11484968327577393</v>
          </cell>
          <cell r="Z133">
            <v>2.2661000000000001E-2</v>
          </cell>
          <cell r="AA133">
            <v>3.3575000000000001E-2</v>
          </cell>
          <cell r="AB133">
            <v>3.3066079405166406E-2</v>
          </cell>
          <cell r="AC133">
            <v>4.1193953255683029E-2</v>
          </cell>
          <cell r="AD133">
            <v>4.2528719346868915E-2</v>
          </cell>
          <cell r="AE133">
            <v>4.7381920546177597E-2</v>
          </cell>
        </row>
        <row r="134">
          <cell r="H134">
            <v>4.7323598598832305E-2</v>
          </cell>
          <cell r="I134">
            <v>6.3539377139690933E-2</v>
          </cell>
          <cell r="J134">
            <v>7.4493301011168897E-2</v>
          </cell>
          <cell r="K134">
            <v>5.6242276796304551E-2</v>
          </cell>
          <cell r="L134">
            <v>4.7356692024425905E-2</v>
          </cell>
          <cell r="M134">
            <v>0.13958806915375851</v>
          </cell>
          <cell r="N134">
            <v>9.9958692005435654E-2</v>
          </cell>
          <cell r="O134">
            <v>0.13430966777158107</v>
          </cell>
          <cell r="P134">
            <v>6.0114207590754469E-2</v>
          </cell>
          <cell r="Q134">
            <v>5.8310615895903861E-2</v>
          </cell>
          <cell r="R134">
            <v>7.3368124540986873E-2</v>
          </cell>
          <cell r="S134">
            <v>0.10579968162270412</v>
          </cell>
          <cell r="T134">
            <v>0.13090104493544141</v>
          </cell>
          <cell r="U134">
            <v>0.18562102415444087</v>
          </cell>
          <cell r="V134">
            <v>6.9612020736114513E-2</v>
          </cell>
          <cell r="W134">
            <v>8.6866670950193486E-2</v>
          </cell>
          <cell r="X134">
            <v>0.15042390425477303</v>
          </cell>
          <cell r="Y134">
            <v>6.9917599237908579E-2</v>
          </cell>
          <cell r="Z134">
            <v>6.0696E-2</v>
          </cell>
          <cell r="AA134">
            <v>0.20314799999999997</v>
          </cell>
          <cell r="AB134">
            <v>0.13470040401937183</v>
          </cell>
          <cell r="AC134">
            <v>0.11643600922484103</v>
          </cell>
          <cell r="AD134">
            <v>0.11439186666203939</v>
          </cell>
          <cell r="AE134">
            <v>0.11940706859733403</v>
          </cell>
        </row>
        <row r="135">
          <cell r="H135">
            <v>8.7405897783390932E-2</v>
          </cell>
          <cell r="I135">
            <v>0.11735617045042701</v>
          </cell>
          <cell r="J135">
            <v>0.13758788525203705</v>
          </cell>
          <cell r="K135">
            <v>0.10387854775026077</v>
          </cell>
          <cell r="L135">
            <v>8.746702078883388E-2</v>
          </cell>
          <cell r="M135">
            <v>0.25781683695828184</v>
          </cell>
          <cell r="N135">
            <v>0.18462203794037227</v>
          </cell>
          <cell r="O135">
            <v>0.24806771759013438</v>
          </cell>
          <cell r="P135">
            <v>0.11102993938708366</v>
          </cell>
          <cell r="Q135">
            <v>0.10769873559044393</v>
          </cell>
          <cell r="R135">
            <v>0.1355097030669774</v>
          </cell>
          <cell r="S135">
            <v>0.19541024840104954</v>
          </cell>
          <cell r="T135">
            <v>0.24177204802951249</v>
          </cell>
          <cell r="U135">
            <v>0.34283893752939848</v>
          </cell>
          <cell r="V135">
            <v>0.12857224194920477</v>
          </cell>
          <cell r="W135">
            <v>0.16044129327991158</v>
          </cell>
          <cell r="X135">
            <v>0.27783044376924665</v>
          </cell>
          <cell r="Y135">
            <v>0.12913664034838468</v>
          </cell>
          <cell r="Z135">
            <v>3.0348E-2</v>
          </cell>
          <cell r="AA135">
            <v>0.10157399999999998</v>
          </cell>
          <cell r="AB135">
            <v>6.7350202009685917E-2</v>
          </cell>
          <cell r="AC135">
            <v>5.8218004612420514E-2</v>
          </cell>
          <cell r="AD135">
            <v>5.7195933331019695E-2</v>
          </cell>
          <cell r="AE135">
            <v>5.9703534298667017E-2</v>
          </cell>
        </row>
        <row r="136">
          <cell r="H136">
            <v>2.1851474445847733E-2</v>
          </cell>
          <cell r="I136">
            <v>2.9339042612606753E-2</v>
          </cell>
          <cell r="J136">
            <v>3.4396971313009263E-2</v>
          </cell>
          <cell r="K136">
            <v>2.5969636937565193E-2</v>
          </cell>
          <cell r="L136">
            <v>2.186675519720847E-2</v>
          </cell>
          <cell r="M136">
            <v>6.4454209239570459E-2</v>
          </cell>
          <cell r="N136">
            <v>4.6155509485093067E-2</v>
          </cell>
          <cell r="O136">
            <v>6.2016929397533595E-2</v>
          </cell>
          <cell r="P136">
            <v>2.7757484846770916E-2</v>
          </cell>
          <cell r="Q136">
            <v>2.6924683897610983E-2</v>
          </cell>
          <cell r="R136">
            <v>3.3877425766744351E-2</v>
          </cell>
          <cell r="S136">
            <v>4.8852562100262384E-2</v>
          </cell>
          <cell r="T136">
            <v>6.0443012007378123E-2</v>
          </cell>
          <cell r="U136">
            <v>8.570973438234962E-2</v>
          </cell>
          <cell r="V136">
            <v>3.2143060487301194E-2</v>
          </cell>
          <cell r="W136">
            <v>4.0110323319977895E-2</v>
          </cell>
          <cell r="X136">
            <v>6.9457610942311662E-2</v>
          </cell>
          <cell r="Y136">
            <v>3.228416008709617E-2</v>
          </cell>
          <cell r="Z136">
            <v>0.18546000000000001</v>
          </cell>
          <cell r="AA136">
            <v>0.62073</v>
          </cell>
          <cell r="AB136">
            <v>0.41158456783696956</v>
          </cell>
          <cell r="AC136">
            <v>0.35577669485368096</v>
          </cell>
          <cell r="AD136">
            <v>0.34953070368956485</v>
          </cell>
          <cell r="AE136">
            <v>0.36485493182518736</v>
          </cell>
        </row>
        <row r="137">
          <cell r="H137">
            <v>4.2189029171929009E-2</v>
          </cell>
          <cell r="I137">
            <v>5.6645409797275316E-2</v>
          </cell>
          <cell r="J137">
            <v>6.6410842423784755E-2</v>
          </cell>
          <cell r="K137">
            <v>5.0140038515869477E-2</v>
          </cell>
          <cell r="L137">
            <v>4.2218531989531759E-2</v>
          </cell>
          <cell r="M137">
            <v>0.12444288464838921</v>
          </cell>
          <cell r="N137">
            <v>8.9113260569099004E-2</v>
          </cell>
          <cell r="O137">
            <v>0.11973718524075097</v>
          </cell>
          <cell r="P137">
            <v>5.3591868175390939E-2</v>
          </cell>
          <cell r="Q137">
            <v>5.1983964616041198E-2</v>
          </cell>
          <cell r="R137">
            <v>6.5407746625291335E-2</v>
          </cell>
          <cell r="S137">
            <v>9.432050787598395E-2</v>
          </cell>
          <cell r="T137">
            <v>0.11669839502766798</v>
          </cell>
          <cell r="U137">
            <v>0.16548130393381105</v>
          </cell>
          <cell r="V137">
            <v>6.2059176827379478E-2</v>
          </cell>
          <cell r="W137">
            <v>7.7441712449917086E-2</v>
          </cell>
          <cell r="X137">
            <v>0.13410304103366871</v>
          </cell>
          <cell r="Y137">
            <v>6.2331600326610628E-2</v>
          </cell>
          <cell r="Z137">
            <v>6.0696E-2</v>
          </cell>
          <cell r="AA137">
            <v>0.20314799999999997</v>
          </cell>
          <cell r="AB137">
            <v>0.13470040401937183</v>
          </cell>
          <cell r="AC137">
            <v>0.11643600922484103</v>
          </cell>
          <cell r="AD137">
            <v>0.11439186666203939</v>
          </cell>
          <cell r="AE137">
            <v>0.11940706859733403</v>
          </cell>
        </row>
        <row r="138">
          <cell r="H138">
            <v>8.3687999999999999E-2</v>
          </cell>
          <cell r="I138">
            <v>7.8474000000000002E-2</v>
          </cell>
          <cell r="J138">
            <v>0.23700600000000002</v>
          </cell>
          <cell r="K138">
            <v>0.23515800000000001</v>
          </cell>
          <cell r="L138">
            <v>0.27984000000000003</v>
          </cell>
          <cell r="M138">
            <v>0.176814</v>
          </cell>
          <cell r="N138">
            <v>8.4347999999999992E-2</v>
          </cell>
          <cell r="O138">
            <v>0.40854000000000001</v>
          </cell>
          <cell r="P138">
            <v>0.225324</v>
          </cell>
          <cell r="Q138">
            <v>5.4120000000000001E-2</v>
          </cell>
          <cell r="R138">
            <v>0.40906799999999999</v>
          </cell>
          <cell r="S138">
            <v>0.27079799999999998</v>
          </cell>
          <cell r="T138">
            <v>0.207372</v>
          </cell>
          <cell r="U138">
            <v>0.19912200000000002</v>
          </cell>
          <cell r="V138">
            <v>0.15206400000000003</v>
          </cell>
          <cell r="W138">
            <v>0.27260000000000001</v>
          </cell>
          <cell r="X138">
            <v>0.189</v>
          </cell>
          <cell r="Y138">
            <v>0.1072</v>
          </cell>
          <cell r="Z138">
            <v>0.44969999999999999</v>
          </cell>
          <cell r="AA138">
            <v>0.112</v>
          </cell>
          <cell r="AB138">
            <v>0.4401652614761517</v>
          </cell>
          <cell r="AC138">
            <v>0.21984801303614007</v>
          </cell>
          <cell r="AD138">
            <v>0.15364627260124672</v>
          </cell>
          <cell r="AE138">
            <v>0.15855763042086438</v>
          </cell>
        </row>
        <row r="139">
          <cell r="H139">
            <v>4.3112000000000004E-2</v>
          </cell>
          <cell r="I139">
            <v>4.0426000000000004E-2</v>
          </cell>
          <cell r="J139">
            <v>0.12209400000000002</v>
          </cell>
          <cell r="K139">
            <v>0.12114200000000001</v>
          </cell>
          <cell r="L139">
            <v>0.14416000000000001</v>
          </cell>
          <cell r="M139">
            <v>9.1086E-2</v>
          </cell>
          <cell r="N139">
            <v>4.3452000000000005E-2</v>
          </cell>
          <cell r="O139">
            <v>0.21046000000000001</v>
          </cell>
          <cell r="P139">
            <v>0.11607600000000001</v>
          </cell>
          <cell r="Q139">
            <v>2.7880000000000002E-2</v>
          </cell>
          <cell r="R139">
            <v>0.210732</v>
          </cell>
          <cell r="S139">
            <v>0.13950200000000001</v>
          </cell>
          <cell r="T139">
            <v>0.10682800000000001</v>
          </cell>
          <cell r="U139">
            <v>0.102578</v>
          </cell>
          <cell r="V139">
            <v>7.8336000000000017E-2</v>
          </cell>
          <cell r="W139">
            <v>0.14680000000000001</v>
          </cell>
          <cell r="X139">
            <v>0.24359999999999998</v>
          </cell>
          <cell r="Y139">
            <v>0.1031</v>
          </cell>
          <cell r="Z139">
            <v>0.1915</v>
          </cell>
          <cell r="AA139">
            <v>0.29419999999999996</v>
          </cell>
          <cell r="AB139">
            <v>0.35744725178671727</v>
          </cell>
          <cell r="AC139">
            <v>0.22417923952580085</v>
          </cell>
          <cell r="AD139">
            <v>0.17356368464901417</v>
          </cell>
          <cell r="AE139">
            <v>0.17526384939785247</v>
          </cell>
        </row>
        <row r="140">
          <cell r="H140">
            <v>0.1671</v>
          </cell>
          <cell r="I140">
            <v>7.1599999999999997E-2</v>
          </cell>
          <cell r="J140">
            <v>0.26939999999999997</v>
          </cell>
          <cell r="K140">
            <v>4.3299999999999998E-2</v>
          </cell>
          <cell r="L140">
            <v>4.5899999999999996E-2</v>
          </cell>
          <cell r="M140">
            <v>9.9299999999999999E-2</v>
          </cell>
          <cell r="N140">
            <v>0.22140000000000001</v>
          </cell>
          <cell r="O140">
            <v>0.3105</v>
          </cell>
          <cell r="P140">
            <v>0.33019999999999999</v>
          </cell>
          <cell r="Q140">
            <v>0.38160000000000005</v>
          </cell>
          <cell r="R140">
            <v>0.1825</v>
          </cell>
          <cell r="S140">
            <v>0.3387</v>
          </cell>
          <cell r="T140">
            <v>0.48710000000000003</v>
          </cell>
          <cell r="U140">
            <v>0.3115</v>
          </cell>
          <cell r="V140">
            <v>0.2233</v>
          </cell>
          <cell r="W140">
            <v>0.1108</v>
          </cell>
          <cell r="X140">
            <v>0.22839999999999999</v>
          </cell>
          <cell r="Y140">
            <v>0.25869999999999999</v>
          </cell>
          <cell r="Z140">
            <v>7.1999999999999995E-2</v>
          </cell>
          <cell r="AA140">
            <v>0.26689999999999997</v>
          </cell>
          <cell r="AB140">
            <v>0.13994319</v>
          </cell>
          <cell r="AC140">
            <v>0.13183231000000001</v>
          </cell>
          <cell r="AD140">
            <v>0.11379148000000006</v>
          </cell>
          <cell r="AE140">
            <v>0.11830017999999998</v>
          </cell>
        </row>
        <row r="141">
          <cell r="H141">
            <v>6.2100589823534016E-2</v>
          </cell>
          <cell r="I141">
            <v>8.3379812909919804E-2</v>
          </cell>
          <cell r="J141">
            <v>9.7754145239702855E-2</v>
          </cell>
          <cell r="K141">
            <v>7.3804162521046185E-2</v>
          </cell>
          <cell r="L141">
            <v>6.2144016809424593E-2</v>
          </cell>
          <cell r="M141">
            <v>0.18317502648648007</v>
          </cell>
          <cell r="N141">
            <v>0.13117121088250666</v>
          </cell>
          <cell r="O141">
            <v>0.17624842223693205</v>
          </cell>
          <cell r="P141">
            <v>7.8885119870244436E-2</v>
          </cell>
          <cell r="Q141">
            <v>7.6518349139207631E-2</v>
          </cell>
          <cell r="R141">
            <v>9.6277627719423012E-2</v>
          </cell>
          <cell r="S141">
            <v>0.13883607389219457</v>
          </cell>
          <cell r="T141">
            <v>0.17177544269020198</v>
          </cell>
          <cell r="U141">
            <v>0.24358196386028133</v>
          </cell>
          <cell r="V141">
            <v>9.1348664820841821E-2</v>
          </cell>
          <cell r="W141">
            <v>3.3659473654209432E-2</v>
          </cell>
          <cell r="X141">
            <v>5.7814844658594489E-2</v>
          </cell>
          <cell r="Y141">
            <v>2.6639964131567617E-2</v>
          </cell>
          <cell r="Z141">
            <v>4.7600000000000003E-2</v>
          </cell>
          <cell r="AA141">
            <v>2.12E-2</v>
          </cell>
          <cell r="AB141">
            <v>3.7391982114600208E-2</v>
          </cell>
          <cell r="AC141">
            <v>3.8556202084216395E-2</v>
          </cell>
          <cell r="AD141">
            <v>3.9254739655337212E-2</v>
          </cell>
          <cell r="AE141">
            <v>3.9612886681477867E-2</v>
          </cell>
        </row>
        <row r="142">
          <cell r="H142">
            <v>2.5129410176465982E-2</v>
          </cell>
          <cell r="I142">
            <v>3.3740187090080198E-2</v>
          </cell>
          <cell r="J142">
            <v>3.9556854760297154E-2</v>
          </cell>
          <cell r="K142">
            <v>2.9865337478953799E-2</v>
          </cell>
          <cell r="L142">
            <v>2.5146983190575397E-2</v>
          </cell>
          <cell r="M142">
            <v>7.4122973513519944E-2</v>
          </cell>
          <cell r="N142">
            <v>5.3079289117493357E-2</v>
          </cell>
          <cell r="O142">
            <v>7.1320077763067966E-2</v>
          </cell>
          <cell r="P142">
            <v>3.1921380129755567E-2</v>
          </cell>
          <cell r="Q142">
            <v>3.0963650860792346E-2</v>
          </cell>
          <cell r="R142">
            <v>3.8959372280576977E-2</v>
          </cell>
          <cell r="S142">
            <v>5.6180926107805416E-2</v>
          </cell>
          <cell r="T142">
            <v>6.9510057309798035E-2</v>
          </cell>
          <cell r="U142">
            <v>9.8567036139718664E-2</v>
          </cell>
          <cell r="V142">
            <v>3.6964835179158176E-2</v>
          </cell>
          <cell r="W142">
            <v>1.3620526345790574E-2</v>
          </cell>
          <cell r="X142">
            <v>2.3395155341405505E-2</v>
          </cell>
          <cell r="Y142">
            <v>1.0780035868432387E-2</v>
          </cell>
          <cell r="Z142">
            <v>4.7600000000000003E-2</v>
          </cell>
          <cell r="AA142">
            <v>2.12E-2</v>
          </cell>
          <cell r="AB142">
            <v>3.7391982114600208E-2</v>
          </cell>
          <cell r="AC142">
            <v>3.8556202084216395E-2</v>
          </cell>
          <cell r="AD142">
            <v>3.9254739655337212E-2</v>
          </cell>
          <cell r="AE142">
            <v>3.9612886681477867E-2</v>
          </cell>
        </row>
        <row r="143">
          <cell r="H143">
            <v>1.8200000000000001E-2</v>
          </cell>
          <cell r="I143">
            <v>2.7699999999999999E-2</v>
          </cell>
          <cell r="J143">
            <v>1.0199999999999999E-2</v>
          </cell>
          <cell r="K143">
            <v>7.4000000000000003E-3</v>
          </cell>
          <cell r="L143">
            <v>3.2199999999999999E-2</v>
          </cell>
          <cell r="M143">
            <v>1.3099999999999999E-2</v>
          </cell>
          <cell r="N143">
            <v>7.7200000000000005E-2</v>
          </cell>
          <cell r="O143">
            <v>4.1299999999999996E-2</v>
          </cell>
          <cell r="P143">
            <v>4.8000000000000001E-2</v>
          </cell>
          <cell r="Q143">
            <v>4.5499999999999999E-2</v>
          </cell>
          <cell r="R143">
            <v>5.1299999999999998E-2</v>
          </cell>
          <cell r="S143">
            <v>5.0299999999999997E-2</v>
          </cell>
          <cell r="T143">
            <v>2.52E-2</v>
          </cell>
          <cell r="U143">
            <v>3.0499999999999999E-2</v>
          </cell>
          <cell r="V143">
            <v>2.5999999999999999E-2</v>
          </cell>
          <cell r="W143">
            <v>6.9501599999999997E-2</v>
          </cell>
          <cell r="X143">
            <v>0.11937869999999999</v>
          </cell>
          <cell r="Y143">
            <v>5.5007399999999998E-2</v>
          </cell>
          <cell r="Z143">
            <v>0.3372</v>
          </cell>
          <cell r="AA143">
            <v>1.1285999999999998</v>
          </cell>
          <cell r="AB143">
            <v>0.74833557788539917</v>
          </cell>
          <cell r="AC143">
            <v>0.64686671791578354</v>
          </cell>
          <cell r="AD143">
            <v>0.63551037034466329</v>
          </cell>
          <cell r="AE143">
            <v>0.66337260331852244</v>
          </cell>
        </row>
        <row r="144">
          <cell r="H144">
            <v>1.6199999999999999E-2</v>
          </cell>
          <cell r="I144">
            <v>7.2800000000000004E-2</v>
          </cell>
          <cell r="J144">
            <v>0.23139999999999999</v>
          </cell>
          <cell r="K144">
            <v>6.2899999999999998E-2</v>
          </cell>
          <cell r="L144">
            <v>8.0299999999999996E-2</v>
          </cell>
          <cell r="M144">
            <v>0.1036</v>
          </cell>
          <cell r="N144">
            <v>0.13750000000000001</v>
          </cell>
          <cell r="O144">
            <v>0.12790000000000001</v>
          </cell>
          <cell r="P144">
            <v>0.24299999999999999</v>
          </cell>
          <cell r="Q144">
            <v>0.21619999999999998</v>
          </cell>
          <cell r="R144">
            <v>0.15919999999999998</v>
          </cell>
          <cell r="S144">
            <v>0.2424</v>
          </cell>
          <cell r="T144">
            <v>0.153</v>
          </cell>
          <cell r="U144">
            <v>0.15630000000000002</v>
          </cell>
          <cell r="V144">
            <v>0.32839999999999997</v>
          </cell>
          <cell r="W144">
            <v>0.2853</v>
          </cell>
          <cell r="X144">
            <v>8.43E-2</v>
          </cell>
          <cell r="Y144">
            <v>0.13190000000000002</v>
          </cell>
          <cell r="Z144">
            <v>0.14849999999999999</v>
          </cell>
          <cell r="AA144">
            <v>0.33030000000000004</v>
          </cell>
          <cell r="AB144">
            <v>0.26767490999999999</v>
          </cell>
          <cell r="AC144">
            <v>0.22668945999999998</v>
          </cell>
          <cell r="AD144">
            <v>0.21574797999999998</v>
          </cell>
          <cell r="AE144">
            <v>0.248752</v>
          </cell>
        </row>
        <row r="145">
          <cell r="H145">
            <v>5.5926000000000003E-2</v>
          </cell>
          <cell r="I145">
            <v>7.7945400000000012E-2</v>
          </cell>
          <cell r="J145">
            <v>3.9616200000000004E-2</v>
          </cell>
          <cell r="K145">
            <v>3.7861200000000005E-2</v>
          </cell>
          <cell r="L145">
            <v>4.8601800000000001E-2</v>
          </cell>
          <cell r="M145">
            <v>4.8461400000000002E-2</v>
          </cell>
          <cell r="N145">
            <v>0.1010412</v>
          </cell>
          <cell r="O145">
            <v>5.0918399999999996E-2</v>
          </cell>
          <cell r="P145">
            <v>5.8921200000000007E-2</v>
          </cell>
          <cell r="Q145">
            <v>8.45442E-2</v>
          </cell>
          <cell r="R145">
            <v>9.3974400000000013E-2</v>
          </cell>
          <cell r="S145">
            <v>5.9202000000000005E-2</v>
          </cell>
          <cell r="T145">
            <v>7.4201400000000001E-2</v>
          </cell>
          <cell r="U145">
            <v>0.1071486</v>
          </cell>
          <cell r="V145">
            <v>0.11398140000000001</v>
          </cell>
          <cell r="W145">
            <v>9.4021200000000013E-2</v>
          </cell>
          <cell r="X145">
            <v>5.4498600000000001E-2</v>
          </cell>
          <cell r="Y145">
            <v>5.9061600000000006E-2</v>
          </cell>
          <cell r="Z145">
            <v>0.3604</v>
          </cell>
          <cell r="AA145">
            <v>0.33529999999999999</v>
          </cell>
          <cell r="AB145">
            <v>0.18800158000000008</v>
          </cell>
          <cell r="AC145">
            <v>0.1901061300000001</v>
          </cell>
          <cell r="AD145">
            <v>0.24725164000000002</v>
          </cell>
          <cell r="AE145">
            <v>0.28489977000000005</v>
          </cell>
        </row>
        <row r="146">
          <cell r="H146">
            <v>0.18307400000000001</v>
          </cell>
          <cell r="I146">
            <v>0.25515460000000001</v>
          </cell>
          <cell r="J146">
            <v>0.12968380000000002</v>
          </cell>
          <cell r="K146">
            <v>0.12393880000000002</v>
          </cell>
          <cell r="L146">
            <v>0.1590982</v>
          </cell>
          <cell r="M146">
            <v>0.15863859999999999</v>
          </cell>
          <cell r="N146">
            <v>0.33075880000000002</v>
          </cell>
          <cell r="O146">
            <v>0.16668160000000001</v>
          </cell>
          <cell r="P146">
            <v>0.19287880000000002</v>
          </cell>
          <cell r="Q146">
            <v>0.2767558</v>
          </cell>
          <cell r="R146">
            <v>0.3076256</v>
          </cell>
          <cell r="S146">
            <v>0.193798</v>
          </cell>
          <cell r="T146">
            <v>0.24289860000000002</v>
          </cell>
          <cell r="U146">
            <v>0.35075139999999999</v>
          </cell>
          <cell r="V146">
            <v>0.37311860000000002</v>
          </cell>
          <cell r="W146">
            <v>0.30777879999999996</v>
          </cell>
          <cell r="X146">
            <v>0.17840139999999999</v>
          </cell>
          <cell r="Y146">
            <v>0.19333839999999999</v>
          </cell>
          <cell r="Z146">
            <v>0.3604</v>
          </cell>
          <cell r="AA146">
            <v>0.33529999999999999</v>
          </cell>
          <cell r="AB146">
            <v>0.18800158000000008</v>
          </cell>
          <cell r="AC146">
            <v>0.1901061300000001</v>
          </cell>
          <cell r="AD146">
            <v>0.24725164000000002</v>
          </cell>
          <cell r="AE146">
            <v>0.28489977000000005</v>
          </cell>
        </row>
        <row r="147">
          <cell r="H147">
            <v>0.13889000000000001</v>
          </cell>
          <cell r="I147">
            <v>8.6394000000000026E-2</v>
          </cell>
          <cell r="J147">
            <v>8.9862000000000011E-2</v>
          </cell>
          <cell r="K147">
            <v>0.10047000000000002</v>
          </cell>
          <cell r="L147">
            <v>9.1595999999999997E-2</v>
          </cell>
          <cell r="M147">
            <v>5.3102692600000008E-2</v>
          </cell>
          <cell r="N147">
            <v>7.5077616799999997E-2</v>
          </cell>
          <cell r="O147">
            <v>0.14943000000000001</v>
          </cell>
          <cell r="P147">
            <v>0.19896800000000001</v>
          </cell>
          <cell r="Q147">
            <v>0.17751400000000001</v>
          </cell>
          <cell r="R147">
            <v>0.29961847200000008</v>
          </cell>
          <cell r="S147">
            <v>0.32215000000000005</v>
          </cell>
          <cell r="T147">
            <v>0.23167600000000005</v>
          </cell>
          <cell r="U147">
            <v>0.13569400000000001</v>
          </cell>
          <cell r="V147">
            <v>0.19543199999999999</v>
          </cell>
          <cell r="W147">
            <v>7.3900000000000007E-2</v>
          </cell>
          <cell r="X147">
            <v>0.19789999999999999</v>
          </cell>
          <cell r="Y147">
            <v>0.19040000000000001</v>
          </cell>
          <cell r="Z147">
            <v>0.27250000000000002</v>
          </cell>
          <cell r="AA147">
            <v>0.30969999999999998</v>
          </cell>
          <cell r="AB147">
            <v>0.14437921709174992</v>
          </cell>
          <cell r="AC147">
            <v>0.12593667786924057</v>
          </cell>
          <cell r="AD147">
            <v>0.11274781687252457</v>
          </cell>
          <cell r="AE147">
            <v>0.11357810546743598</v>
          </cell>
        </row>
        <row r="148">
          <cell r="H148">
            <v>0.26961000000000002</v>
          </cell>
          <cell r="I148">
            <v>0.16770600000000002</v>
          </cell>
          <cell r="J148">
            <v>0.17443800000000001</v>
          </cell>
          <cell r="K148">
            <v>0.19503000000000001</v>
          </cell>
          <cell r="L148">
            <v>0.17780399999999999</v>
          </cell>
          <cell r="M148">
            <v>0.10308169740000001</v>
          </cell>
          <cell r="N148">
            <v>0.14573890320000002</v>
          </cell>
          <cell r="O148">
            <v>0.29006999999999999</v>
          </cell>
          <cell r="P148">
            <v>0.38623200000000002</v>
          </cell>
          <cell r="Q148">
            <v>0.344586</v>
          </cell>
          <cell r="R148">
            <v>0.58161232800000007</v>
          </cell>
          <cell r="S148">
            <v>0.62535000000000007</v>
          </cell>
          <cell r="T148">
            <v>0.44972400000000012</v>
          </cell>
          <cell r="U148">
            <v>0.26340600000000003</v>
          </cell>
          <cell r="V148">
            <v>0.37936799999999998</v>
          </cell>
          <cell r="W148">
            <v>0.15509999999999999</v>
          </cell>
          <cell r="X148">
            <v>0.2155</v>
          </cell>
          <cell r="Y148">
            <v>0.21199999999999999</v>
          </cell>
          <cell r="Z148">
            <v>0.20980000000000001</v>
          </cell>
          <cell r="AA148">
            <v>0.19269999999999998</v>
          </cell>
          <cell r="AB148">
            <v>0.28119913349861531</v>
          </cell>
          <cell r="AC148">
            <v>0.25254892801661488</v>
          </cell>
          <cell r="AD148">
            <v>0.26806078039084402</v>
          </cell>
          <cell r="AE148">
            <v>0.28886737875496393</v>
          </cell>
        </row>
        <row r="168">
          <cell r="G168" t="str">
            <v>Western MT portion of state</v>
          </cell>
        </row>
        <row r="169">
          <cell r="H169">
            <v>5.8452515664333813</v>
          </cell>
          <cell r="I169">
            <v>2.3942560490388454</v>
          </cell>
          <cell r="J169">
            <v>3.2535508684892789</v>
          </cell>
          <cell r="K169">
            <v>3.8808061249763441</v>
          </cell>
          <cell r="L169">
            <v>2.6785158945721284</v>
          </cell>
          <cell r="M169">
            <v>2.1289433230787926</v>
          </cell>
          <cell r="N169">
            <v>1.9047034050448099</v>
          </cell>
          <cell r="O169">
            <v>2.9945048391710078</v>
          </cell>
          <cell r="P169">
            <v>3.7348996623363648</v>
          </cell>
          <cell r="Q169">
            <v>4.3096744291447084</v>
          </cell>
          <cell r="R169">
            <v>4.6932151602156393</v>
          </cell>
          <cell r="S169">
            <v>6.7040926655271003</v>
          </cell>
          <cell r="T169">
            <v>8.0155996509731651</v>
          </cell>
          <cell r="U169">
            <v>8.5121404979223296</v>
          </cell>
          <cell r="V169">
            <v>5.7106188925677364</v>
          </cell>
          <cell r="W169">
            <v>3.9531865469773946</v>
          </cell>
          <cell r="X169">
            <v>3.613957014984337</v>
          </cell>
          <cell r="Y169">
            <v>4.2577960031375479</v>
          </cell>
          <cell r="Z169">
            <v>2.9053730099999999</v>
          </cell>
          <cell r="AA169">
            <v>5.76397475</v>
          </cell>
          <cell r="AB169">
            <v>4.1477159651255757</v>
          </cell>
          <cell r="AC169">
            <v>4.3042855770003277</v>
          </cell>
          <cell r="AD169">
            <v>3.9757692712668407</v>
          </cell>
          <cell r="AE169">
            <v>3.9080659306945158</v>
          </cell>
        </row>
        <row r="170">
          <cell r="H170">
            <v>2.6335253613638385</v>
          </cell>
          <cell r="I170">
            <v>1.0787104635412517</v>
          </cell>
          <cell r="J170">
            <v>1.4658579924699486</v>
          </cell>
          <cell r="K170">
            <v>1.7484621896089618</v>
          </cell>
          <cell r="L170">
            <v>1.2067811725468609</v>
          </cell>
          <cell r="M170">
            <v>0.95917620833130801</v>
          </cell>
          <cell r="N170">
            <v>0.85814693620145599</v>
          </cell>
          <cell r="O170">
            <v>1.3491471408980753</v>
          </cell>
          <cell r="P170">
            <v>1.6827253491356049</v>
          </cell>
          <cell r="Q170">
            <v>1.9416849350932321</v>
          </cell>
          <cell r="R170">
            <v>2.1144857514330568</v>
          </cell>
          <cell r="S170">
            <v>3.0204684706789751</v>
          </cell>
          <cell r="T170">
            <v>3.6113561114457378</v>
          </cell>
          <cell r="U170">
            <v>3.8350681105841429</v>
          </cell>
          <cell r="V170">
            <v>2.5728678247182866</v>
          </cell>
          <cell r="W170">
            <v>1.7810725357744892</v>
          </cell>
          <cell r="X170">
            <v>1.628235730433635</v>
          </cell>
          <cell r="Y170">
            <v>1.9183115782676574</v>
          </cell>
          <cell r="Z170">
            <v>2.52049922</v>
          </cell>
          <cell r="AA170">
            <v>4.3866505</v>
          </cell>
          <cell r="AB170">
            <v>3.3467175863389964</v>
          </cell>
          <cell r="AC170">
            <v>3.4921085643107492</v>
          </cell>
          <cell r="AD170">
            <v>3.2325006595168051</v>
          </cell>
          <cell r="AE170">
            <v>3.2055077433563333</v>
          </cell>
        </row>
        <row r="171">
          <cell r="H171">
            <v>3.0901020722027819</v>
          </cell>
          <cell r="I171">
            <v>1.2657274874199036</v>
          </cell>
          <cell r="J171">
            <v>1.7199951390407733</v>
          </cell>
          <cell r="K171">
            <v>2.0515946854146958</v>
          </cell>
          <cell r="L171">
            <v>1.4160019328810107</v>
          </cell>
          <cell r="M171">
            <v>1.1254694685898994</v>
          </cell>
          <cell r="N171">
            <v>1.0069246587537342</v>
          </cell>
          <cell r="O171">
            <v>1.5830500199309174</v>
          </cell>
          <cell r="P171">
            <v>1.9744609885280306</v>
          </cell>
          <cell r="Q171">
            <v>2.2783166357620592</v>
          </cell>
          <cell r="R171">
            <v>2.4810760883513034</v>
          </cell>
          <cell r="S171">
            <v>3.5441298637939256</v>
          </cell>
          <cell r="T171">
            <v>4.2374602375810966</v>
          </cell>
          <cell r="U171">
            <v>4.4999573914935276</v>
          </cell>
          <cell r="V171">
            <v>3.0189282827139783</v>
          </cell>
          <cell r="W171">
            <v>2.0898587172481164</v>
          </cell>
          <cell r="X171">
            <v>1.9105244545820284</v>
          </cell>
          <cell r="Y171">
            <v>2.2508910185947957</v>
          </cell>
          <cell r="Z171">
            <v>0.65600877000000002</v>
          </cell>
          <cell r="AA171">
            <v>1.1345497499999999</v>
          </cell>
          <cell r="AB171">
            <v>0.87002001760199665</v>
          </cell>
          <cell r="AC171">
            <v>0.90846325570362163</v>
          </cell>
          <cell r="AD171">
            <v>0.8416976698075469</v>
          </cell>
          <cell r="AE171">
            <v>0.83495356000334453</v>
          </cell>
        </row>
        <row r="172">
          <cell r="H172">
            <v>1.9601639052244866</v>
          </cell>
          <cell r="I172">
            <v>1.8139548177464644</v>
          </cell>
          <cell r="J172">
            <v>1.5990745699068862</v>
          </cell>
          <cell r="K172">
            <v>1.2830229881440107</v>
          </cell>
          <cell r="L172">
            <v>0.979871173680254</v>
          </cell>
          <cell r="M172">
            <v>1.241660719000097</v>
          </cell>
          <cell r="N172">
            <v>1.8848305823635303</v>
          </cell>
          <cell r="O172">
            <v>2.4988567954738619</v>
          </cell>
          <cell r="P172">
            <v>2.288456066580165</v>
          </cell>
          <cell r="Q172">
            <v>1.2544054066975698</v>
          </cell>
          <cell r="R172">
            <v>1.5651299718837426</v>
          </cell>
          <cell r="S172">
            <v>2.1687149616138099</v>
          </cell>
          <cell r="T172">
            <v>2.726992850636329</v>
          </cell>
          <cell r="U172">
            <v>2.3639545922978495</v>
          </cell>
          <cell r="V172">
            <v>2.12134434059036</v>
          </cell>
          <cell r="W172">
            <v>1.7332075021200439</v>
          </cell>
          <cell r="X172">
            <v>1.6498023915828299</v>
          </cell>
          <cell r="Y172">
            <v>1.7728331175696301</v>
          </cell>
          <cell r="Z172">
            <v>3.0494837200000005</v>
          </cell>
          <cell r="AA172">
            <v>3.9300753599999996</v>
          </cell>
          <cell r="AB172">
            <v>3.2949268651724135</v>
          </cell>
          <cell r="AC172">
            <v>3.0804508752407767</v>
          </cell>
          <cell r="AD172">
            <v>2.9901146137661283</v>
          </cell>
          <cell r="AE172">
            <v>3.1209850609635708</v>
          </cell>
        </row>
        <row r="173">
          <cell r="H173">
            <v>3.620390059325949</v>
          </cell>
          <cell r="I173">
            <v>3.3503443118873304</v>
          </cell>
          <cell r="J173">
            <v>2.9534640759282804</v>
          </cell>
          <cell r="K173">
            <v>2.3697220726198811</v>
          </cell>
          <cell r="L173">
            <v>1.8098057244890269</v>
          </cell>
          <cell r="M173">
            <v>2.2933266509713843</v>
          </cell>
          <cell r="N173">
            <v>3.4812506677195292</v>
          </cell>
          <cell r="O173">
            <v>4.6153468482405211</v>
          </cell>
          <cell r="P173">
            <v>4.2267402091062101</v>
          </cell>
          <cell r="Q173">
            <v>2.3168658767096826</v>
          </cell>
          <cell r="R173">
            <v>2.8907689691960035</v>
          </cell>
          <cell r="S173">
            <v>4.0055803841765441</v>
          </cell>
          <cell r="T173">
            <v>5.0367103393662491</v>
          </cell>
          <cell r="U173">
            <v>4.366184727635269</v>
          </cell>
          <cell r="V173">
            <v>3.9180876367586932</v>
          </cell>
          <cell r="W173">
            <v>3.2012053658879802</v>
          </cell>
          <cell r="X173">
            <v>3.0471575169907066</v>
          </cell>
          <cell r="Y173">
            <v>3.2743932171110264</v>
          </cell>
          <cell r="Z173">
            <v>1.21717136</v>
          </cell>
          <cell r="AA173">
            <v>1.5786711799999997</v>
          </cell>
          <cell r="AB173">
            <v>1.3199722007364803</v>
          </cell>
          <cell r="AC173">
            <v>1.2300279538780112</v>
          </cell>
          <cell r="AD173">
            <v>1.196371930895225</v>
          </cell>
          <cell r="AE173">
            <v>1.248350009064233</v>
          </cell>
        </row>
        <row r="174">
          <cell r="H174">
            <v>0.90509751483148726</v>
          </cell>
          <cell r="I174">
            <v>0.8375860779718326</v>
          </cell>
          <cell r="J174">
            <v>0.7383660189820701</v>
          </cell>
          <cell r="K174">
            <v>0.59243051815497028</v>
          </cell>
          <cell r="L174">
            <v>0.45245143112225672</v>
          </cell>
          <cell r="M174">
            <v>0.57333166274284608</v>
          </cell>
          <cell r="N174">
            <v>0.87031266692988229</v>
          </cell>
          <cell r="O174">
            <v>1.1538367120601303</v>
          </cell>
          <cell r="P174">
            <v>1.0566850522765525</v>
          </cell>
          <cell r="Q174">
            <v>0.57921646917742065</v>
          </cell>
          <cell r="R174">
            <v>0.72269224229900086</v>
          </cell>
          <cell r="S174">
            <v>1.001395096044136</v>
          </cell>
          <cell r="T174">
            <v>1.2591775848415623</v>
          </cell>
          <cell r="U174">
            <v>1.0915461819088172</v>
          </cell>
          <cell r="V174">
            <v>0.9795219091896733</v>
          </cell>
          <cell r="W174">
            <v>0.80030134147199505</v>
          </cell>
          <cell r="X174">
            <v>0.76178937924767665</v>
          </cell>
          <cell r="Y174">
            <v>0.81859830427775659</v>
          </cell>
          <cell r="Z174">
            <v>4.4185782000000007</v>
          </cell>
          <cell r="AA174">
            <v>5.8084251000000009</v>
          </cell>
          <cell r="AB174">
            <v>4.8341193729503171</v>
          </cell>
          <cell r="AC174">
            <v>4.4973948910402894</v>
          </cell>
          <cell r="AD174">
            <v>4.3749492047650769</v>
          </cell>
          <cell r="AE174">
            <v>4.5648201170153557</v>
          </cell>
        </row>
        <row r="175">
          <cell r="H175">
            <v>1.7474878206180771</v>
          </cell>
          <cell r="I175">
            <v>1.6171422923943721</v>
          </cell>
          <cell r="J175">
            <v>1.4255763651827631</v>
          </cell>
          <cell r="K175">
            <v>1.1438161060811387</v>
          </cell>
          <cell r="L175">
            <v>0.87355600070846262</v>
          </cell>
          <cell r="M175">
            <v>1.1069416072856728</v>
          </cell>
          <cell r="N175">
            <v>1.6803280979870585</v>
          </cell>
          <cell r="O175">
            <v>2.2277329992254882</v>
          </cell>
          <cell r="P175">
            <v>2.0401605670370717</v>
          </cell>
          <cell r="Q175">
            <v>1.1183035074153274</v>
          </cell>
          <cell r="R175">
            <v>1.3953147266212531</v>
          </cell>
          <cell r="S175">
            <v>1.9334112681655102</v>
          </cell>
          <cell r="T175">
            <v>2.4311164901558593</v>
          </cell>
          <cell r="U175">
            <v>2.1074675681580644</v>
          </cell>
          <cell r="V175">
            <v>1.8911803184612741</v>
          </cell>
          <cell r="W175">
            <v>1.5451559905199812</v>
          </cell>
          <cell r="X175">
            <v>1.4708002621787872</v>
          </cell>
          <cell r="Y175">
            <v>1.580482261041587</v>
          </cell>
          <cell r="Z175">
            <v>1.38987072</v>
          </cell>
          <cell r="AA175">
            <v>1.8173303599999999</v>
          </cell>
          <cell r="AB175">
            <v>1.5136049433773811</v>
          </cell>
          <cell r="AC175">
            <v>1.4027949732052674</v>
          </cell>
          <cell r="AD175">
            <v>1.3671049082637361</v>
          </cell>
          <cell r="AE175">
            <v>1.4256651163527188</v>
          </cell>
        </row>
        <row r="176">
          <cell r="H176">
            <v>2.3326221600000001</v>
          </cell>
          <cell r="I176">
            <v>2.1343561800000002</v>
          </cell>
          <cell r="J176">
            <v>2.7849274200000003</v>
          </cell>
          <cell r="K176">
            <v>3.7213380599999999</v>
          </cell>
          <cell r="L176">
            <v>3.8396688000000001</v>
          </cell>
          <cell r="M176">
            <v>4.5304399799999997</v>
          </cell>
          <cell r="N176">
            <v>3.8655843599999997</v>
          </cell>
          <cell r="O176">
            <v>3.7622019600000001</v>
          </cell>
          <cell r="P176">
            <v>4.9317826799999995</v>
          </cell>
          <cell r="Q176">
            <v>3.5256144000000003</v>
          </cell>
          <cell r="R176">
            <v>4.1166087600000001</v>
          </cell>
          <cell r="S176">
            <v>3.6865428600000003</v>
          </cell>
          <cell r="T176">
            <v>4.4936060400000004</v>
          </cell>
          <cell r="U176">
            <v>4.0552175400000001</v>
          </cell>
          <cell r="V176">
            <v>4.7025844800000005</v>
          </cell>
          <cell r="W176">
            <v>5.7826820000000012</v>
          </cell>
          <cell r="X176">
            <v>6.4745300000000006</v>
          </cell>
          <cell r="Y176">
            <v>4.3306040000000001</v>
          </cell>
          <cell r="Z176">
            <v>5.0644289999999996</v>
          </cell>
          <cell r="AA176">
            <v>4.8802399999999997</v>
          </cell>
          <cell r="AB176">
            <v>5.314560624425317</v>
          </cell>
          <cell r="AC176">
            <v>5.8392883922912757</v>
          </cell>
          <cell r="AD176">
            <v>5.5907307068579604</v>
          </cell>
          <cell r="AE176">
            <v>5.3970025110934667</v>
          </cell>
        </row>
        <row r="177">
          <cell r="H177">
            <v>1.2016538399999999</v>
          </cell>
          <cell r="I177">
            <v>1.0995168200000001</v>
          </cell>
          <cell r="J177">
            <v>1.4346595800000002</v>
          </cell>
          <cell r="K177">
            <v>1.91705294</v>
          </cell>
          <cell r="L177">
            <v>1.9780112000000001</v>
          </cell>
          <cell r="M177">
            <v>2.3338630200000003</v>
          </cell>
          <cell r="N177">
            <v>1.99136164</v>
          </cell>
          <cell r="O177">
            <v>1.93810404</v>
          </cell>
          <cell r="P177">
            <v>2.5406153199999997</v>
          </cell>
          <cell r="Q177">
            <v>1.8162256000000001</v>
          </cell>
          <cell r="R177">
            <v>2.12067724</v>
          </cell>
          <cell r="S177">
            <v>1.8991281399999997</v>
          </cell>
          <cell r="T177">
            <v>2.3148879600000005</v>
          </cell>
          <cell r="U177">
            <v>2.0890514600000003</v>
          </cell>
          <cell r="V177">
            <v>2.4225435200000001</v>
          </cell>
          <cell r="W177">
            <v>2.7598760000000002</v>
          </cell>
          <cell r="X177">
            <v>3.2231519999999998</v>
          </cell>
          <cell r="Y177">
            <v>1.711967</v>
          </cell>
          <cell r="Z177">
            <v>2.2422549999999997</v>
          </cell>
          <cell r="AA177">
            <v>1.9980939999999998</v>
          </cell>
          <cell r="AB177">
            <v>2.2146394799898173</v>
          </cell>
          <cell r="AC177">
            <v>2.4529568455976025</v>
          </cell>
          <cell r="AD177">
            <v>2.3252751304701671</v>
          </cell>
          <cell r="AE177">
            <v>2.2545756506342292</v>
          </cell>
        </row>
        <row r="178">
          <cell r="H178">
            <v>7.7681670999999994</v>
          </cell>
          <cell r="I178">
            <v>6.1909778999999991</v>
          </cell>
          <cell r="J178">
            <v>6.2494579999999997</v>
          </cell>
          <cell r="K178">
            <v>6.6152219000000008</v>
          </cell>
          <cell r="L178">
            <v>5.5810154000000001</v>
          </cell>
          <cell r="M178">
            <v>5.2429889000000003</v>
          </cell>
          <cell r="N178">
            <v>4.4018980000000001</v>
          </cell>
          <cell r="O178">
            <v>6.0446849999999994</v>
          </cell>
          <cell r="P178">
            <v>9.751614</v>
          </cell>
          <cell r="Q178">
            <v>11.116424999999998</v>
          </cell>
          <cell r="R178">
            <v>11.370925</v>
          </cell>
          <cell r="S178">
            <v>11.869458999999999</v>
          </cell>
          <cell r="T178">
            <v>10.888947</v>
          </cell>
          <cell r="U178">
            <v>9.4940550000000012</v>
          </cell>
          <cell r="V178">
            <v>10.433181000000001</v>
          </cell>
          <cell r="W178">
            <v>5.9005559999999999</v>
          </cell>
          <cell r="X178">
            <v>6.8123880000000003</v>
          </cell>
          <cell r="Y178">
            <v>6.1123589999999997</v>
          </cell>
          <cell r="Z178">
            <v>9.229140000000001</v>
          </cell>
          <cell r="AA178">
            <v>8.458632999999999</v>
          </cell>
          <cell r="AB178">
            <v>8.0452519383000087</v>
          </cell>
          <cell r="AC178">
            <v>7.6519041966999959</v>
          </cell>
          <cell r="AD178">
            <v>7.4193123636000031</v>
          </cell>
          <cell r="AE178">
            <v>7.7886886725999984</v>
          </cell>
        </row>
        <row r="179">
          <cell r="H179">
            <v>0.94562667569891845</v>
          </cell>
          <cell r="I179">
            <v>0.87797440847584418</v>
          </cell>
          <cell r="J179">
            <v>0.76896588931383225</v>
          </cell>
          <cell r="K179">
            <v>0.63948110135578418</v>
          </cell>
          <cell r="L179">
            <v>0.43394926096228958</v>
          </cell>
          <cell r="M179">
            <v>0.70856563684818685</v>
          </cell>
          <cell r="N179">
            <v>0.99833300111063006</v>
          </cell>
          <cell r="O179">
            <v>1.2788148464054281</v>
          </cell>
          <cell r="P179">
            <v>1.1413744588863326</v>
          </cell>
          <cell r="Q179">
            <v>0.71823731071012475</v>
          </cell>
          <cell r="R179">
            <v>0.84101134433644587</v>
          </cell>
          <cell r="S179">
            <v>1.2251082266483837</v>
          </cell>
          <cell r="T179">
            <v>1.5651012636603874</v>
          </cell>
          <cell r="U179">
            <v>1.2759510039866273</v>
          </cell>
          <cell r="V179">
            <v>1.107505460703968</v>
          </cell>
          <cell r="W179">
            <v>0.63798485303363595</v>
          </cell>
          <cell r="X179">
            <v>0.62624539967892912</v>
          </cell>
          <cell r="Y179">
            <v>0.67166554183832972</v>
          </cell>
          <cell r="Z179">
            <v>0.492732</v>
          </cell>
          <cell r="AA179">
            <v>0.49918399999999996</v>
          </cell>
          <cell r="AB179">
            <v>0.51242220696340901</v>
          </cell>
          <cell r="AC179">
            <v>0.56820095103565071</v>
          </cell>
          <cell r="AD179">
            <v>0.49314781500982674</v>
          </cell>
          <cell r="AE179">
            <v>0.5050087559041242</v>
          </cell>
        </row>
        <row r="180">
          <cell r="H180">
            <v>0.38265402430108175</v>
          </cell>
          <cell r="I180">
            <v>0.35527809152415585</v>
          </cell>
          <cell r="J180">
            <v>0.31116708068616789</v>
          </cell>
          <cell r="K180">
            <v>0.25877021364421587</v>
          </cell>
          <cell r="L180">
            <v>0.17560040903771046</v>
          </cell>
          <cell r="M180">
            <v>0.28672572315181322</v>
          </cell>
          <cell r="N180">
            <v>0.4039819838893699</v>
          </cell>
          <cell r="O180">
            <v>0.51748079859457219</v>
          </cell>
          <cell r="P180">
            <v>0.46186464611366751</v>
          </cell>
          <cell r="Q180">
            <v>0.29063942928987535</v>
          </cell>
          <cell r="R180">
            <v>0.34032074566355414</v>
          </cell>
          <cell r="S180">
            <v>0.49574806335161636</v>
          </cell>
          <cell r="T180">
            <v>0.63332847133961268</v>
          </cell>
          <cell r="U180">
            <v>0.51632192601337268</v>
          </cell>
          <cell r="V180">
            <v>0.44815933429603194</v>
          </cell>
          <cell r="W180">
            <v>0.25816474696636388</v>
          </cell>
          <cell r="X180">
            <v>0.25341430032107087</v>
          </cell>
          <cell r="Y180">
            <v>0.27179385816167018</v>
          </cell>
          <cell r="Z180">
            <v>0.492732</v>
          </cell>
          <cell r="AA180">
            <v>0.49918399999999996</v>
          </cell>
          <cell r="AB180">
            <v>0.51242220696340901</v>
          </cell>
          <cell r="AC180">
            <v>0.56820095103565071</v>
          </cell>
          <cell r="AD180">
            <v>0.49314781500982674</v>
          </cell>
          <cell r="AE180">
            <v>0.5050087559041242</v>
          </cell>
        </row>
        <row r="181">
          <cell r="H181">
            <v>0.40274807407407415</v>
          </cell>
          <cell r="I181">
            <v>0.37036307407407404</v>
          </cell>
          <cell r="J181">
            <v>0.48768807407407411</v>
          </cell>
          <cell r="K181">
            <v>0.46379207407407413</v>
          </cell>
          <cell r="L181">
            <v>0.53812807407407393</v>
          </cell>
          <cell r="M181">
            <v>0.42164107407407414</v>
          </cell>
          <cell r="N181">
            <v>0.43037807407407414</v>
          </cell>
          <cell r="O181">
            <v>0.50291507407407388</v>
          </cell>
          <cell r="P181">
            <v>0.48163407407407416</v>
          </cell>
          <cell r="Q181">
            <v>0.45580907407407417</v>
          </cell>
          <cell r="R181">
            <v>0.6205150740740738</v>
          </cell>
          <cell r="S181">
            <v>0.56234507407407419</v>
          </cell>
          <cell r="T181">
            <v>0.58473807407407419</v>
          </cell>
          <cell r="U181">
            <v>0.5404590740740739</v>
          </cell>
          <cell r="V181">
            <v>0.42069407407407394</v>
          </cell>
          <cell r="W181">
            <v>1.2428048860740741</v>
          </cell>
          <cell r="X181">
            <v>1.1604115330740739</v>
          </cell>
          <cell r="Y181">
            <v>1.2477731920740742</v>
          </cell>
          <cell r="Z181">
            <v>8.7690780740740752</v>
          </cell>
          <cell r="AA181">
            <v>11.037976074074074</v>
          </cell>
          <cell r="AB181">
            <v>9.3237041313177169</v>
          </cell>
          <cell r="AC181">
            <v>8.7162296123734357</v>
          </cell>
          <cell r="AD181">
            <v>8.4335868012343536</v>
          </cell>
          <cell r="AE181">
            <v>8.7947699601225242</v>
          </cell>
        </row>
        <row r="182">
          <cell r="H182">
            <v>1.2680339999999999</v>
          </cell>
          <cell r="I182">
            <v>3.2701959999999999</v>
          </cell>
          <cell r="J182">
            <v>2.1934979999999999</v>
          </cell>
          <cell r="K182">
            <v>2.1689530000000001</v>
          </cell>
          <cell r="L182">
            <v>1.452771</v>
          </cell>
          <cell r="M182">
            <v>0.90405199999999997</v>
          </cell>
          <cell r="N182">
            <v>1.359175</v>
          </cell>
          <cell r="O182">
            <v>1.5139029999999998</v>
          </cell>
          <cell r="P182">
            <v>2.30301</v>
          </cell>
          <cell r="Q182">
            <v>2.7516340000000001</v>
          </cell>
          <cell r="R182">
            <v>4.7814439999999996</v>
          </cell>
          <cell r="S182">
            <v>4.4062680000000007</v>
          </cell>
          <cell r="T182">
            <v>3.36571</v>
          </cell>
          <cell r="U182">
            <v>3.4345909999999997</v>
          </cell>
          <cell r="V182">
            <v>2.0285880000000001</v>
          </cell>
          <cell r="W182">
            <v>0.95992100000000002</v>
          </cell>
          <cell r="X182">
            <v>1.6628509999999999</v>
          </cell>
          <cell r="Y182">
            <v>1.8797829999999998</v>
          </cell>
          <cell r="Z182">
            <v>2.3661449999999999</v>
          </cell>
          <cell r="AA182">
            <v>3.0826709999999999</v>
          </cell>
          <cell r="AB182">
            <v>3.0169681880581578</v>
          </cell>
          <cell r="AC182">
            <v>2.5401827085011996</v>
          </cell>
          <cell r="AD182">
            <v>2.2922556070064219</v>
          </cell>
          <cell r="AE182">
            <v>2.6029925645564869</v>
          </cell>
        </row>
        <row r="183">
          <cell r="H183">
            <v>0.75905672000000002</v>
          </cell>
          <cell r="I183">
            <v>0.75352307799999996</v>
          </cell>
          <cell r="J183">
            <v>1.0492427340000001</v>
          </cell>
          <cell r="K183">
            <v>0.82287268399999991</v>
          </cell>
          <cell r="L183">
            <v>0.67738382599999991</v>
          </cell>
          <cell r="M183">
            <v>1.2262085980000001</v>
          </cell>
          <cell r="N183">
            <v>0.94672238399999986</v>
          </cell>
          <cell r="O183">
            <v>0.94664478799999996</v>
          </cell>
          <cell r="P183">
            <v>0.89970378400000006</v>
          </cell>
          <cell r="Q183">
            <v>0.77038129399999988</v>
          </cell>
          <cell r="R183">
            <v>1.1871685080000001</v>
          </cell>
          <cell r="S183">
            <v>1.3819149399999999</v>
          </cell>
          <cell r="T183">
            <v>2.1635749979999996</v>
          </cell>
          <cell r="U183">
            <v>1.9397220020000001</v>
          </cell>
          <cell r="V183">
            <v>1.5831111979999999</v>
          </cell>
          <cell r="W183">
            <v>1.026218284</v>
          </cell>
          <cell r="X183">
            <v>1.045345602</v>
          </cell>
          <cell r="Y183">
            <v>1.134643912</v>
          </cell>
          <cell r="Z183">
            <v>7.6951280000000004</v>
          </cell>
          <cell r="AA183">
            <v>4.5313210000000002</v>
          </cell>
          <cell r="AB183">
            <v>4.4960725606</v>
          </cell>
          <cell r="AC183">
            <v>4.5696217040999993</v>
          </cell>
          <cell r="AD183">
            <v>4.8413475147999998</v>
          </cell>
          <cell r="AE183">
            <v>5.1556288689000001</v>
          </cell>
        </row>
        <row r="184">
          <cell r="H184">
            <v>1.5868732800000001</v>
          </cell>
          <cell r="I184">
            <v>1.5850439220000003</v>
          </cell>
          <cell r="J184">
            <v>2.1840582660000001</v>
          </cell>
          <cell r="K184">
            <v>1.6983533159999999</v>
          </cell>
          <cell r="L184">
            <v>1.4102051739999999</v>
          </cell>
          <cell r="M184">
            <v>2.5247384019999997</v>
          </cell>
          <cell r="N184">
            <v>1.9978036160000001</v>
          </cell>
          <cell r="O184">
            <v>1.9580872119999999</v>
          </cell>
          <cell r="P184">
            <v>1.839522216</v>
          </cell>
          <cell r="Q184">
            <v>1.601259706</v>
          </cell>
          <cell r="R184">
            <v>2.454743492</v>
          </cell>
          <cell r="S184">
            <v>2.82329506</v>
          </cell>
          <cell r="T184">
            <v>4.3995720020000002</v>
          </cell>
          <cell r="U184">
            <v>3.9502809980000002</v>
          </cell>
          <cell r="V184">
            <v>3.2548358020000001</v>
          </cell>
          <cell r="W184">
            <v>3.1835925159999996</v>
          </cell>
          <cell r="X184">
            <v>3.2696349979999999</v>
          </cell>
          <cell r="Y184">
            <v>3.3710648879999998</v>
          </cell>
          <cell r="Z184">
            <v>7.6951280000000004</v>
          </cell>
          <cell r="AA184">
            <v>4.5313210000000002</v>
          </cell>
          <cell r="AB184">
            <v>4.4960725606</v>
          </cell>
          <cell r="AC184">
            <v>4.5696217040999993</v>
          </cell>
          <cell r="AD184">
            <v>4.8413475147999998</v>
          </cell>
          <cell r="AE184">
            <v>5.1556288689000001</v>
          </cell>
        </row>
        <row r="185">
          <cell r="H185">
            <v>2.0197172999999999</v>
          </cell>
          <cell r="I185">
            <v>2.4033025800000001</v>
          </cell>
          <cell r="J185">
            <v>1.6100873399999998</v>
          </cell>
          <cell r="K185">
            <v>2.2882799</v>
          </cell>
          <cell r="L185">
            <v>2.8939977200000002</v>
          </cell>
          <cell r="M185">
            <v>2.6208346827820002</v>
          </cell>
          <cell r="N185">
            <v>2.808180909576</v>
          </cell>
          <cell r="O185">
            <v>2.4410076620000001</v>
          </cell>
          <cell r="P185">
            <v>3.4118360120000002</v>
          </cell>
          <cell r="Q185">
            <v>4.6980795400000002</v>
          </cell>
          <cell r="R185">
            <v>5.0203619890400004</v>
          </cell>
          <cell r="S185">
            <v>6.1223928520000008</v>
          </cell>
          <cell r="T185">
            <v>6.8415446340000008</v>
          </cell>
          <cell r="U185">
            <v>6.7605348059999999</v>
          </cell>
          <cell r="V185">
            <v>5.2803142400000009</v>
          </cell>
          <cell r="W185">
            <v>4.7062230000000014</v>
          </cell>
          <cell r="X185">
            <v>4.0795029999999999</v>
          </cell>
          <cell r="Y185">
            <v>5.6370279999999999</v>
          </cell>
          <cell r="Z185">
            <v>3.2726250000000001</v>
          </cell>
          <cell r="AA185">
            <v>4.1234289999999998</v>
          </cell>
          <cell r="AB185">
            <v>4.1990751697822688</v>
          </cell>
          <cell r="AC185">
            <v>3.9559845486033547</v>
          </cell>
          <cell r="AD185">
            <v>4.2245626971251937</v>
          </cell>
          <cell r="AE185">
            <v>4.3471217789162413</v>
          </cell>
        </row>
        <row r="186">
          <cell r="H186">
            <v>3.9206276999999998</v>
          </cell>
          <cell r="I186">
            <v>5.0675564199999998</v>
          </cell>
          <cell r="J186">
            <v>3.3396976600000001</v>
          </cell>
          <cell r="K186">
            <v>4.6083171000000016</v>
          </cell>
          <cell r="L186">
            <v>5.7593702800000006</v>
          </cell>
          <cell r="M186">
            <v>5.3036676835180003</v>
          </cell>
          <cell r="N186">
            <v>5.8835187068239998</v>
          </cell>
          <cell r="O186">
            <v>5.0332471999999999</v>
          </cell>
          <cell r="P186">
            <v>6.8259360000000013</v>
          </cell>
          <cell r="Q186">
            <v>9.5154594599999989</v>
          </cell>
          <cell r="R186">
            <v>10.112064566960001</v>
          </cell>
          <cell r="S186">
            <v>12.42666404</v>
          </cell>
          <cell r="T186">
            <v>13.837188780000002</v>
          </cell>
          <cell r="U186">
            <v>13.824212319999997</v>
          </cell>
          <cell r="V186">
            <v>10.725069760000002</v>
          </cell>
          <cell r="W186">
            <v>7.2359570000000009</v>
          </cell>
          <cell r="X186">
            <v>9.5127849999999992</v>
          </cell>
          <cell r="Y186">
            <v>8.7675900000000002</v>
          </cell>
          <cell r="Z186">
            <v>3.607186</v>
          </cell>
          <cell r="AA186">
            <v>4.0182390000000003</v>
          </cell>
          <cell r="AB186">
            <v>4.2711939641417151</v>
          </cell>
          <cell r="AC186">
            <v>4.5946027044206739</v>
          </cell>
          <cell r="AD186">
            <v>4.429112704129059</v>
          </cell>
          <cell r="AE186">
            <v>4.328169119778071</v>
          </cell>
        </row>
        <row r="207">
          <cell r="G207" t="str">
            <v>Base</v>
          </cell>
          <cell r="H207">
            <v>42.389799174074071</v>
          </cell>
          <cell r="I207">
            <v>36.465809974074077</v>
          </cell>
          <cell r="J207">
            <v>35.569335074074075</v>
          </cell>
          <cell r="K207">
            <v>38.272286974074078</v>
          </cell>
          <cell r="L207">
            <v>34.157084474074075</v>
          </cell>
          <cell r="M207">
            <v>35.53257534037408</v>
          </cell>
          <cell r="N207">
            <v>36.773434690474069</v>
          </cell>
          <cell r="O207">
            <v>42.359566936074067</v>
          </cell>
          <cell r="P207">
            <v>51.593021086074074</v>
          </cell>
          <cell r="Q207">
            <v>51.05823207407407</v>
          </cell>
          <cell r="R207">
            <v>58.828523630074066</v>
          </cell>
          <cell r="S207">
            <v>69.276658966074081</v>
          </cell>
          <cell r="T207">
            <v>78.406612488074074</v>
          </cell>
          <cell r="U207">
            <v>74.656716200074086</v>
          </cell>
          <cell r="V207">
            <v>62.619136074074078</v>
          </cell>
          <cell r="W207">
            <v>48.797968286074081</v>
          </cell>
          <cell r="X207">
            <v>52.20252758307408</v>
          </cell>
          <cell r="Y207">
            <v>51.00957789207407</v>
          </cell>
          <cell r="Z207">
            <v>67.083563074074078</v>
          </cell>
          <cell r="AA207">
            <v>72.079969074074057</v>
          </cell>
          <cell r="AB207">
            <v>65.729459982444979</v>
          </cell>
          <cell r="AC207">
            <v>64.942320409137878</v>
          </cell>
          <cell r="AD207">
            <v>63.362334928324181</v>
          </cell>
          <cell r="AE207">
            <v>65.142943044759335</v>
          </cell>
        </row>
        <row r="208">
          <cell r="G208" t="str">
            <v>Low</v>
          </cell>
          <cell r="H208">
            <v>42.389799174074071</v>
          </cell>
          <cell r="I208">
            <v>36.465809974074077</v>
          </cell>
          <cell r="J208">
            <v>35.569335074074075</v>
          </cell>
          <cell r="K208">
            <v>38.272286974074078</v>
          </cell>
          <cell r="L208">
            <v>34.157084474074075</v>
          </cell>
          <cell r="M208">
            <v>35.53257534037408</v>
          </cell>
          <cell r="N208">
            <v>36.773434690474069</v>
          </cell>
          <cell r="O208">
            <v>42.359566936074067</v>
          </cell>
          <cell r="P208">
            <v>51.593021086074074</v>
          </cell>
          <cell r="Q208">
            <v>51.05823207407407</v>
          </cell>
          <cell r="R208">
            <v>58.828523630074066</v>
          </cell>
          <cell r="S208">
            <v>69.276658966074081</v>
          </cell>
          <cell r="T208">
            <v>78.406612488074074</v>
          </cell>
          <cell r="U208">
            <v>74.656716200074086</v>
          </cell>
          <cell r="V208">
            <v>62.619136074074078</v>
          </cell>
          <cell r="W208">
            <v>48.797968286074081</v>
          </cell>
          <cell r="X208">
            <v>52.20252758307408</v>
          </cell>
          <cell r="Y208">
            <v>51.00957789207407</v>
          </cell>
          <cell r="Z208">
            <v>67.083563074074078</v>
          </cell>
          <cell r="AA208">
            <v>72.079969074074057</v>
          </cell>
          <cell r="AB208">
            <v>65.729459982444979</v>
          </cell>
          <cell r="AC208">
            <v>64.942320409137878</v>
          </cell>
          <cell r="AD208">
            <v>63.362334928324181</v>
          </cell>
          <cell r="AE208">
            <v>65.142943044759335</v>
          </cell>
        </row>
        <row r="209">
          <cell r="G209" t="str">
            <v>High</v>
          </cell>
          <cell r="H209">
            <v>42.389799174074071</v>
          </cell>
          <cell r="I209">
            <v>36.465809974074077</v>
          </cell>
          <cell r="J209">
            <v>35.569335074074075</v>
          </cell>
          <cell r="K209">
            <v>38.272286974074078</v>
          </cell>
          <cell r="L209">
            <v>34.157084474074075</v>
          </cell>
          <cell r="M209">
            <v>35.53257534037408</v>
          </cell>
          <cell r="N209">
            <v>36.773434690474069</v>
          </cell>
          <cell r="O209">
            <v>42.359566936074067</v>
          </cell>
          <cell r="P209">
            <v>51.593021086074074</v>
          </cell>
          <cell r="Q209">
            <v>51.05823207407407</v>
          </cell>
          <cell r="R209">
            <v>58.828523630074066</v>
          </cell>
          <cell r="S209">
            <v>69.276658966074081</v>
          </cell>
          <cell r="T209">
            <v>78.406612488074074</v>
          </cell>
          <cell r="U209">
            <v>74.656716200074086</v>
          </cell>
          <cell r="V209">
            <v>62.619136074074078</v>
          </cell>
          <cell r="W209">
            <v>48.797968286074081</v>
          </cell>
          <cell r="X209">
            <v>52.20252758307408</v>
          </cell>
          <cell r="Y209">
            <v>51.00957789207407</v>
          </cell>
          <cell r="Z209">
            <v>67.083563074074078</v>
          </cell>
          <cell r="AA209">
            <v>72.079969074074057</v>
          </cell>
          <cell r="AB209">
            <v>65.729459982444979</v>
          </cell>
          <cell r="AC209">
            <v>64.942320409137878</v>
          </cell>
          <cell r="AD209">
            <v>63.362334928324181</v>
          </cell>
          <cell r="AE209">
            <v>65.142943044759335</v>
          </cell>
        </row>
        <row r="210">
          <cell r="G210" t="str">
            <v>Base</v>
          </cell>
        </row>
        <row r="211">
          <cell r="G211" t="str">
            <v>Low</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row>
        <row r="212">
          <cell r="G212" t="str">
            <v>High</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row>
        <row r="214">
          <cell r="G214">
            <v>1986</v>
          </cell>
          <cell r="H214">
            <v>1987</v>
          </cell>
          <cell r="I214">
            <v>1988</v>
          </cell>
          <cell r="J214">
            <v>1989</v>
          </cell>
          <cell r="K214">
            <v>1990</v>
          </cell>
          <cell r="L214">
            <v>1991</v>
          </cell>
          <cell r="M214">
            <v>1992</v>
          </cell>
          <cell r="N214">
            <v>1993</v>
          </cell>
          <cell r="O214">
            <v>1994</v>
          </cell>
          <cell r="P214">
            <v>1995</v>
          </cell>
          <cell r="Q214">
            <v>1996</v>
          </cell>
          <cell r="R214">
            <v>1997</v>
          </cell>
          <cell r="S214">
            <v>1998</v>
          </cell>
          <cell r="T214">
            <v>1999</v>
          </cell>
          <cell r="U214">
            <v>2000</v>
          </cell>
          <cell r="V214">
            <v>2001</v>
          </cell>
          <cell r="W214">
            <v>2002</v>
          </cell>
          <cell r="X214">
            <v>2003</v>
          </cell>
          <cell r="Y214">
            <v>2004</v>
          </cell>
          <cell r="Z214">
            <v>2005</v>
          </cell>
          <cell r="AA214">
            <v>2006</v>
          </cell>
          <cell r="AB214">
            <v>2007</v>
          </cell>
          <cell r="AC214">
            <v>2008</v>
          </cell>
          <cell r="AD214">
            <v>2009</v>
          </cell>
          <cell r="AE214">
            <v>2010</v>
          </cell>
        </row>
        <row r="216">
          <cell r="G216">
            <v>208998.69198523989</v>
          </cell>
          <cell r="H216">
            <v>200145.98024940802</v>
          </cell>
          <cell r="I216">
            <v>204298.48758186327</v>
          </cell>
          <cell r="J216">
            <v>212514.47308934119</v>
          </cell>
          <cell r="K216">
            <v>218248.8879770175</v>
          </cell>
          <cell r="L216">
            <v>230735.79972918943</v>
          </cell>
          <cell r="M216">
            <v>231528.43027437758</v>
          </cell>
          <cell r="N216">
            <v>244878.83743148466</v>
          </cell>
          <cell r="O216">
            <v>242786.25970780815</v>
          </cell>
          <cell r="P216">
            <v>255559.09058324914</v>
          </cell>
          <cell r="Q216">
            <v>268008.32621918456</v>
          </cell>
          <cell r="R216">
            <v>265489.37581064156</v>
          </cell>
          <cell r="S216">
            <v>272482.6174634418</v>
          </cell>
          <cell r="T216">
            <v>284410.89610058442</v>
          </cell>
          <cell r="U216">
            <v>300017.95217937022</v>
          </cell>
          <cell r="V216">
            <v>317942.85702325829</v>
          </cell>
          <cell r="W216">
            <v>335695.10260296741</v>
          </cell>
          <cell r="X216">
            <v>348922.95366756298</v>
          </cell>
          <cell r="Y216">
            <v>353537.99027757213</v>
          </cell>
          <cell r="Z216">
            <v>354596.7797693297</v>
          </cell>
          <cell r="AA216">
            <v>359853.55392939574</v>
          </cell>
          <cell r="AB216">
            <v>355546.86718435638</v>
          </cell>
          <cell r="AC216">
            <v>351120.83370566339</v>
          </cell>
          <cell r="AD216">
            <v>353655.16843746061</v>
          </cell>
          <cell r="AE216">
            <v>360684.15806895884</v>
          </cell>
        </row>
        <row r="217">
          <cell r="G217">
            <v>73536.576809621445</v>
          </cell>
          <cell r="H217">
            <v>90173.965820167112</v>
          </cell>
          <cell r="I217">
            <v>92044.840537701777</v>
          </cell>
          <cell r="J217">
            <v>95746.478689050549</v>
          </cell>
          <cell r="K217">
            <v>98330.06758469365</v>
          </cell>
          <cell r="L217">
            <v>103955.93302619121</v>
          </cell>
          <cell r="M217">
            <v>104313.04556775086</v>
          </cell>
          <cell r="N217">
            <v>110327.95107407245</v>
          </cell>
          <cell r="O217">
            <v>109385.15905848605</v>
          </cell>
          <cell r="P217">
            <v>115139.84278160419</v>
          </cell>
          <cell r="Q217">
            <v>120748.73358881973</v>
          </cell>
          <cell r="R217">
            <v>119613.84320651177</v>
          </cell>
          <cell r="S217">
            <v>122764.58514490072</v>
          </cell>
          <cell r="T217">
            <v>128138.76347603065</v>
          </cell>
          <cell r="U217">
            <v>135170.38179605946</v>
          </cell>
          <cell r="V217">
            <v>143246.28596714657</v>
          </cell>
          <cell r="W217">
            <v>151244.40006437257</v>
          </cell>
          <cell r="X217">
            <v>157204.08902883093</v>
          </cell>
          <cell r="Y217">
            <v>159283.35213974226</v>
          </cell>
          <cell r="Z217">
            <v>162515.65727255808</v>
          </cell>
          <cell r="AA217">
            <v>167612.08530117007</v>
          </cell>
          <cell r="AB217">
            <v>168423.08861424751</v>
          </cell>
          <cell r="AC217">
            <v>169187.35438208625</v>
          </cell>
          <cell r="AD217">
            <v>173048.3572794295</v>
          </cell>
          <cell r="AE217">
            <v>179117.10252840212</v>
          </cell>
        </row>
        <row r="218">
          <cell r="G218">
            <v>104499.34599261994</v>
          </cell>
          <cell r="H218">
            <v>105807.50910078075</v>
          </cell>
          <cell r="I218">
            <v>108002.7390865257</v>
          </cell>
          <cell r="J218">
            <v>112346.13364419344</v>
          </cell>
          <cell r="K218">
            <v>115377.64171974598</v>
          </cell>
          <cell r="L218">
            <v>121978.86862029215</v>
          </cell>
          <cell r="M218">
            <v>122397.89409119615</v>
          </cell>
          <cell r="N218">
            <v>129455.60928994505</v>
          </cell>
          <cell r="O218">
            <v>128349.36455664544</v>
          </cell>
          <cell r="P218">
            <v>135101.74308261863</v>
          </cell>
          <cell r="Q218">
            <v>141683.05244094582</v>
          </cell>
          <cell r="R218">
            <v>140351.40507064035</v>
          </cell>
          <cell r="S218">
            <v>144048.39403289961</v>
          </cell>
          <cell r="T218">
            <v>150354.29859757473</v>
          </cell>
          <cell r="U218">
            <v>158604.99504441186</v>
          </cell>
          <cell r="V218">
            <v>168081.02613950011</v>
          </cell>
          <cell r="W218">
            <v>177465.78062417047</v>
          </cell>
          <cell r="X218">
            <v>184458.70633847601</v>
          </cell>
          <cell r="Y218">
            <v>186898.45320476568</v>
          </cell>
          <cell r="Z218">
            <v>186028.83658052023</v>
          </cell>
          <cell r="AA218">
            <v>187392.62346713556</v>
          </cell>
          <cell r="AB218">
            <v>183688.58010542323</v>
          </cell>
          <cell r="AC218">
            <v>179917.79537687683</v>
          </cell>
          <cell r="AD218">
            <v>179846.95356055681</v>
          </cell>
          <cell r="AE218">
            <v>182057.43147324634</v>
          </cell>
        </row>
        <row r="219">
          <cell r="G219">
            <v>13423.836588687245</v>
          </cell>
          <cell r="H219">
            <v>21791.875763514865</v>
          </cell>
          <cell r="I219">
            <v>22224.659925521173</v>
          </cell>
          <cell r="J219">
            <v>22732.952835002077</v>
          </cell>
          <cell r="K219">
            <v>23080.895311996119</v>
          </cell>
          <cell r="L219">
            <v>24394.967985397427</v>
          </cell>
          <cell r="M219">
            <v>24342.77819338522</v>
          </cell>
          <cell r="N219">
            <v>25847.114822320538</v>
          </cell>
          <cell r="O219">
            <v>25597.201842348808</v>
          </cell>
          <cell r="P219">
            <v>26685.15216798272</v>
          </cell>
          <cell r="Q219">
            <v>27183.979842094126</v>
          </cell>
          <cell r="R219">
            <v>26370.318525564584</v>
          </cell>
          <cell r="S219">
            <v>26408.046610476242</v>
          </cell>
          <cell r="T219">
            <v>27113.984701041256</v>
          </cell>
          <cell r="U219">
            <v>28084.473978898819</v>
          </cell>
          <cell r="V219">
            <v>29362.800335296797</v>
          </cell>
          <cell r="W219">
            <v>30805.387561284086</v>
          </cell>
          <cell r="X219">
            <v>32039.384416567875</v>
          </cell>
          <cell r="Y219">
            <v>32288.612309161115</v>
          </cell>
          <cell r="Z219">
            <v>32756.354184115167</v>
          </cell>
          <cell r="AA219">
            <v>33718.918515821199</v>
          </cell>
          <cell r="AB219">
            <v>33600.302576498187</v>
          </cell>
          <cell r="AC219">
            <v>33338.384168395656</v>
          </cell>
          <cell r="AD219">
            <v>33752.759044080267</v>
          </cell>
          <cell r="AE219">
            <v>34616.681984882525</v>
          </cell>
        </row>
        <row r="220">
          <cell r="G220">
            <v>42956.277083799177</v>
          </cell>
          <cell r="H220">
            <v>40249.231290308788</v>
          </cell>
          <cell r="I220">
            <v>41048.576423532184</v>
          </cell>
          <cell r="J220">
            <v>41987.384954699257</v>
          </cell>
          <cell r="K220">
            <v>42630.028909915964</v>
          </cell>
          <cell r="L220">
            <v>45057.099233644389</v>
          </cell>
          <cell r="M220">
            <v>44960.705557740206</v>
          </cell>
          <cell r="N220">
            <v>47739.190235863898</v>
          </cell>
          <cell r="O220">
            <v>47277.605127611147</v>
          </cell>
          <cell r="P220">
            <v>49287.03124420641</v>
          </cell>
          <cell r="Q220">
            <v>50208.35764342035</v>
          </cell>
          <cell r="R220">
            <v>48705.538754566136</v>
          </cell>
          <cell r="S220">
            <v>48775.221898515229</v>
          </cell>
          <cell r="T220">
            <v>50079.077784632274</v>
          </cell>
          <cell r="U220">
            <v>51871.555303921945</v>
          </cell>
          <cell r="V220">
            <v>54232.602775994215</v>
          </cell>
          <cell r="W220">
            <v>56897.037336162713</v>
          </cell>
          <cell r="X220">
            <v>59176.208958597657</v>
          </cell>
          <cell r="Y220">
            <v>59636.528721881943</v>
          </cell>
          <cell r="Z220">
            <v>59267.380594230824</v>
          </cell>
          <cell r="AA220">
            <v>59661.108667141169</v>
          </cell>
          <cell r="AB220">
            <v>58346.611071043306</v>
          </cell>
          <cell r="AC220">
            <v>56953.433458145395</v>
          </cell>
          <cell r="AD220">
            <v>56761.820168837978</v>
          </cell>
          <cell r="AE220">
            <v>57298.25438694148</v>
          </cell>
        </row>
        <row r="221">
          <cell r="G221">
            <v>10739.069270949794</v>
          </cell>
          <cell r="H221">
            <v>10062.307822577197</v>
          </cell>
          <cell r="I221">
            <v>10262.144105883046</v>
          </cell>
          <cell r="J221">
            <v>10496.846238674814</v>
          </cell>
          <cell r="K221">
            <v>10657.507227478991</v>
          </cell>
          <cell r="L221">
            <v>11264.274808411097</v>
          </cell>
          <cell r="M221">
            <v>11240.176389435052</v>
          </cell>
          <cell r="N221">
            <v>11934.797558965975</v>
          </cell>
          <cell r="O221">
            <v>11819.401281902787</v>
          </cell>
          <cell r="P221">
            <v>12321.757811051602</v>
          </cell>
          <cell r="Q221">
            <v>12552.089410855087</v>
          </cell>
          <cell r="R221">
            <v>12176.384688641534</v>
          </cell>
          <cell r="S221">
            <v>12193.805474628807</v>
          </cell>
          <cell r="T221">
            <v>12519.769446158069</v>
          </cell>
          <cell r="U221">
            <v>12967.888825980486</v>
          </cell>
          <cell r="V221">
            <v>13558.150693998554</v>
          </cell>
          <cell r="W221">
            <v>14224.259334040678</v>
          </cell>
          <cell r="X221">
            <v>14794.052239649414</v>
          </cell>
          <cell r="Y221">
            <v>14909.132180470486</v>
          </cell>
          <cell r="Z221">
            <v>16089.783930114661</v>
          </cell>
          <cell r="AA221">
            <v>17617.092653342384</v>
          </cell>
          <cell r="AB221">
            <v>18419.311769849035</v>
          </cell>
          <cell r="AC221">
            <v>19009.848165719726</v>
          </cell>
          <cell r="AD221">
            <v>19949.851202602753</v>
          </cell>
          <cell r="AE221">
            <v>21177.433659989274</v>
          </cell>
        </row>
        <row r="222">
          <cell r="G222">
            <v>22373.060981145409</v>
          </cell>
          <cell r="H222">
            <v>19427.476132820269</v>
          </cell>
          <cell r="I222">
            <v>19813.303588395116</v>
          </cell>
          <cell r="J222">
            <v>20266.447157796101</v>
          </cell>
          <cell r="K222">
            <v>20576.638177640001</v>
          </cell>
          <cell r="L222">
            <v>21748.135105042526</v>
          </cell>
          <cell r="M222">
            <v>21701.60786022446</v>
          </cell>
          <cell r="N222">
            <v>23042.725268910268</v>
          </cell>
          <cell r="O222">
            <v>22819.927630635757</v>
          </cell>
          <cell r="P222">
            <v>23789.836288996135</v>
          </cell>
          <cell r="Q222">
            <v>24234.541592860558</v>
          </cell>
          <cell r="R222">
            <v>23509.161823876082</v>
          </cell>
          <cell r="S222">
            <v>23542.796444278309</v>
          </cell>
          <cell r="T222">
            <v>24172.140863938701</v>
          </cell>
          <cell r="U222">
            <v>25037.332896388816</v>
          </cell>
          <cell r="V222">
            <v>26176.96195119722</v>
          </cell>
          <cell r="W222">
            <v>27463.02971362921</v>
          </cell>
          <cell r="X222">
            <v>28563.138979768595</v>
          </cell>
          <cell r="Y222">
            <v>28785.325862051341</v>
          </cell>
          <cell r="Z222">
            <v>28924.071606197242</v>
          </cell>
          <cell r="AA222">
            <v>29469.866159102188</v>
          </cell>
          <cell r="AB222">
            <v>29116.933433380244</v>
          </cell>
          <cell r="AC222">
            <v>28678.217716061263</v>
          </cell>
          <cell r="AD222">
            <v>28831.690819149815</v>
          </cell>
          <cell r="AE222">
            <v>29362.860829323748</v>
          </cell>
        </row>
        <row r="223">
          <cell r="G223">
            <v>4115.706901028545</v>
          </cell>
          <cell r="H223">
            <v>4205.010520242442</v>
          </cell>
          <cell r="I223">
            <v>4292.0902136220993</v>
          </cell>
          <cell r="J223">
            <v>4385.1340717390349</v>
          </cell>
          <cell r="K223">
            <v>4578.7455890095252</v>
          </cell>
          <cell r="L223">
            <v>4925.2542379471824</v>
          </cell>
          <cell r="M223">
            <v>5059.9086971479355</v>
          </cell>
          <cell r="N223">
            <v>5491.2305796720329</v>
          </cell>
          <cell r="O223">
            <v>5593.5954805401325</v>
          </cell>
          <cell r="P223">
            <v>5926.3175733184044</v>
          </cell>
          <cell r="Q223">
            <v>6182.9348882424329</v>
          </cell>
          <cell r="R223">
            <v>6169.7723192810736</v>
          </cell>
          <cell r="S223">
            <v>6245.6036993975076</v>
          </cell>
          <cell r="T223">
            <v>6577.8422959626059</v>
          </cell>
          <cell r="U223">
            <v>6928.8339007962168</v>
          </cell>
          <cell r="V223">
            <v>7490.3140941843267</v>
          </cell>
          <cell r="W223">
            <v>8257.6043067687824</v>
          </cell>
          <cell r="X223">
            <v>8802.0048065065639</v>
          </cell>
          <cell r="Y223">
            <v>9009.5800347258555</v>
          </cell>
          <cell r="Z223">
            <v>9145.9892087019052</v>
          </cell>
          <cell r="AA223">
            <v>9211.6710302419669</v>
          </cell>
          <cell r="AB223">
            <v>9178.9855009367984</v>
          </cell>
          <cell r="AC223">
            <v>9148.5358510380192</v>
          </cell>
          <cell r="AD223">
            <v>9307.2672479613648</v>
          </cell>
          <cell r="AE223">
            <v>9585.7986641014031</v>
          </cell>
        </row>
        <row r="224">
          <cell r="G224">
            <v>7052.2389172900575</v>
          </cell>
          <cell r="H224">
            <v>7205.2601294462738</v>
          </cell>
          <cell r="I224">
            <v>7354.4706581173587</v>
          </cell>
          <cell r="J224">
            <v>7513.9007470440247</v>
          </cell>
          <cell r="K224">
            <v>7845.6529125321231</v>
          </cell>
          <cell r="L224">
            <v>8439.3933896795734</v>
          </cell>
          <cell r="M224">
            <v>8670.1229922479361</v>
          </cell>
          <cell r="N224">
            <v>9409.1904328995261</v>
          </cell>
          <cell r="O224">
            <v>9584.5920722840365</v>
          </cell>
          <cell r="P224">
            <v>10154.709368719003</v>
          </cell>
          <cell r="Q224">
            <v>10594.421587950512</v>
          </cell>
          <cell r="R224">
            <v>10571.867605533151</v>
          </cell>
          <cell r="S224">
            <v>10701.80421736411</v>
          </cell>
          <cell r="T224">
            <v>11271.093045957972</v>
          </cell>
          <cell r="U224">
            <v>11872.515040957445</v>
          </cell>
          <cell r="V224">
            <v>12834.607961157768</v>
          </cell>
          <cell r="W224">
            <v>14047.589314524124</v>
          </cell>
          <cell r="X224">
            <v>15152.652396838437</v>
          </cell>
          <cell r="Y224">
            <v>15479.510456527292</v>
          </cell>
          <cell r="Z224">
            <v>15798.174448709171</v>
          </cell>
          <cell r="AA224">
            <v>16024.318633545427</v>
          </cell>
          <cell r="AB224">
            <v>15915.266706434264</v>
          </cell>
          <cell r="AC224">
            <v>15890.102655033168</v>
          </cell>
          <cell r="AD224">
            <v>16206.894670169306</v>
          </cell>
          <cell r="AE224">
            <v>16751.236087215875</v>
          </cell>
        </row>
        <row r="225">
          <cell r="G225">
            <v>50887.549088008323</v>
          </cell>
          <cell r="H225">
            <v>52096.128378848516</v>
          </cell>
          <cell r="I225">
            <v>53891.473390088919</v>
          </cell>
          <cell r="J225">
            <v>55301.704088136066</v>
          </cell>
          <cell r="K225">
            <v>56320.720929326286</v>
          </cell>
          <cell r="L225">
            <v>59598.948196798665</v>
          </cell>
          <cell r="M225">
            <v>59875.038133999398</v>
          </cell>
          <cell r="N225">
            <v>63090.538108352572</v>
          </cell>
          <cell r="O225">
            <v>62290.990920621967</v>
          </cell>
          <cell r="P225">
            <v>65911.63038498332</v>
          </cell>
          <cell r="Q225">
            <v>68983.639135362406</v>
          </cell>
          <cell r="R225">
            <v>69732.96582170199</v>
          </cell>
          <cell r="S225">
            <v>71331.440918664593</v>
          </cell>
          <cell r="T225">
            <v>74031.11753504441</v>
          </cell>
          <cell r="U225">
            <v>76942.356081206293</v>
          </cell>
          <cell r="V225">
            <v>81143.432123224557</v>
          </cell>
          <cell r="W225">
            <v>85690.254182846576</v>
          </cell>
          <cell r="X225">
            <v>88772.478710730531</v>
          </cell>
          <cell r="Y225">
            <v>89611.133454044131</v>
          </cell>
          <cell r="Z225">
            <v>90910.782716700836</v>
          </cell>
          <cell r="AA225">
            <v>92712.944275381815</v>
          </cell>
          <cell r="AB225">
            <v>92106.864078517261</v>
          </cell>
          <cell r="AC225">
            <v>91226.675126907721</v>
          </cell>
          <cell r="AD225">
            <v>92126.824590314762</v>
          </cell>
          <cell r="AE225">
            <v>94226.839366206506</v>
          </cell>
        </row>
        <row r="226">
          <cell r="G226">
            <v>19812.879259651741</v>
          </cell>
          <cell r="H226">
            <v>18032.884427272984</v>
          </cell>
          <cell r="I226">
            <v>18390.850686182566</v>
          </cell>
          <cell r="J226">
            <v>18811.272058336421</v>
          </cell>
          <cell r="K226">
            <v>19099.063705396456</v>
          </cell>
          <cell r="L226">
            <v>20186.310587606091</v>
          </cell>
          <cell r="M226">
            <v>20143.040724556799</v>
          </cell>
          <cell r="N226">
            <v>21387.69116528075</v>
          </cell>
          <cell r="O226">
            <v>21180.748251774428</v>
          </cell>
          <cell r="P226">
            <v>22080.758751653964</v>
          </cell>
          <cell r="Q226">
            <v>22493.41427857352</v>
          </cell>
          <cell r="R226">
            <v>21820.012288958882</v>
          </cell>
          <cell r="S226">
            <v>21851.072681430713</v>
          </cell>
          <cell r="T226">
            <v>22435.037007354465</v>
          </cell>
          <cell r="U226">
            <v>23237.856100070774</v>
          </cell>
          <cell r="V226">
            <v>24295.423566588957</v>
          </cell>
          <cell r="W226">
            <v>25676.409631101869</v>
          </cell>
          <cell r="X226">
            <v>26947.489232296917</v>
          </cell>
          <cell r="Y226">
            <v>27352.311253779546</v>
          </cell>
          <cell r="Z226">
            <v>27335.965576247774</v>
          </cell>
          <cell r="AA226">
            <v>27602.57300118457</v>
          </cell>
          <cell r="AB226">
            <v>27114.80587866436</v>
          </cell>
          <cell r="AC226">
            <v>26610.841990217854</v>
          </cell>
          <cell r="AD226">
            <v>26693.236756604154</v>
          </cell>
          <cell r="AE226">
            <v>27154.544217813003</v>
          </cell>
        </row>
        <row r="227">
          <cell r="G227">
            <v>7419.0906995658279</v>
          </cell>
          <cell r="H227">
            <v>10929.866269561855</v>
          </cell>
          <cell r="I227">
            <v>11146.832299299163</v>
          </cell>
          <cell r="J227">
            <v>11401.652840795985</v>
          </cell>
          <cell r="K227">
            <v>11576.085512870666</v>
          </cell>
          <cell r="L227">
            <v>12235.073988756241</v>
          </cell>
          <cell r="M227">
            <v>12208.847800786238</v>
          </cell>
          <cell r="N227">
            <v>12963.239752020037</v>
          </cell>
          <cell r="O227">
            <v>12837.810102693569</v>
          </cell>
          <cell r="P227">
            <v>13383.313205347922</v>
          </cell>
          <cell r="Q227">
            <v>13633.426809902779</v>
          </cell>
          <cell r="R227">
            <v>13225.27282201311</v>
          </cell>
          <cell r="S227">
            <v>13244.098758449756</v>
          </cell>
          <cell r="T227">
            <v>13598.043908726899</v>
          </cell>
          <cell r="U227">
            <v>14084.638571795298</v>
          </cell>
          <cell r="V227">
            <v>14725.638131610645</v>
          </cell>
          <cell r="W227">
            <v>15562.664125213003</v>
          </cell>
          <cell r="X227">
            <v>16333.074988492226</v>
          </cell>
          <cell r="Y227">
            <v>16578.44064674971</v>
          </cell>
          <cell r="Z227">
            <v>16857.311575218704</v>
          </cell>
          <cell r="AA227">
            <v>17266.656645919924</v>
          </cell>
          <cell r="AB227">
            <v>17209.046241024487</v>
          </cell>
          <cell r="AC227">
            <v>17136.3703707032</v>
          </cell>
          <cell r="AD227">
            <v>17456.408368183093</v>
          </cell>
          <cell r="AE227">
            <v>18058.866872371669</v>
          </cell>
        </row>
        <row r="228">
          <cell r="G228">
            <v>83364.422267462985</v>
          </cell>
          <cell r="H228">
            <v>83832.227579195271</v>
          </cell>
          <cell r="I228">
            <v>84473.651357137482</v>
          </cell>
          <cell r="J228">
            <v>85669.000717749455</v>
          </cell>
          <cell r="K228">
            <v>86953.915160136385</v>
          </cell>
          <cell r="L228">
            <v>91285.461447874812</v>
          </cell>
          <cell r="M228">
            <v>90938.245242666802</v>
          </cell>
          <cell r="N228">
            <v>95719.927133708654</v>
          </cell>
          <cell r="O228">
            <v>93952.396537730761</v>
          </cell>
          <cell r="P228">
            <v>96705.968870619268</v>
          </cell>
          <cell r="Q228">
            <v>98084.385907262404</v>
          </cell>
          <cell r="R228">
            <v>94854.133820205563</v>
          </cell>
          <cell r="S228">
            <v>94531.289301758676</v>
          </cell>
          <cell r="T228">
            <v>96314.095346684699</v>
          </cell>
          <cell r="U228">
            <v>98468.71184276056</v>
          </cell>
          <cell r="V228">
            <v>101998.44637128555</v>
          </cell>
          <cell r="W228">
            <v>108335.20040286546</v>
          </cell>
          <cell r="X228">
            <v>114395.71234984108</v>
          </cell>
          <cell r="Y228">
            <v>116727.38959742447</v>
          </cell>
          <cell r="Z228">
            <v>141998.01843454241</v>
          </cell>
          <cell r="AA228">
            <v>171946.05794425026</v>
          </cell>
          <cell r="AB228">
            <v>192464.78312542022</v>
          </cell>
          <cell r="AC228">
            <v>208908.64373695463</v>
          </cell>
          <cell r="AD228">
            <v>228706.45614921703</v>
          </cell>
          <cell r="AE228">
            <v>252084.95499626573</v>
          </cell>
        </row>
        <row r="229">
          <cell r="G229">
            <v>12778.134917081974</v>
          </cell>
          <cell r="H229">
            <v>12894.186073617273</v>
          </cell>
          <cell r="I229">
            <v>13178.009408971293</v>
          </cell>
          <cell r="J229">
            <v>13341.082749817862</v>
          </cell>
          <cell r="K229">
            <v>13581.568601140933</v>
          </cell>
          <cell r="L229">
            <v>14287.410756019724</v>
          </cell>
          <cell r="M229">
            <v>14217.523844548945</v>
          </cell>
          <cell r="N229">
            <v>14955.493690163396</v>
          </cell>
          <cell r="O229">
            <v>14749.068526871995</v>
          </cell>
          <cell r="P229">
            <v>15217.615920965041</v>
          </cell>
          <cell r="Q229">
            <v>15615.500853886677</v>
          </cell>
          <cell r="R229">
            <v>15768.602167633129</v>
          </cell>
          <cell r="S229">
            <v>16113.909210513591</v>
          </cell>
          <cell r="T229">
            <v>16679.827859739111</v>
          </cell>
          <cell r="U229">
            <v>17277.728711114269</v>
          </cell>
          <cell r="V229">
            <v>17914.590049087761</v>
          </cell>
          <cell r="W229">
            <v>18631.873619577422</v>
          </cell>
          <cell r="X229">
            <v>19246.310352174143</v>
          </cell>
          <cell r="Y229">
            <v>19226.799168199374</v>
          </cell>
          <cell r="Z229">
            <v>19109.077435323827</v>
          </cell>
          <cell r="AA229">
            <v>19277.963444280296</v>
          </cell>
          <cell r="AB229">
            <v>18940.524142835653</v>
          </cell>
          <cell r="AC229">
            <v>18579.144573461443</v>
          </cell>
          <cell r="AD229">
            <v>18559.369474301344</v>
          </cell>
          <cell r="AE229">
            <v>18786.218095097855</v>
          </cell>
        </row>
        <row r="230">
          <cell r="G230">
            <v>19927.728810231933</v>
          </cell>
          <cell r="H230">
            <v>20387.498878375507</v>
          </cell>
          <cell r="I230">
            <v>21039.067675030969</v>
          </cell>
          <cell r="J230">
            <v>21751.96518935723</v>
          </cell>
          <cell r="K230">
            <v>22543.066584433152</v>
          </cell>
          <cell r="L230">
            <v>23942.959888780144</v>
          </cell>
          <cell r="M230">
            <v>24443.241717863308</v>
          </cell>
          <cell r="N230">
            <v>25857.012921133639</v>
          </cell>
          <cell r="O230">
            <v>26019.551101581019</v>
          </cell>
          <cell r="P230">
            <v>27043.216886545717</v>
          </cell>
          <cell r="Q230">
            <v>27714.128414291805</v>
          </cell>
          <cell r="R230">
            <v>27458.778506721221</v>
          </cell>
          <cell r="S230">
            <v>28235.725930746761</v>
          </cell>
          <cell r="T230">
            <v>30700.328022192367</v>
          </cell>
          <cell r="U230">
            <v>33048.146988518049</v>
          </cell>
          <cell r="V230">
            <v>35494.528422093819</v>
          </cell>
          <cell r="W230">
            <v>37620.955907392017</v>
          </cell>
          <cell r="X230">
            <v>39513.733368011992</v>
          </cell>
          <cell r="Y230">
            <v>40010.808440145935</v>
          </cell>
          <cell r="Z230">
            <v>48908.818659119788</v>
          </cell>
          <cell r="AA230">
            <v>52282.519633483942</v>
          </cell>
          <cell r="AB230">
            <v>55374.912449867224</v>
          </cell>
          <cell r="AC230">
            <v>58076.99156480789</v>
          </cell>
          <cell r="AD230">
            <v>62210.734014487818</v>
          </cell>
          <cell r="AE230">
            <v>67374.994373915324</v>
          </cell>
        </row>
        <row r="231">
          <cell r="G231">
            <v>45108.374295171176</v>
          </cell>
          <cell r="H231">
            <v>46149.56065856183</v>
          </cell>
          <cell r="I231">
            <v>47625.090696060222</v>
          </cell>
          <cell r="J231">
            <v>49239.504556032982</v>
          </cell>
          <cell r="K231">
            <v>51031.017404918923</v>
          </cell>
          <cell r="L231">
            <v>54200.373325811925</v>
          </cell>
          <cell r="M231">
            <v>55333.543476117171</v>
          </cell>
          <cell r="N231">
            <v>58534.252384181593</v>
          </cell>
          <cell r="O231">
            <v>58902.884869384878</v>
          </cell>
          <cell r="P231">
            <v>61220.727174027903</v>
          </cell>
          <cell r="Q231">
            <v>62739.911562789377</v>
          </cell>
          <cell r="R231">
            <v>62162.601935177241</v>
          </cell>
          <cell r="S231">
            <v>63922.405058420525</v>
          </cell>
          <cell r="T231">
            <v>69503.539738679581</v>
          </cell>
          <cell r="U231">
            <v>74820.119795511695</v>
          </cell>
          <cell r="V231">
            <v>80359.598457471366</v>
          </cell>
          <cell r="W231">
            <v>86541.70128799032</v>
          </cell>
          <cell r="X231">
            <v>92483.477913026232</v>
          </cell>
          <cell r="Y231">
            <v>94848.756057148668</v>
          </cell>
          <cell r="Z231">
            <v>104876.15733776866</v>
          </cell>
          <cell r="AA231">
            <v>108880.94517899094</v>
          </cell>
          <cell r="AB231">
            <v>111269.29774283603</v>
          </cell>
          <cell r="AC231">
            <v>113174.32196937493</v>
          </cell>
          <cell r="AD231">
            <v>117725.13831993856</v>
          </cell>
          <cell r="AE231">
            <v>124056.03016699647</v>
          </cell>
        </row>
        <row r="232">
          <cell r="G232">
            <v>14732.614363471273</v>
          </cell>
          <cell r="H232">
            <v>15190.025849992297</v>
          </cell>
          <cell r="I232">
            <v>15978.652657210951</v>
          </cell>
          <cell r="J232">
            <v>16358.081684185232</v>
          </cell>
          <cell r="K232">
            <v>16802.815184019466</v>
          </cell>
          <cell r="L232">
            <v>17995.075095351578</v>
          </cell>
          <cell r="M232">
            <v>18068.872042573646</v>
          </cell>
          <cell r="N232">
            <v>19587.401185481136</v>
          </cell>
          <cell r="O232">
            <v>19396.744558816688</v>
          </cell>
          <cell r="P232">
            <v>20469.625724466405</v>
          </cell>
          <cell r="Q232">
            <v>22021.466826109994</v>
          </cell>
          <cell r="R232">
            <v>22443.493824552352</v>
          </cell>
          <cell r="S232">
            <v>23154.520006260926</v>
          </cell>
          <cell r="T232">
            <v>24297.299686122278</v>
          </cell>
          <cell r="U232">
            <v>25604.628317990238</v>
          </cell>
          <cell r="V232">
            <v>27252.115344501475</v>
          </cell>
          <cell r="W232">
            <v>29326.592850202847</v>
          </cell>
          <cell r="X232">
            <v>31071.045803116915</v>
          </cell>
          <cell r="Y232">
            <v>31809.338088577882</v>
          </cell>
          <cell r="Z232">
            <v>32253.678455315665</v>
          </cell>
          <cell r="AA232">
            <v>33031.407872308417</v>
          </cell>
          <cell r="AB232">
            <v>33044.701825989607</v>
          </cell>
          <cell r="AC232">
            <v>33079.38765057132</v>
          </cell>
          <cell r="AD232">
            <v>33840.932034592515</v>
          </cell>
          <cell r="AE232">
            <v>35028.551814055783</v>
          </cell>
        </row>
        <row r="233">
          <cell r="G233">
            <v>30607.73667734694</v>
          </cell>
          <cell r="H233">
            <v>31558.031715771514</v>
          </cell>
          <cell r="I233">
            <v>33196.443002222775</v>
          </cell>
          <cell r="J233">
            <v>33984.725615128584</v>
          </cell>
          <cell r="K233">
            <v>34908.681507727801</v>
          </cell>
          <cell r="L233">
            <v>37385.660577205868</v>
          </cell>
          <cell r="M233">
            <v>37538.977393382476</v>
          </cell>
          <cell r="N233">
            <v>40693.796965544178</v>
          </cell>
          <cell r="O233">
            <v>40297.698372262203</v>
          </cell>
          <cell r="P233">
            <v>42526.662179644067</v>
          </cell>
          <cell r="Q233">
            <v>45750.688997447731</v>
          </cell>
          <cell r="R233">
            <v>46627.471007780034</v>
          </cell>
          <cell r="S233">
            <v>48104.663147852298</v>
          </cell>
          <cell r="T233">
            <v>50478.844583575272</v>
          </cell>
          <cell r="U233">
            <v>53194.884624247505</v>
          </cell>
          <cell r="V233">
            <v>56617.620592401901</v>
          </cell>
          <cell r="W233">
            <v>59923.157134890702</v>
          </cell>
          <cell r="X233">
            <v>63973.486449511773</v>
          </cell>
          <cell r="Y233">
            <v>66181.538107032015</v>
          </cell>
          <cell r="Z233">
            <v>66453.563269918333</v>
          </cell>
          <cell r="AA233">
            <v>66959.267579956038</v>
          </cell>
          <cell r="AB233">
            <v>66094.364426773463</v>
          </cell>
          <cell r="AC233">
            <v>65334.982685483985</v>
          </cell>
          <cell r="AD233">
            <v>65811.632936669848</v>
          </cell>
          <cell r="AE233">
            <v>67051.855449590992</v>
          </cell>
        </row>
        <row r="236">
          <cell r="G236">
            <v>365235.87759901345</v>
          </cell>
          <cell r="H236">
            <v>354859.62782446295</v>
          </cell>
          <cell r="I236">
            <v>359099.12116031331</v>
          </cell>
          <cell r="J236">
            <v>363684.89253116085</v>
          </cell>
          <cell r="K236">
            <v>371183.65691280959</v>
          </cell>
          <cell r="L236">
            <v>393810.14448577375</v>
          </cell>
          <cell r="M236">
            <v>392919.76472724194</v>
          </cell>
          <cell r="N236">
            <v>416337.28299488511</v>
          </cell>
          <cell r="O236">
            <v>415847.40765335562</v>
          </cell>
          <cell r="P236">
            <v>440930.75205977412</v>
          </cell>
          <cell r="Q236">
            <v>462610.57949277834</v>
          </cell>
          <cell r="R236">
            <v>464545.80548638868</v>
          </cell>
          <cell r="S236">
            <v>474100.778496566</v>
          </cell>
          <cell r="T236">
            <v>490120.37038982578</v>
          </cell>
          <cell r="U236">
            <v>507824.3128671766</v>
          </cell>
          <cell r="V236">
            <v>523265.66056981642</v>
          </cell>
          <cell r="W236">
            <v>547621.81359517598</v>
          </cell>
          <cell r="X236">
            <v>577195.13074333861</v>
          </cell>
          <cell r="Y236">
            <v>597901.31757310289</v>
          </cell>
          <cell r="Z236">
            <v>606724.96847552957</v>
          </cell>
          <cell r="AA236">
            <v>621130.50828699535</v>
          </cell>
          <cell r="AB236">
            <v>615303.10013566166</v>
          </cell>
          <cell r="AC236">
            <v>604685.27239587845</v>
          </cell>
          <cell r="AD236">
            <v>611946.42316720472</v>
          </cell>
          <cell r="AE236">
            <v>621775.7724142184</v>
          </cell>
        </row>
        <row r="237">
          <cell r="G237">
            <v>128508.91989594916</v>
          </cell>
          <cell r="H237">
            <v>159878.80401357694</v>
          </cell>
          <cell r="I237">
            <v>161788.86949021256</v>
          </cell>
          <cell r="J237">
            <v>163854.9474116308</v>
          </cell>
          <cell r="K237">
            <v>167233.44805501943</v>
          </cell>
          <cell r="L237">
            <v>177427.60791020317</v>
          </cell>
          <cell r="M237">
            <v>177026.45534239855</v>
          </cell>
          <cell r="N237">
            <v>187577.00694092782</v>
          </cell>
          <cell r="O237">
            <v>187356.29802512456</v>
          </cell>
          <cell r="P237">
            <v>198657.37256252611</v>
          </cell>
          <cell r="Q237">
            <v>208425.02323177626</v>
          </cell>
          <cell r="R237">
            <v>209296.92184490184</v>
          </cell>
          <cell r="S237">
            <v>213601.82873615521</v>
          </cell>
          <cell r="T237">
            <v>220819.31134577713</v>
          </cell>
          <cell r="U237">
            <v>228795.66291599342</v>
          </cell>
          <cell r="V237">
            <v>235752.62282205813</v>
          </cell>
          <cell r="W237">
            <v>246726.06784295075</v>
          </cell>
          <cell r="X237">
            <v>260050.0590936582</v>
          </cell>
          <cell r="Y237">
            <v>269379.04477264325</v>
          </cell>
          <cell r="Z237">
            <v>274246.47257606586</v>
          </cell>
          <cell r="AA237">
            <v>283323.60322947107</v>
          </cell>
          <cell r="AB237">
            <v>282176.62280447973</v>
          </cell>
          <cell r="AC237">
            <v>278788.25314832455</v>
          </cell>
          <cell r="AD237">
            <v>283474.80692722125</v>
          </cell>
          <cell r="AE237">
            <v>289306.68472038873</v>
          </cell>
        </row>
        <row r="238">
          <cell r="G238">
            <v>182617.93879950672</v>
          </cell>
          <cell r="H238">
            <v>187597.13911690007</v>
          </cell>
          <cell r="I238">
            <v>189838.35439964873</v>
          </cell>
          <cell r="J238">
            <v>192262.63014803207</v>
          </cell>
          <cell r="K238">
            <v>196226.86455117722</v>
          </cell>
          <cell r="L238">
            <v>208188.39526396897</v>
          </cell>
          <cell r="M238">
            <v>207717.6945070184</v>
          </cell>
          <cell r="N238">
            <v>220097.40492705166</v>
          </cell>
          <cell r="O238">
            <v>219838.43150379052</v>
          </cell>
          <cell r="P238">
            <v>233098.78371397682</v>
          </cell>
          <cell r="Q238">
            <v>244559.86095151352</v>
          </cell>
          <cell r="R238">
            <v>245582.9214280509</v>
          </cell>
          <cell r="S238">
            <v>250634.17398117352</v>
          </cell>
          <cell r="T238">
            <v>259102.95818021009</v>
          </cell>
          <cell r="U238">
            <v>268462.17714857374</v>
          </cell>
          <cell r="V238">
            <v>276625.27158364275</v>
          </cell>
          <cell r="W238">
            <v>289501.19284710946</v>
          </cell>
          <cell r="X238">
            <v>305135.17669927207</v>
          </cell>
          <cell r="Y238">
            <v>316081.53719425993</v>
          </cell>
          <cell r="Z238">
            <v>318864.90587520832</v>
          </cell>
          <cell r="AA238">
            <v>321024.71413024032</v>
          </cell>
          <cell r="AB238">
            <v>314825.8482508192</v>
          </cell>
          <cell r="AC238">
            <v>306269.79725356057</v>
          </cell>
          <cell r="AD238">
            <v>307123.92753089877</v>
          </cell>
          <cell r="AE238">
            <v>309360.53101240424</v>
          </cell>
        </row>
        <row r="239">
          <cell r="G239">
            <v>22826.038376498713</v>
          </cell>
          <cell r="H239">
            <v>37085.098831852469</v>
          </cell>
          <cell r="I239">
            <v>37893.103890682374</v>
          </cell>
          <cell r="J239">
            <v>38462.381555532207</v>
          </cell>
          <cell r="K239">
            <v>38969.129623895285</v>
          </cell>
          <cell r="L239">
            <v>41122.671401230393</v>
          </cell>
          <cell r="M239">
            <v>41185.78757641455</v>
          </cell>
          <cell r="N239">
            <v>44212.728429698531</v>
          </cell>
          <cell r="O239">
            <v>44951.843483761288</v>
          </cell>
          <cell r="P239">
            <v>48023.926933948365</v>
          </cell>
          <cell r="Q239">
            <v>50150.466781839837</v>
          </cell>
          <cell r="R239">
            <v>50124.859380140115</v>
          </cell>
          <cell r="S239">
            <v>50689.163852827936</v>
          </cell>
          <cell r="T239">
            <v>51823.573400304151</v>
          </cell>
          <cell r="U239">
            <v>52861.045289321017</v>
          </cell>
          <cell r="V239">
            <v>54320.35492645581</v>
          </cell>
          <cell r="W239">
            <v>56926.871894878575</v>
          </cell>
          <cell r="X239">
            <v>59891.068626553875</v>
          </cell>
          <cell r="Y239">
            <v>62046.543913457623</v>
          </cell>
          <cell r="Z239">
            <v>63939.99342109407</v>
          </cell>
          <cell r="AA239">
            <v>65822.79068051881</v>
          </cell>
          <cell r="AB239">
            <v>65849.37613974858</v>
          </cell>
          <cell r="AC239">
            <v>65246.726750042319</v>
          </cell>
          <cell r="AD239">
            <v>66564.13506297869</v>
          </cell>
          <cell r="AE239">
            <v>68260.473116669134</v>
          </cell>
        </row>
        <row r="240">
          <cell r="G240">
            <v>73043.322804795869</v>
          </cell>
          <cell r="H240">
            <v>68495.559377511716</v>
          </cell>
          <cell r="I240">
            <v>69987.931252677838</v>
          </cell>
          <cell r="J240">
            <v>71039.377610467272</v>
          </cell>
          <cell r="K240">
            <v>71975.332845840443</v>
          </cell>
          <cell r="L240">
            <v>75952.888611573333</v>
          </cell>
          <cell r="M240">
            <v>76069.463135066151</v>
          </cell>
          <cell r="N240">
            <v>81660.172435542656</v>
          </cell>
          <cell r="O240">
            <v>83025.305620219151</v>
          </cell>
          <cell r="P240">
            <v>88699.392544701768</v>
          </cell>
          <cell r="Q240">
            <v>92627.076196842638</v>
          </cell>
          <cell r="R240">
            <v>92579.779752748451</v>
          </cell>
          <cell r="S240">
            <v>93622.040707511944</v>
          </cell>
          <cell r="T240">
            <v>95717.276232429431</v>
          </cell>
          <cell r="U240">
            <v>97633.469518009108</v>
          </cell>
          <cell r="V240">
            <v>100328.79009282413</v>
          </cell>
          <cell r="W240">
            <v>105142.983485933</v>
          </cell>
          <cell r="X240">
            <v>110617.80543966891</v>
          </cell>
          <cell r="Y240">
            <v>114598.93236534574</v>
          </cell>
          <cell r="Z240">
            <v>115858.64768204739</v>
          </cell>
          <cell r="AA240">
            <v>116478.30055393775</v>
          </cell>
          <cell r="AB240">
            <v>114286.39036749169</v>
          </cell>
          <cell r="AC240">
            <v>111201.59592874881</v>
          </cell>
          <cell r="AD240">
            <v>111549.77156105102</v>
          </cell>
          <cell r="AE240">
            <v>112441.44112659105</v>
          </cell>
        </row>
        <row r="241">
          <cell r="G241">
            <v>18260.830701198967</v>
          </cell>
          <cell r="H241">
            <v>17123.889844377929</v>
          </cell>
          <cell r="I241">
            <v>17496.982813169459</v>
          </cell>
          <cell r="J241">
            <v>17759.844402616818</v>
          </cell>
          <cell r="K241">
            <v>17993.833211460111</v>
          </cell>
          <cell r="L241">
            <v>18988.222152893333</v>
          </cell>
          <cell r="M241">
            <v>19017.365783766538</v>
          </cell>
          <cell r="N241">
            <v>20415.043108885664</v>
          </cell>
          <cell r="O241">
            <v>20756.326405054788</v>
          </cell>
          <cell r="P241">
            <v>22174.848136175442</v>
          </cell>
          <cell r="Q241">
            <v>23156.769049210659</v>
          </cell>
          <cell r="R241">
            <v>23144.944938187113</v>
          </cell>
          <cell r="S241">
            <v>23405.510176877986</v>
          </cell>
          <cell r="T241">
            <v>23929.319058107358</v>
          </cell>
          <cell r="U241">
            <v>24408.367379502277</v>
          </cell>
          <cell r="V241">
            <v>25082.197523206032</v>
          </cell>
          <cell r="W241">
            <v>26285.74587148325</v>
          </cell>
          <cell r="X241">
            <v>27654.451359917228</v>
          </cell>
          <cell r="Y241">
            <v>28649.733091336435</v>
          </cell>
          <cell r="Z241">
            <v>30793.004144602553</v>
          </cell>
          <cell r="AA241">
            <v>33283.211347743643</v>
          </cell>
          <cell r="AB241">
            <v>34566.484046841208</v>
          </cell>
          <cell r="AC241">
            <v>35406.47476373057</v>
          </cell>
          <cell r="AD241">
            <v>37197.32778087561</v>
          </cell>
          <cell r="AE241">
            <v>39251.843081514526</v>
          </cell>
        </row>
        <row r="242">
          <cell r="G242">
            <v>38043.397294164519</v>
          </cell>
          <cell r="H242">
            <v>33061.397754723999</v>
          </cell>
          <cell r="I242">
            <v>33781.73496506628</v>
          </cell>
          <cell r="J242">
            <v>34289.246496741514</v>
          </cell>
          <cell r="K242">
            <v>34741.012838946874</v>
          </cell>
          <cell r="L242">
            <v>36660.897200175481</v>
          </cell>
          <cell r="M242">
            <v>36717.165325062553</v>
          </cell>
          <cell r="N242">
            <v>39415.685719579902</v>
          </cell>
          <cell r="O242">
            <v>40074.60743095701</v>
          </cell>
          <cell r="P242">
            <v>42813.372489743997</v>
          </cell>
          <cell r="Q242">
            <v>44709.184607467789</v>
          </cell>
          <cell r="R242">
            <v>44686.35558665546</v>
          </cell>
          <cell r="S242">
            <v>45189.43351320739</v>
          </cell>
          <cell r="T242">
            <v>46200.760608112003</v>
          </cell>
          <cell r="U242">
            <v>47125.667696472541</v>
          </cell>
          <cell r="V242">
            <v>48426.643502937863</v>
          </cell>
          <cell r="W242">
            <v>50750.35563966936</v>
          </cell>
          <cell r="X242">
            <v>53392.939595384662</v>
          </cell>
          <cell r="Y242">
            <v>55314.547682069737</v>
          </cell>
          <cell r="Z242">
            <v>56206.338067598081</v>
          </cell>
          <cell r="AA242">
            <v>56867.860447024854</v>
          </cell>
          <cell r="AB242">
            <v>56094.0735060183</v>
          </cell>
          <cell r="AC242">
            <v>54855.157088644417</v>
          </cell>
          <cell r="AD242">
            <v>55287.638953758076</v>
          </cell>
          <cell r="AE242">
            <v>56002.286494712542</v>
          </cell>
        </row>
        <row r="243">
          <cell r="G243">
            <v>4628.0563230687512</v>
          </cell>
          <cell r="H243">
            <v>4701.4044369701423</v>
          </cell>
          <cell r="I243">
            <v>4765.7538702829233</v>
          </cell>
          <cell r="J243">
            <v>4856.2183556535629</v>
          </cell>
          <cell r="K243">
            <v>4946.6084717631393</v>
          </cell>
          <cell r="L243">
            <v>5278.2857012813538</v>
          </cell>
          <cell r="M243">
            <v>5357.0931278130192</v>
          </cell>
          <cell r="N243">
            <v>5747.3914872416699</v>
          </cell>
          <cell r="O243">
            <v>5732.4673645938337</v>
          </cell>
          <cell r="P243">
            <v>6142.1880301032079</v>
          </cell>
          <cell r="Q243">
            <v>6440.7376439136387</v>
          </cell>
          <cell r="R243">
            <v>6446.5319933809833</v>
          </cell>
          <cell r="S243">
            <v>6508.8716791976822</v>
          </cell>
          <cell r="T243">
            <v>6604.0308077340533</v>
          </cell>
          <cell r="U243">
            <v>6726.1553145885591</v>
          </cell>
          <cell r="V243">
            <v>6888.1269957209943</v>
          </cell>
          <cell r="W243">
            <v>7236.5674433278036</v>
          </cell>
          <cell r="X243">
            <v>7730.2118587169389</v>
          </cell>
          <cell r="Y243">
            <v>8038.0237502793789</v>
          </cell>
          <cell r="Z243">
            <v>8252.3093205514033</v>
          </cell>
          <cell r="AA243">
            <v>8409.382277396091</v>
          </cell>
          <cell r="AB243">
            <v>8362.9356517854412</v>
          </cell>
          <cell r="AC243">
            <v>8292.2030909308778</v>
          </cell>
          <cell r="AD243">
            <v>8458.0331189855751</v>
          </cell>
          <cell r="AE243">
            <v>8650.3301626552002</v>
          </cell>
        </row>
        <row r="244">
          <cell r="G244">
            <v>15523.354711945038</v>
          </cell>
          <cell r="H244">
            <v>15769.377817555918</v>
          </cell>
          <cell r="I244">
            <v>15985.217688356061</v>
          </cell>
          <cell r="J244">
            <v>16288.652261578984</v>
          </cell>
          <cell r="K244">
            <v>16591.837386580326</v>
          </cell>
          <cell r="L244">
            <v>17704.344003671897</v>
          </cell>
          <cell r="M244">
            <v>17968.678651002941</v>
          </cell>
          <cell r="N244">
            <v>19277.81135250035</v>
          </cell>
          <cell r="O244">
            <v>19227.753091871116</v>
          </cell>
          <cell r="P244">
            <v>20602.031791076501</v>
          </cell>
          <cell r="Q244">
            <v>21603.422273554581</v>
          </cell>
          <cell r="R244">
            <v>21622.857590635365</v>
          </cell>
          <cell r="S244">
            <v>21831.956397566515</v>
          </cell>
          <cell r="T244">
            <v>22151.137670055909</v>
          </cell>
          <cell r="U244">
            <v>22560.765796117001</v>
          </cell>
          <cell r="V244">
            <v>23104.048695889851</v>
          </cell>
          <cell r="W244">
            <v>24222.842301479006</v>
          </cell>
          <cell r="X244">
            <v>25741.472768522566</v>
          </cell>
          <cell r="Y244">
            <v>26592.666617849558</v>
          </cell>
          <cell r="Z244">
            <v>27217.575877861957</v>
          </cell>
          <cell r="AA244">
            <v>27703.370878767415</v>
          </cell>
          <cell r="AB244">
            <v>27506.937031022229</v>
          </cell>
          <cell r="AC244">
            <v>27126.465394959287</v>
          </cell>
          <cell r="AD244">
            <v>27532.444745598816</v>
          </cell>
          <cell r="AE244">
            <v>28038.123006593294</v>
          </cell>
        </row>
        <row r="245">
          <cell r="G245">
            <v>42989.038650593269</v>
          </cell>
          <cell r="H245">
            <v>46177.524094383676</v>
          </cell>
          <cell r="I245">
            <v>48049.097799709365</v>
          </cell>
          <cell r="J245">
            <v>50221.351556134323</v>
          </cell>
          <cell r="K245">
            <v>53009.132948004757</v>
          </cell>
          <cell r="L245">
            <v>57640.128982233764</v>
          </cell>
          <cell r="M245">
            <v>59025.056673692248</v>
          </cell>
          <cell r="N245">
            <v>64140.796106645364</v>
          </cell>
          <cell r="O245">
            <v>65738.378600449563</v>
          </cell>
          <cell r="P245">
            <v>72214.596280012745</v>
          </cell>
          <cell r="Q245">
            <v>79060.97595669709</v>
          </cell>
          <cell r="R245">
            <v>81293.356899375809</v>
          </cell>
          <cell r="S245">
            <v>84841.963710676544</v>
          </cell>
          <cell r="T245">
            <v>88452.881885079623</v>
          </cell>
          <cell r="U245">
            <v>92105.077335115246</v>
          </cell>
          <cell r="V245">
            <v>97065.846332970599</v>
          </cell>
          <cell r="W245">
            <v>102052.43951083547</v>
          </cell>
          <cell r="X245">
            <v>109775.5245398815</v>
          </cell>
          <cell r="Y245">
            <v>114575.40812346498</v>
          </cell>
          <cell r="Z245">
            <v>118916.91832645051</v>
          </cell>
          <cell r="AA245">
            <v>122334.77011979968</v>
          </cell>
          <cell r="AB245">
            <v>122593.4152380662</v>
          </cell>
          <cell r="AC245">
            <v>121709.85508655623</v>
          </cell>
          <cell r="AD245">
            <v>124569.45637297981</v>
          </cell>
          <cell r="AE245">
            <v>128234.69570832193</v>
          </cell>
        </row>
        <row r="246">
          <cell r="G246">
            <v>33299.04878638684</v>
          </cell>
          <cell r="H246">
            <v>30330.448544332252</v>
          </cell>
          <cell r="I246">
            <v>30989.602297357953</v>
          </cell>
          <cell r="J246">
            <v>31454.007198291205</v>
          </cell>
          <cell r="K246">
            <v>31867.401752508187</v>
          </cell>
          <cell r="L246">
            <v>33627.757716878958</v>
          </cell>
          <cell r="M246">
            <v>33678.283068356512</v>
          </cell>
          <cell r="N246">
            <v>36151.728628515026</v>
          </cell>
          <cell r="O246">
            <v>36753.502636978956</v>
          </cell>
          <cell r="P246">
            <v>39263.465870843895</v>
          </cell>
          <cell r="Q246">
            <v>41001.093157340103</v>
          </cell>
          <cell r="R246">
            <v>40978.97325122216</v>
          </cell>
          <cell r="S246">
            <v>41438.624077021566</v>
          </cell>
          <cell r="T246">
            <v>42363.69971619008</v>
          </cell>
          <cell r="U246">
            <v>43210.133146248801</v>
          </cell>
          <cell r="V246">
            <v>44401.32382270151</v>
          </cell>
          <cell r="W246">
            <v>46342.560297745775</v>
          </cell>
          <cell r="X246">
            <v>48642.611386782039</v>
          </cell>
          <cell r="Y246">
            <v>50263.175879098308</v>
          </cell>
          <cell r="Z246">
            <v>50977.817961385736</v>
          </cell>
          <cell r="AA246">
            <v>51339.024248911577</v>
          </cell>
          <cell r="AB246">
            <v>50538.39378639061</v>
          </cell>
          <cell r="AC246">
            <v>49436.659552163255</v>
          </cell>
          <cell r="AD246">
            <v>49738.779482392318</v>
          </cell>
          <cell r="AE246">
            <v>50267.876249741275</v>
          </cell>
        </row>
        <row r="247">
          <cell r="G247">
            <v>10691.658369472056</v>
          </cell>
          <cell r="H247">
            <v>15762.991449869804</v>
          </cell>
          <cell r="I247">
            <v>16105.559247965732</v>
          </cell>
          <cell r="J247">
            <v>16346.914415265306</v>
          </cell>
          <cell r="K247">
            <v>16561.759072574627</v>
          </cell>
          <cell r="L247">
            <v>17476.631003154402</v>
          </cell>
          <cell r="M247">
            <v>17502.889457004119</v>
          </cell>
          <cell r="N247">
            <v>18788.360100786689</v>
          </cell>
          <cell r="O247">
            <v>19101.107158790332</v>
          </cell>
          <cell r="P247">
            <v>20405.55634743558</v>
          </cell>
          <cell r="Q247">
            <v>21308.615991280461</v>
          </cell>
          <cell r="R247">
            <v>21297.120088392661</v>
          </cell>
          <cell r="S247">
            <v>21536.004522508803</v>
          </cell>
          <cell r="T247">
            <v>22016.774181070974</v>
          </cell>
          <cell r="U247">
            <v>22456.672816311991</v>
          </cell>
          <cell r="V247">
            <v>23075.744717627389</v>
          </cell>
          <cell r="W247">
            <v>24084.621784300914</v>
          </cell>
          <cell r="X247">
            <v>25279.97785026049</v>
          </cell>
          <cell r="Y247">
            <v>26122.198966740394</v>
          </cell>
          <cell r="Z247">
            <v>26801.516390175642</v>
          </cell>
          <cell r="AA247">
            <v>27292.56324226594</v>
          </cell>
          <cell r="AB247">
            <v>27183.612671531475</v>
          </cell>
          <cell r="AC247">
            <v>26965.245592442159</v>
          </cell>
          <cell r="AD247">
            <v>27407.916763462723</v>
          </cell>
          <cell r="AE247">
            <v>27972.689694185861</v>
          </cell>
        </row>
        <row r="248">
          <cell r="G248">
            <v>112714.25036667172</v>
          </cell>
          <cell r="H248">
            <v>114141.16481280299</v>
          </cell>
          <cell r="I248">
            <v>115190.36661142894</v>
          </cell>
          <cell r="J248">
            <v>116520.75449208662</v>
          </cell>
          <cell r="K248">
            <v>117639.50338136432</v>
          </cell>
          <cell r="L248">
            <v>125133.03018357205</v>
          </cell>
          <cell r="M248">
            <v>125028.1219180683</v>
          </cell>
          <cell r="N248">
            <v>132782.30628235237</v>
          </cell>
          <cell r="O248">
            <v>132776.26779086614</v>
          </cell>
          <cell r="P248">
            <v>140250.1217333712</v>
          </cell>
          <cell r="Q248">
            <v>146590.53423395441</v>
          </cell>
          <cell r="R248">
            <v>146845.81875868811</v>
          </cell>
          <cell r="S248">
            <v>147443.91759888123</v>
          </cell>
          <cell r="T248">
            <v>149119.28301449967</v>
          </cell>
          <cell r="U248">
            <v>151298.35382192422</v>
          </cell>
          <cell r="V248">
            <v>153935.93009441264</v>
          </cell>
          <cell r="W248">
            <v>164146.30188532348</v>
          </cell>
          <cell r="X248">
            <v>174886.41228830878</v>
          </cell>
          <cell r="Y248">
            <v>184122.16950487869</v>
          </cell>
          <cell r="Z248">
            <v>222578.6043170327</v>
          </cell>
          <cell r="AA248">
            <v>270108.4559566789</v>
          </cell>
          <cell r="AB248">
            <v>303077.22933959612</v>
          </cell>
          <cell r="AC248">
            <v>330226.38848079956</v>
          </cell>
          <cell r="AD248">
            <v>364736.77247703593</v>
          </cell>
          <cell r="AE248">
            <v>402666.75528648176</v>
          </cell>
        </row>
        <row r="249">
          <cell r="G249">
            <v>14752.415649731582</v>
          </cell>
          <cell r="H249">
            <v>14949.486256197217</v>
          </cell>
          <cell r="I249">
            <v>15653.173296422536</v>
          </cell>
          <cell r="J249">
            <v>16126.238339946436</v>
          </cell>
          <cell r="K249">
            <v>16429.953298851924</v>
          </cell>
          <cell r="L249">
            <v>17486.291276105734</v>
          </cell>
          <cell r="M249">
            <v>17416.657106211544</v>
          </cell>
          <cell r="N249">
            <v>18528.371104601782</v>
          </cell>
          <cell r="O249">
            <v>18478.233325586072</v>
          </cell>
          <cell r="P249">
            <v>19711.765341966311</v>
          </cell>
          <cell r="Q249">
            <v>20744.547614122177</v>
          </cell>
          <cell r="R249">
            <v>21201.557636324564</v>
          </cell>
          <cell r="S249">
            <v>21869.370611957627</v>
          </cell>
          <cell r="T249">
            <v>22409.704663340748</v>
          </cell>
          <cell r="U249">
            <v>23146.437011872487</v>
          </cell>
          <cell r="V249">
            <v>23754.6214532173</v>
          </cell>
          <cell r="W249">
            <v>24638.42210750085</v>
          </cell>
          <cell r="X249">
            <v>25998.629422016213</v>
          </cell>
          <cell r="Y249">
            <v>27022.019736324251</v>
          </cell>
          <cell r="Z249">
            <v>27815.476693020497</v>
          </cell>
          <cell r="AA249">
            <v>28513.040758287032</v>
          </cell>
          <cell r="AB249">
            <v>28522.892788035613</v>
          </cell>
          <cell r="AC249">
            <v>28160.258081621505</v>
          </cell>
          <cell r="AD249">
            <v>28635.095426973003</v>
          </cell>
          <cell r="AE249">
            <v>29323.666041989127</v>
          </cell>
        </row>
        <row r="250">
          <cell r="G250">
            <v>34875.560548544068</v>
          </cell>
          <cell r="H250">
            <v>35490.215717743871</v>
          </cell>
          <cell r="I250">
            <v>36041.055471905849</v>
          </cell>
          <cell r="J250">
            <v>36987.832605266187</v>
          </cell>
          <cell r="K250">
            <v>37609.896544160554</v>
          </cell>
          <cell r="L250">
            <v>39880.544867932578</v>
          </cell>
          <cell r="M250">
            <v>40403.524766928334</v>
          </cell>
          <cell r="N250">
            <v>43318.517315310317</v>
          </cell>
          <cell r="O250">
            <v>43477.324084102991</v>
          </cell>
          <cell r="P250">
            <v>46102.792950617768</v>
          </cell>
          <cell r="Q250">
            <v>48157.744443856565</v>
          </cell>
          <cell r="R250">
            <v>48381.995246132137</v>
          </cell>
          <cell r="S250">
            <v>49049.199908716473</v>
          </cell>
          <cell r="T250">
            <v>50428.752236485008</v>
          </cell>
          <cell r="U250">
            <v>51749.10969971741</v>
          </cell>
          <cell r="V250">
            <v>53283.685692529973</v>
          </cell>
          <cell r="W250">
            <v>55740.603359634508</v>
          </cell>
          <cell r="X250">
            <v>58846.279199835903</v>
          </cell>
          <cell r="Y250">
            <v>60989.003348343955</v>
          </cell>
          <cell r="Z250">
            <v>66855.58838065021</v>
          </cell>
          <cell r="AA250">
            <v>70982.670891079164</v>
          </cell>
          <cell r="AB250">
            <v>72875.175932513535</v>
          </cell>
          <cell r="AC250">
            <v>74055.453637505809</v>
          </cell>
          <cell r="AD250">
            <v>77727.363212703494</v>
          </cell>
          <cell r="AE250">
            <v>81944.81933887284</v>
          </cell>
        </row>
        <row r="251">
          <cell r="G251">
            <v>95092.731567875642</v>
          </cell>
          <cell r="H251">
            <v>96766.415545228316</v>
          </cell>
          <cell r="I251">
            <v>98266.332436564364</v>
          </cell>
          <cell r="J251">
            <v>100844.37260873445</v>
          </cell>
          <cell r="K251">
            <v>102538.23040020447</v>
          </cell>
          <cell r="L251">
            <v>108726.98855621848</v>
          </cell>
          <cell r="M251">
            <v>110149.4485241012</v>
          </cell>
          <cell r="N251">
            <v>118093.70785323142</v>
          </cell>
          <cell r="O251">
            <v>118524.17778565657</v>
          </cell>
          <cell r="P251">
            <v>125679.56328821628</v>
          </cell>
          <cell r="Q251">
            <v>131279.82577985615</v>
          </cell>
          <cell r="R251">
            <v>131888.41597728548</v>
          </cell>
          <cell r="S251">
            <v>133704.03605860649</v>
          </cell>
          <cell r="T251">
            <v>137459.9244662337</v>
          </cell>
          <cell r="U251">
            <v>141055.35189563283</v>
          </cell>
          <cell r="V251">
            <v>145235.13322236884</v>
          </cell>
          <cell r="W251">
            <v>153068.71128711573</v>
          </cell>
          <cell r="X251">
            <v>162786.7828709142</v>
          </cell>
          <cell r="Y251">
            <v>169902.61285857085</v>
          </cell>
          <cell r="Z251">
            <v>177924.99831106921</v>
          </cell>
          <cell r="AA251">
            <v>183099.6511936677</v>
          </cell>
          <cell r="AB251">
            <v>183290.58023238834</v>
          </cell>
          <cell r="AC251">
            <v>181910.0452579376</v>
          </cell>
          <cell r="AD251">
            <v>186440.59700101402</v>
          </cell>
          <cell r="AE251">
            <v>192071.4052546951</v>
          </cell>
        </row>
        <row r="252">
          <cell r="G252">
            <v>20269.095261833754</v>
          </cell>
          <cell r="H252">
            <v>20530.532236312658</v>
          </cell>
          <cell r="I252">
            <v>20719.297673345118</v>
          </cell>
          <cell r="J252">
            <v>20905.426610008475</v>
          </cell>
          <cell r="K252">
            <v>21238.400627835614</v>
          </cell>
          <cell r="L252">
            <v>22707.133589089823</v>
          </cell>
          <cell r="M252">
            <v>22914.0953188536</v>
          </cell>
          <cell r="N252">
            <v>24446.984147439664</v>
          </cell>
          <cell r="O252">
            <v>24508.760457259279</v>
          </cell>
          <cell r="P252">
            <v>26182.572155659302</v>
          </cell>
          <cell r="Q252">
            <v>27665.032170520342</v>
          </cell>
          <cell r="R252">
            <v>27944.373484518161</v>
          </cell>
          <cell r="S252">
            <v>28737.453154020208</v>
          </cell>
          <cell r="T252">
            <v>29887.275798005736</v>
          </cell>
          <cell r="U252">
            <v>31124.852838925988</v>
          </cell>
          <cell r="V252">
            <v>32286.30287308092</v>
          </cell>
          <cell r="W252">
            <v>34084.157085432591</v>
          </cell>
          <cell r="X252">
            <v>36026.430975225201</v>
          </cell>
          <cell r="Y252">
            <v>37766.179529638641</v>
          </cell>
          <cell r="Z252">
            <v>38453.867170200647</v>
          </cell>
          <cell r="AA252">
            <v>38998.349356101215</v>
          </cell>
          <cell r="AB252">
            <v>38753.276478936947</v>
          </cell>
          <cell r="AC252">
            <v>38078.707519783769</v>
          </cell>
          <cell r="AD252">
            <v>38623.220290712226</v>
          </cell>
          <cell r="AE252">
            <v>39376.63752481604</v>
          </cell>
        </row>
        <row r="253">
          <cell r="G253">
            <v>111590.53378044043</v>
          </cell>
          <cell r="H253">
            <v>113029.8625297102</v>
          </cell>
          <cell r="I253">
            <v>114069.10160800362</v>
          </cell>
          <cell r="J253">
            <v>115093.82555971152</v>
          </cell>
          <cell r="K253">
            <v>116926.99807700257</v>
          </cell>
          <cell r="L253">
            <v>125013.03709404237</v>
          </cell>
          <cell r="M253">
            <v>126152.45499099954</v>
          </cell>
          <cell r="N253">
            <v>134591.7010648037</v>
          </cell>
          <cell r="O253">
            <v>134931.80758158234</v>
          </cell>
          <cell r="P253">
            <v>144146.89776985085</v>
          </cell>
          <cell r="Q253">
            <v>152308.51042347541</v>
          </cell>
          <cell r="R253">
            <v>153846.41065697235</v>
          </cell>
          <cell r="S253">
            <v>158212.67281652676</v>
          </cell>
          <cell r="T253">
            <v>164542.96634653877</v>
          </cell>
          <cell r="U253">
            <v>171356.38750849618</v>
          </cell>
          <cell r="V253">
            <v>177750.69507853885</v>
          </cell>
          <cell r="W253">
            <v>186860.74176010364</v>
          </cell>
          <cell r="X253">
            <v>198849.0352817431</v>
          </cell>
          <cell r="Y253">
            <v>207459.88509259641</v>
          </cell>
          <cell r="Z253">
            <v>210238.94541030767</v>
          </cell>
          <cell r="AA253">
            <v>212559.78193989891</v>
          </cell>
          <cell r="AB253">
            <v>209370.44418938732</v>
          </cell>
          <cell r="AC253">
            <v>204710.6763606098</v>
          </cell>
          <cell r="AD253">
            <v>206356.08182021734</v>
          </cell>
          <cell r="AE253">
            <v>208941.43593905578</v>
          </cell>
        </row>
        <row r="256">
          <cell r="G256">
            <v>41700.08658172701</v>
          </cell>
          <cell r="H256">
            <v>42703.510343600574</v>
          </cell>
          <cell r="I256">
            <v>44257.002746285623</v>
          </cell>
          <cell r="J256">
            <v>46606.120598262525</v>
          </cell>
          <cell r="K256">
            <v>48934.561178675896</v>
          </cell>
          <cell r="L256">
            <v>49695.768483822583</v>
          </cell>
          <cell r="M256">
            <v>49546.517070036483</v>
          </cell>
          <cell r="N256">
            <v>52273.811962574538</v>
          </cell>
          <cell r="O256">
            <v>52585.807956194207</v>
          </cell>
          <cell r="P256">
            <v>56289.490101634299</v>
          </cell>
          <cell r="Q256">
            <v>59687.816054859606</v>
          </cell>
          <cell r="R256">
            <v>62488.410252297035</v>
          </cell>
          <cell r="S256">
            <v>66288.542174939212</v>
          </cell>
          <cell r="T256">
            <v>70860.892025420588</v>
          </cell>
          <cell r="U256">
            <v>78425.921481403377</v>
          </cell>
          <cell r="V256">
            <v>82710.375879353072</v>
          </cell>
          <cell r="W256">
            <v>87029.28237334211</v>
          </cell>
          <cell r="X256">
            <v>91919.753724823735</v>
          </cell>
          <cell r="Y256">
            <v>97412.530517584542</v>
          </cell>
          <cell r="Z256">
            <v>101803.61807623306</v>
          </cell>
          <cell r="AA256">
            <v>106254.40114189948</v>
          </cell>
          <cell r="AB256">
            <v>108563.77406324894</v>
          </cell>
          <cell r="AC256">
            <v>110216.79388037193</v>
          </cell>
          <cell r="AD256">
            <v>113386.61374144799</v>
          </cell>
          <cell r="AE256">
            <v>117712.63216067546</v>
          </cell>
        </row>
        <row r="257">
          <cell r="G257">
            <v>14672.252686163205</v>
          </cell>
          <cell r="H257">
            <v>19239.68134321988</v>
          </cell>
          <cell r="I257">
            <v>19939.593330695461</v>
          </cell>
          <cell r="J257">
            <v>20997.967186756636</v>
          </cell>
          <cell r="K257">
            <v>22047.02508465117</v>
          </cell>
          <cell r="L257">
            <v>22389.980168889302</v>
          </cell>
          <cell r="M257">
            <v>22322.736290852939</v>
          </cell>
          <cell r="N257">
            <v>23551.49440088233</v>
          </cell>
          <cell r="O257">
            <v>23692.06138119155</v>
          </cell>
          <cell r="P257">
            <v>25360.721959712802</v>
          </cell>
          <cell r="Q257">
            <v>26891.807060548002</v>
          </cell>
          <cell r="R257">
            <v>28153.589511143226</v>
          </cell>
          <cell r="S257">
            <v>29865.70466667843</v>
          </cell>
          <cell r="T257">
            <v>31925.735643175518</v>
          </cell>
          <cell r="U257">
            <v>35334.09141800685</v>
          </cell>
          <cell r="V257">
            <v>37264.413695563177</v>
          </cell>
          <cell r="W257">
            <v>39210.258054186605</v>
          </cell>
          <cell r="X257">
            <v>41413.615803083063</v>
          </cell>
          <cell r="Y257">
            <v>43888.336834956921</v>
          </cell>
          <cell r="Z257">
            <v>49736.807319184532</v>
          </cell>
          <cell r="AA257">
            <v>56142.539444000598</v>
          </cell>
          <cell r="AB257">
            <v>60827.935304007333</v>
          </cell>
          <cell r="AC257">
            <v>65095.991258090726</v>
          </cell>
          <cell r="AD257">
            <v>69834.495854563807</v>
          </cell>
          <cell r="AE257">
            <v>75291.428799324145</v>
          </cell>
        </row>
        <row r="258">
          <cell r="G258">
            <v>20850.043290863505</v>
          </cell>
          <cell r="H258">
            <v>22575.282569679115</v>
          </cell>
          <cell r="I258">
            <v>23396.538941304792</v>
          </cell>
          <cell r="J258">
            <v>24638.404044926261</v>
          </cell>
          <cell r="K258">
            <v>25869.338074156876</v>
          </cell>
          <cell r="L258">
            <v>26271.751596359642</v>
          </cell>
          <cell r="M258">
            <v>26192.849585423435</v>
          </cell>
          <cell r="N258">
            <v>27634.638617624529</v>
          </cell>
          <cell r="O258">
            <v>27799.575824423198</v>
          </cell>
          <cell r="P258">
            <v>29757.533620136724</v>
          </cell>
          <cell r="Q258">
            <v>31554.064351232275</v>
          </cell>
          <cell r="R258">
            <v>33034.603184256543</v>
          </cell>
          <cell r="S258">
            <v>35043.549316914716</v>
          </cell>
          <cell r="T258">
            <v>37460.729755981731</v>
          </cell>
          <cell r="U258">
            <v>41459.995302130206</v>
          </cell>
          <cell r="V258">
            <v>43724.979325981389</v>
          </cell>
          <cell r="W258">
            <v>46008.176508351571</v>
          </cell>
          <cell r="X258">
            <v>48593.532413997003</v>
          </cell>
          <cell r="Y258">
            <v>51497.298104241556</v>
          </cell>
          <cell r="Z258">
            <v>52757.518908787002</v>
          </cell>
          <cell r="AA258">
            <v>53903.877954527678</v>
          </cell>
          <cell r="AB258">
            <v>54125.33752447724</v>
          </cell>
          <cell r="AC258">
            <v>54033.163247066717</v>
          </cell>
          <cell r="AD258">
            <v>54801.231162971046</v>
          </cell>
          <cell r="AE258">
            <v>56126.369631058922</v>
          </cell>
        </row>
        <row r="259">
          <cell r="G259">
            <v>3084.9199261436966</v>
          </cell>
          <cell r="H259">
            <v>5192.3238248352354</v>
          </cell>
          <cell r="I259">
            <v>5441.9087153135188</v>
          </cell>
          <cell r="J259">
            <v>5708.9913981860245</v>
          </cell>
          <cell r="K259">
            <v>5939.2683798155113</v>
          </cell>
          <cell r="L259">
            <v>5907.767503560216</v>
          </cell>
          <cell r="M259">
            <v>5893.8371432833674</v>
          </cell>
          <cell r="N259">
            <v>6195.5678689534261</v>
          </cell>
          <cell r="O259">
            <v>6123.6377703355965</v>
          </cell>
          <cell r="P259">
            <v>6556.9250028957049</v>
          </cell>
          <cell r="Q259">
            <v>6960.5527448298462</v>
          </cell>
          <cell r="R259">
            <v>7163.8361106454095</v>
          </cell>
          <cell r="S259">
            <v>7643.6281214589717</v>
          </cell>
          <cell r="T259">
            <v>8227.1598087030998</v>
          </cell>
          <cell r="U259">
            <v>8657.9336583136501</v>
          </cell>
          <cell r="V259">
            <v>9040.8792984394131</v>
          </cell>
          <cell r="W259">
            <v>9412.5989064156402</v>
          </cell>
          <cell r="X259">
            <v>9908.961078993003</v>
          </cell>
          <cell r="Y259">
            <v>10279.707681731243</v>
          </cell>
          <cell r="Z259">
            <v>10839.759702525946</v>
          </cell>
          <cell r="AA259">
            <v>11663.103603960732</v>
          </cell>
          <cell r="AB259">
            <v>12117.020713681366</v>
          </cell>
          <cell r="AC259">
            <v>12408.832497687614</v>
          </cell>
          <cell r="AD259">
            <v>12917.727582640358</v>
          </cell>
          <cell r="AE259">
            <v>13578.615297081387</v>
          </cell>
        </row>
        <row r="260">
          <cell r="G260">
            <v>9871.7437636598297</v>
          </cell>
          <cell r="H260">
            <v>9590.1355545478818</v>
          </cell>
          <cell r="I260">
            <v>10051.114686975101</v>
          </cell>
          <cell r="J260">
            <v>10544.41195028686</v>
          </cell>
          <cell r="K260">
            <v>10969.729696910446</v>
          </cell>
          <cell r="L260">
            <v>10911.548103549427</v>
          </cell>
          <cell r="M260">
            <v>10885.818960320785</v>
          </cell>
          <cell r="N260">
            <v>11443.110581137555</v>
          </cell>
          <cell r="O260">
            <v>11310.256887980453</v>
          </cell>
          <cell r="P260">
            <v>12110.53118413112</v>
          </cell>
          <cell r="Q260">
            <v>12856.024895484399</v>
          </cell>
          <cell r="R260">
            <v>13231.48588365146</v>
          </cell>
          <cell r="S260">
            <v>14117.653730056369</v>
          </cell>
          <cell r="T260">
            <v>15195.427029610313</v>
          </cell>
          <cell r="U260">
            <v>15991.059149348286</v>
          </cell>
          <cell r="V260">
            <v>16698.353363407765</v>
          </cell>
          <cell r="W260">
            <v>17384.91328321179</v>
          </cell>
          <cell r="X260">
            <v>18301.685942189361</v>
          </cell>
          <cell r="Y260">
            <v>18986.448737537681</v>
          </cell>
          <cell r="Z260">
            <v>19186.457357777792</v>
          </cell>
          <cell r="AA260">
            <v>19421.389500806956</v>
          </cell>
          <cell r="AB260">
            <v>19309.143644282176</v>
          </cell>
          <cell r="AC260">
            <v>19047.886232108558</v>
          </cell>
          <cell r="AD260">
            <v>19147.291907871771</v>
          </cell>
          <cell r="AE260">
            <v>19450.207372063909</v>
          </cell>
        </row>
        <row r="261">
          <cell r="G261">
            <v>2467.9359409149574</v>
          </cell>
          <cell r="H261">
            <v>2397.5338886369705</v>
          </cell>
          <cell r="I261">
            <v>2512.7786717437752</v>
          </cell>
          <cell r="J261">
            <v>2636.1029875717149</v>
          </cell>
          <cell r="K261">
            <v>2742.4324242276116</v>
          </cell>
          <cell r="L261">
            <v>2727.8870258873567</v>
          </cell>
          <cell r="M261">
            <v>2721.4547400801962</v>
          </cell>
          <cell r="N261">
            <v>2860.7776452843887</v>
          </cell>
          <cell r="O261">
            <v>2827.5642219951133</v>
          </cell>
          <cell r="P261">
            <v>3027.6327960327799</v>
          </cell>
          <cell r="Q261">
            <v>3214.0062238710998</v>
          </cell>
          <cell r="R261">
            <v>3307.8714709128649</v>
          </cell>
          <cell r="S261">
            <v>3529.4134325140922</v>
          </cell>
          <cell r="T261">
            <v>3798.8567574025783</v>
          </cell>
          <cell r="U261">
            <v>3997.7647873370715</v>
          </cell>
          <cell r="V261">
            <v>4174.5883408519412</v>
          </cell>
          <cell r="W261">
            <v>4346.2283208029476</v>
          </cell>
          <cell r="X261">
            <v>4575.4214855473401</v>
          </cell>
          <cell r="Y261">
            <v>4746.6121843844203</v>
          </cell>
          <cell r="Z261">
            <v>5696.4113678519134</v>
          </cell>
          <cell r="AA261">
            <v>7141.6915145381108</v>
          </cell>
          <cell r="AB261">
            <v>8138.7616941484803</v>
          </cell>
          <cell r="AC261">
            <v>8936.3970229625047</v>
          </cell>
          <cell r="AD261">
            <v>9867.6418435425585</v>
          </cell>
          <cell r="AE261">
            <v>10933.03441460919</v>
          </cell>
        </row>
        <row r="262">
          <cell r="G262">
            <v>5141.5332102394941</v>
          </cell>
          <cell r="H262">
            <v>4628.9611906538521</v>
          </cell>
          <cell r="I262">
            <v>4851.4663368605652</v>
          </cell>
          <cell r="J262">
            <v>5089.5707801541757</v>
          </cell>
          <cell r="K262">
            <v>5294.8629088856933</v>
          </cell>
          <cell r="L262">
            <v>5266.7798503984886</v>
          </cell>
          <cell r="M262">
            <v>5254.3609221365559</v>
          </cell>
          <cell r="N262">
            <v>5523.3541256178196</v>
          </cell>
          <cell r="O262">
            <v>5459.2283803495338</v>
          </cell>
          <cell r="P262">
            <v>5845.504323759169</v>
          </cell>
          <cell r="Q262">
            <v>6205.3388055662963</v>
          </cell>
          <cell r="R262">
            <v>6386.5661024010788</v>
          </cell>
          <cell r="S262">
            <v>6814.3010959349658</v>
          </cell>
          <cell r="T262">
            <v>7334.5201009303946</v>
          </cell>
          <cell r="U262">
            <v>7718.5553612618451</v>
          </cell>
          <cell r="V262">
            <v>8059.9517313791303</v>
          </cell>
          <cell r="W262">
            <v>8391.3400841041475</v>
          </cell>
          <cell r="X262">
            <v>8833.8473912138234</v>
          </cell>
          <cell r="Y262">
            <v>9164.3683089257556</v>
          </cell>
          <cell r="Z262">
            <v>9427.4013538185536</v>
          </cell>
          <cell r="AA262">
            <v>9797.3565548521656</v>
          </cell>
          <cell r="AB262">
            <v>9932.861944815053</v>
          </cell>
          <cell r="AC262">
            <v>9966.4333527343661</v>
          </cell>
          <cell r="AD262">
            <v>10182.127978430055</v>
          </cell>
          <cell r="AE262">
            <v>10511.460426461397</v>
          </cell>
        </row>
        <row r="263">
          <cell r="G263">
            <v>38695.862157504649</v>
          </cell>
          <cell r="H263">
            <v>39188.4671848789</v>
          </cell>
          <cell r="I263">
            <v>39741.214823901777</v>
          </cell>
          <cell r="J263">
            <v>40107.89074653374</v>
          </cell>
          <cell r="K263">
            <v>41756.080499778414</v>
          </cell>
          <cell r="L263">
            <v>42655.293736363157</v>
          </cell>
          <cell r="M263">
            <v>41788.422279535007</v>
          </cell>
          <cell r="N263">
            <v>42758.588014985733</v>
          </cell>
          <cell r="O263">
            <v>42675.647914828987</v>
          </cell>
          <cell r="P263">
            <v>44698.188170030255</v>
          </cell>
          <cell r="Q263">
            <v>46622.423951739962</v>
          </cell>
          <cell r="R263">
            <v>47476.187309589091</v>
          </cell>
          <cell r="S263">
            <v>47987.913010357173</v>
          </cell>
          <cell r="T263">
            <v>48926.548887985504</v>
          </cell>
          <cell r="U263">
            <v>49631.181693389517</v>
          </cell>
          <cell r="V263">
            <v>51502.693953272537</v>
          </cell>
          <cell r="W263">
            <v>53982.101264314697</v>
          </cell>
          <cell r="X263">
            <v>56987.497434832425</v>
          </cell>
          <cell r="Y263">
            <v>57959.733733594301</v>
          </cell>
          <cell r="Z263">
            <v>59424.072963241932</v>
          </cell>
          <cell r="AA263">
            <v>62248.204735016327</v>
          </cell>
          <cell r="AB263">
            <v>63461.255420553018</v>
          </cell>
          <cell r="AC263">
            <v>63503.996144116907</v>
          </cell>
          <cell r="AD263">
            <v>64899.250469511047</v>
          </cell>
          <cell r="AE263">
            <v>67021.594229596027</v>
          </cell>
        </row>
        <row r="264">
          <cell r="G264">
            <v>15817.337232070206</v>
          </cell>
          <cell r="H264">
            <v>16018.694674591499</v>
          </cell>
          <cell r="I264">
            <v>16244.636036876404</v>
          </cell>
          <cell r="J264">
            <v>16394.518644467444</v>
          </cell>
          <cell r="K264">
            <v>17068.233395760493</v>
          </cell>
          <cell r="L264">
            <v>17435.796184482177</v>
          </cell>
          <cell r="M264">
            <v>17081.453435541836</v>
          </cell>
          <cell r="N264">
            <v>17478.018798168017</v>
          </cell>
          <cell r="O264">
            <v>17444.116167212251</v>
          </cell>
          <cell r="P264">
            <v>18270.850590436661</v>
          </cell>
          <cell r="Q264">
            <v>19057.402034863284</v>
          </cell>
          <cell r="R264">
            <v>19406.386711636154</v>
          </cell>
          <cell r="S264">
            <v>19615.559928824609</v>
          </cell>
          <cell r="T264">
            <v>19999.237133227925</v>
          </cell>
          <cell r="U264">
            <v>20287.263141344494</v>
          </cell>
          <cell r="V264">
            <v>21052.263296348981</v>
          </cell>
          <cell r="W264">
            <v>22167.22763662495</v>
          </cell>
          <cell r="X264">
            <v>23362.862099979786</v>
          </cell>
          <cell r="Y264">
            <v>23744.685317019321</v>
          </cell>
          <cell r="Z264">
            <v>23996.322284808713</v>
          </cell>
          <cell r="AA264">
            <v>23948.878801276289</v>
          </cell>
          <cell r="AB264">
            <v>23807.88839224822</v>
          </cell>
          <cell r="AC264">
            <v>23579.111074955865</v>
          </cell>
          <cell r="AD264">
            <v>23808.133708016674</v>
          </cell>
          <cell r="AE264">
            <v>24242.268569309461</v>
          </cell>
        </row>
        <row r="265">
          <cell r="G265">
            <v>5322.184838687871</v>
          </cell>
          <cell r="H265">
            <v>5545.0304646425429</v>
          </cell>
          <cell r="I265">
            <v>5646.0717363855647</v>
          </cell>
          <cell r="J265">
            <v>5772.714861515663</v>
          </cell>
          <cell r="K265">
            <v>5942.4333319450498</v>
          </cell>
          <cell r="L265">
            <v>6101.6843781988837</v>
          </cell>
          <cell r="M265">
            <v>5984.6208573422091</v>
          </cell>
          <cell r="N265">
            <v>6060.5218777927839</v>
          </cell>
          <cell r="O265">
            <v>5984.088884824102</v>
          </cell>
          <cell r="P265">
            <v>6250.5787353942815</v>
          </cell>
          <cell r="Q265">
            <v>6572.719636686692</v>
          </cell>
          <cell r="R265">
            <v>6621.4012106557939</v>
          </cell>
          <cell r="S265">
            <v>7007.3620811741166</v>
          </cell>
          <cell r="T265">
            <v>7493.6319939120322</v>
          </cell>
          <cell r="U265">
            <v>7852.5601573598751</v>
          </cell>
          <cell r="V265">
            <v>8244.2529789954897</v>
          </cell>
          <cell r="W265">
            <v>8590.1003647840844</v>
          </cell>
          <cell r="X265">
            <v>8791.169223543573</v>
          </cell>
          <cell r="Y265">
            <v>9001.664162895453</v>
          </cell>
          <cell r="Z265">
            <v>9312.348144124393</v>
          </cell>
          <cell r="AA265">
            <v>9600.2460714418157</v>
          </cell>
          <cell r="AB265">
            <v>9649.7064927956617</v>
          </cell>
          <cell r="AC265">
            <v>9594.2324440334487</v>
          </cell>
          <cell r="AD265">
            <v>9674.6836717986062</v>
          </cell>
          <cell r="AE265">
            <v>9849.4812135498341</v>
          </cell>
        </row>
        <row r="266">
          <cell r="G266">
            <v>40188.47897715179</v>
          </cell>
          <cell r="H266">
            <v>37894.786608260598</v>
          </cell>
          <cell r="I266">
            <v>39692.417744606828</v>
          </cell>
          <cell r="J266">
            <v>41616.076447625463</v>
          </cell>
          <cell r="K266">
            <v>43274.642682815946</v>
          </cell>
          <cell r="L266">
            <v>43037.119273569937</v>
          </cell>
          <cell r="M266">
            <v>42915.311055033781</v>
          </cell>
          <cell r="N266">
            <v>45084.536114695635</v>
          </cell>
          <cell r="O266">
            <v>44539.564838901228</v>
          </cell>
          <cell r="P266">
            <v>47662.286009123229</v>
          </cell>
          <cell r="Q266">
            <v>50573.227173981133</v>
          </cell>
          <cell r="R266">
            <v>52028.353540521784</v>
          </cell>
          <cell r="S266">
            <v>55480.383681701147</v>
          </cell>
          <cell r="T266">
            <v>59679.121785217372</v>
          </cell>
          <cell r="U266">
            <v>62780.458365300248</v>
          </cell>
          <cell r="V266">
            <v>65538.345071305797</v>
          </cell>
          <cell r="W266">
            <v>66650.46253738238</v>
          </cell>
          <cell r="X266">
            <v>67942.572302651621</v>
          </cell>
          <cell r="Y266">
            <v>68392.695694490918</v>
          </cell>
          <cell r="Z266">
            <v>68988.233738220995</v>
          </cell>
          <cell r="AA266">
            <v>69484.825010124769</v>
          </cell>
          <cell r="AB266">
            <v>68888.699697287899</v>
          </cell>
          <cell r="AC266">
            <v>67780.569700880937</v>
          </cell>
          <cell r="AD266">
            <v>67936.197356717166</v>
          </cell>
          <cell r="AE266">
            <v>68764.752407722292</v>
          </cell>
        </row>
        <row r="267">
          <cell r="G267">
            <v>1188.7545350603505</v>
          </cell>
          <cell r="H267">
            <v>1814.3315151782574</v>
          </cell>
          <cell r="I267">
            <v>1900.3987322087844</v>
          </cell>
          <cell r="J267">
            <v>1992.499913445489</v>
          </cell>
          <cell r="K267">
            <v>2071.9089630760959</v>
          </cell>
          <cell r="L267">
            <v>2060.5367864375899</v>
          </cell>
          <cell r="M267">
            <v>2054.7048367295088</v>
          </cell>
          <cell r="N267">
            <v>2158.5632758848569</v>
          </cell>
          <cell r="O267">
            <v>2132.4710703590135</v>
          </cell>
          <cell r="P267">
            <v>2281.9811201401903</v>
          </cell>
          <cell r="Q267">
            <v>2421.3515393175903</v>
          </cell>
          <cell r="R267">
            <v>2491.0202684932815</v>
          </cell>
          <cell r="S267">
            <v>2656.2970159581087</v>
          </cell>
          <cell r="T267">
            <v>2857.3247442295396</v>
          </cell>
          <cell r="U267">
            <v>3005.8109398265065</v>
          </cell>
          <cell r="V267">
            <v>3137.8533977435613</v>
          </cell>
          <cell r="W267">
            <v>3191.0995022312723</v>
          </cell>
          <cell r="X267">
            <v>3252.9633013979505</v>
          </cell>
          <cell r="Y267">
            <v>3274.5143676165139</v>
          </cell>
          <cell r="Z267">
            <v>3365.3187326417874</v>
          </cell>
          <cell r="AA267">
            <v>3474.0116701583424</v>
          </cell>
          <cell r="AB267">
            <v>3512.953897458478</v>
          </cell>
          <cell r="AC267">
            <v>3516.3128897770621</v>
          </cell>
          <cell r="AD267">
            <v>3581.1158402421911</v>
          </cell>
          <cell r="AE267">
            <v>3680.4791879235472</v>
          </cell>
        </row>
        <row r="268">
          <cell r="G268">
            <v>3849.7950827751201</v>
          </cell>
          <cell r="H268">
            <v>3906.2891171259025</v>
          </cell>
          <cell r="I268">
            <v>3961.8719573742533</v>
          </cell>
          <cell r="J268">
            <v>4034.5396870432041</v>
          </cell>
          <cell r="K268">
            <v>4138.6436132460585</v>
          </cell>
          <cell r="L268">
            <v>4100.6830786251285</v>
          </cell>
          <cell r="M268">
            <v>4035.3829999262734</v>
          </cell>
          <cell r="N268">
            <v>4110.6521986094058</v>
          </cell>
          <cell r="O268">
            <v>4006.1320247028834</v>
          </cell>
          <cell r="P268">
            <v>4254.9883579236111</v>
          </cell>
          <cell r="Q268">
            <v>4437.9947273019006</v>
          </cell>
          <cell r="R268">
            <v>4680.7221218276991</v>
          </cell>
          <cell r="S268">
            <v>4828.4799985370428</v>
          </cell>
          <cell r="T268">
            <v>5017.4618558662078</v>
          </cell>
          <cell r="U268">
            <v>5345.4511655331662</v>
          </cell>
          <cell r="V268">
            <v>5516.9923667331486</v>
          </cell>
          <cell r="W268">
            <v>5867.6518045882958</v>
          </cell>
          <cell r="X268">
            <v>6329.7630600932562</v>
          </cell>
          <cell r="Y268">
            <v>6722.9459400846354</v>
          </cell>
          <cell r="Z268">
            <v>6861.7784227451157</v>
          </cell>
          <cell r="AA268">
            <v>6955.8284829545846</v>
          </cell>
          <cell r="AB268">
            <v>6957.0865987713378</v>
          </cell>
          <cell r="AC268">
            <v>6912.3452832716694</v>
          </cell>
          <cell r="AD268">
            <v>6996.4987096325658</v>
          </cell>
          <cell r="AE268">
            <v>7149.722042615902</v>
          </cell>
        </row>
        <row r="269">
          <cell r="G269">
            <v>534.44742790618818</v>
          </cell>
          <cell r="H269">
            <v>549.59350482299533</v>
          </cell>
          <cell r="I269">
            <v>558.80354351382152</v>
          </cell>
          <cell r="J269">
            <v>563.62274980553275</v>
          </cell>
          <cell r="K269">
            <v>587.5147936961863</v>
          </cell>
          <cell r="L269">
            <v>579.97784016970309</v>
          </cell>
          <cell r="M269">
            <v>560.90805620046797</v>
          </cell>
          <cell r="N269">
            <v>573.68000690966471</v>
          </cell>
          <cell r="O269">
            <v>553.53475886949707</v>
          </cell>
          <cell r="P269">
            <v>576.68826299924194</v>
          </cell>
          <cell r="Q269">
            <v>617.12387357911405</v>
          </cell>
          <cell r="R269">
            <v>611.47974591985735</v>
          </cell>
          <cell r="S269">
            <v>612.49116303855203</v>
          </cell>
          <cell r="T269">
            <v>617.39099685506926</v>
          </cell>
          <cell r="U269">
            <v>625.42155541820807</v>
          </cell>
          <cell r="V269">
            <v>634.89317973156528</v>
          </cell>
          <cell r="W269">
            <v>649.66639439859387</v>
          </cell>
          <cell r="X269">
            <v>664.18689457805033</v>
          </cell>
          <cell r="Y269">
            <v>675.222447049018</v>
          </cell>
          <cell r="Z269">
            <v>689.29368563316996</v>
          </cell>
          <cell r="AA269">
            <v>708.88049415932687</v>
          </cell>
          <cell r="AB269">
            <v>715.26417571277989</v>
          </cell>
          <cell r="AC269">
            <v>712.08311568624777</v>
          </cell>
          <cell r="AD269">
            <v>720.56979461845128</v>
          </cell>
          <cell r="AE269">
            <v>738.00039313122193</v>
          </cell>
        </row>
        <row r="270">
          <cell r="G270">
            <v>3115.2089672205038</v>
          </cell>
          <cell r="H270">
            <v>3197.5651166446492</v>
          </cell>
          <cell r="I270">
            <v>3229.0497286223444</v>
          </cell>
          <cell r="J270">
            <v>3272.3257565644481</v>
          </cell>
          <cell r="K270">
            <v>3286.9654885929872</v>
          </cell>
          <cell r="L270">
            <v>3293.264126133221</v>
          </cell>
          <cell r="M270">
            <v>3300.0809674539782</v>
          </cell>
          <cell r="N270">
            <v>3451.930911696365</v>
          </cell>
          <cell r="O270">
            <v>3297.3681869148945</v>
          </cell>
          <cell r="P270">
            <v>3489.5232829070401</v>
          </cell>
          <cell r="Q270">
            <v>3673.2929341504673</v>
          </cell>
          <cell r="R270">
            <v>3717.6174958107317</v>
          </cell>
          <cell r="S270">
            <v>3800.0880835238581</v>
          </cell>
          <cell r="T270">
            <v>3887.0650904153217</v>
          </cell>
          <cell r="U270">
            <v>4056.124578585614</v>
          </cell>
          <cell r="V270">
            <v>4194.5406633190933</v>
          </cell>
          <cell r="W270">
            <v>4344.0884180067906</v>
          </cell>
          <cell r="X270">
            <v>4474.3387921523226</v>
          </cell>
          <cell r="Y270">
            <v>4678.5785905776456</v>
          </cell>
          <cell r="Z270">
            <v>5141.8087527319158</v>
          </cell>
          <cell r="AA270">
            <v>5563.8893544924167</v>
          </cell>
          <cell r="AB270">
            <v>5764.1241758474371</v>
          </cell>
          <cell r="AC270">
            <v>5987.6855187118917</v>
          </cell>
          <cell r="AD270">
            <v>6250.8438285058528</v>
          </cell>
          <cell r="AE270">
            <v>6624.8401927575715</v>
          </cell>
        </row>
        <row r="271">
          <cell r="G271">
            <v>11420.491920913755</v>
          </cell>
          <cell r="H271">
            <v>11592.720625003223</v>
          </cell>
          <cell r="I271">
            <v>11658.563357544677</v>
          </cell>
          <cell r="J271">
            <v>11749.065090113814</v>
          </cell>
          <cell r="K271">
            <v>11779.680679758576</v>
          </cell>
          <cell r="L271">
            <v>11687.872839212228</v>
          </cell>
          <cell r="M271">
            <v>11490.221763086443</v>
          </cell>
          <cell r="N271">
            <v>11768.452142521628</v>
          </cell>
          <cell r="O271">
            <v>11179.822225067792</v>
          </cell>
          <cell r="P271">
            <v>11601.176974790342</v>
          </cell>
          <cell r="Q271">
            <v>12023.171597635273</v>
          </cell>
          <cell r="R271">
            <v>12026.872322236679</v>
          </cell>
          <cell r="S271">
            <v>12163.184919060364</v>
          </cell>
          <cell r="T271">
            <v>12304.230792458153</v>
          </cell>
          <cell r="U271">
            <v>12644.901097631564</v>
          </cell>
          <cell r="V271">
            <v>12931.671530017473</v>
          </cell>
          <cell r="W271">
            <v>13317.881753484435</v>
          </cell>
          <cell r="X271">
            <v>13653.779577349764</v>
          </cell>
          <cell r="Y271">
            <v>14138.492855194008</v>
          </cell>
          <cell r="Z271">
            <v>14622.668209005438</v>
          </cell>
          <cell r="AA271">
            <v>15006.014751748147</v>
          </cell>
          <cell r="AB271">
            <v>15029.928175957646</v>
          </cell>
          <cell r="AC271">
            <v>15034.086030244467</v>
          </cell>
          <cell r="AD271">
            <v>15245.007781740544</v>
          </cell>
          <cell r="AE271">
            <v>15663.703138796815</v>
          </cell>
        </row>
        <row r="272">
          <cell r="G272">
            <v>3691.5192148666688</v>
          </cell>
          <cell r="H272">
            <v>3753.6667501636275</v>
          </cell>
          <cell r="I272">
            <v>3908.1283727573941</v>
          </cell>
          <cell r="J272">
            <v>3990.3782404125386</v>
          </cell>
          <cell r="K272">
            <v>4054.2488327687715</v>
          </cell>
          <cell r="L272">
            <v>4020.6948301558132</v>
          </cell>
          <cell r="M272">
            <v>3920.8513231352058</v>
          </cell>
          <cell r="N272">
            <v>4041.18327816493</v>
          </cell>
          <cell r="O272">
            <v>3904.2872844354733</v>
          </cell>
          <cell r="P272">
            <v>3990.4226943218055</v>
          </cell>
          <cell r="Q272">
            <v>4159.7894375329506</v>
          </cell>
          <cell r="R272">
            <v>4196.5362378426089</v>
          </cell>
          <cell r="S272">
            <v>4339.6995561507783</v>
          </cell>
          <cell r="T272">
            <v>4479.5142833859791</v>
          </cell>
          <cell r="U272">
            <v>4693.9937824858698</v>
          </cell>
          <cell r="V272">
            <v>4845.6041433523815</v>
          </cell>
          <cell r="W272">
            <v>4995.1928652936713</v>
          </cell>
          <cell r="X272">
            <v>5242.7236629585241</v>
          </cell>
          <cell r="Y272">
            <v>5545.2672924388035</v>
          </cell>
          <cell r="Z272">
            <v>5673.8896302172889</v>
          </cell>
          <cell r="AA272">
            <v>5924.0874725941449</v>
          </cell>
          <cell r="AB272">
            <v>5934.4464396809926</v>
          </cell>
          <cell r="AC272">
            <v>5912.4372921907834</v>
          </cell>
          <cell r="AD272">
            <v>6006.6769874874071</v>
          </cell>
          <cell r="AE272">
            <v>6164.8604393322439</v>
          </cell>
        </row>
        <row r="273">
          <cell r="G273">
            <v>17497.207948601801</v>
          </cell>
          <cell r="H273">
            <v>17791.777280438058</v>
          </cell>
          <cell r="I273">
            <v>18901.054967077107</v>
          </cell>
          <cell r="J273">
            <v>19491.738538742164</v>
          </cell>
          <cell r="K273">
            <v>19950.42997123814</v>
          </cell>
          <cell r="L273">
            <v>19905.594194185171</v>
          </cell>
          <cell r="M273">
            <v>19584.467713881531</v>
          </cell>
          <cell r="N273">
            <v>20522.118178496305</v>
          </cell>
          <cell r="O273">
            <v>20034.834221414225</v>
          </cell>
          <cell r="P273">
            <v>20616.976813630718</v>
          </cell>
          <cell r="Q273">
            <v>21762.89295682016</v>
          </cell>
          <cell r="R273">
            <v>22193.060520158731</v>
          </cell>
          <cell r="S273">
            <v>23288.74802317745</v>
          </cell>
          <cell r="T273">
            <v>24369.151315222582</v>
          </cell>
          <cell r="U273">
            <v>25933.512365323673</v>
          </cell>
          <cell r="V273">
            <v>27027.347784204048</v>
          </cell>
          <cell r="W273">
            <v>28045.729928476008</v>
          </cell>
          <cell r="X273">
            <v>28851.325810615399</v>
          </cell>
          <cell r="Y273">
            <v>28873.897229677121</v>
          </cell>
          <cell r="Z273">
            <v>29028.51577124407</v>
          </cell>
          <cell r="AA273">
            <v>28959.754956209981</v>
          </cell>
          <cell r="AB273">
            <v>28706.819769662256</v>
          </cell>
          <cell r="AC273">
            <v>28180.95717693547</v>
          </cell>
          <cell r="AD273">
            <v>28203.027422428651</v>
          </cell>
          <cell r="AE273">
            <v>28506.77394470897</v>
          </cell>
        </row>
        <row r="276">
          <cell r="G276">
            <v>53708.756626847957</v>
          </cell>
          <cell r="H276">
            <v>50349.464058565485</v>
          </cell>
          <cell r="I276">
            <v>50585.765733522334</v>
          </cell>
          <cell r="J276">
            <v>50756.917170227302</v>
          </cell>
          <cell r="K276">
            <v>50890.56319950617</v>
          </cell>
          <cell r="L276">
            <v>50409.683971895211</v>
          </cell>
          <cell r="M276">
            <v>49748.857660934671</v>
          </cell>
          <cell r="N276">
            <v>51074.418525560905</v>
          </cell>
          <cell r="O276">
            <v>50637.294229816769</v>
          </cell>
          <cell r="P276">
            <v>51882.363343747689</v>
          </cell>
          <cell r="Q276">
            <v>53040.286432316985</v>
          </cell>
          <cell r="R276">
            <v>53738.485192411041</v>
          </cell>
          <cell r="S276">
            <v>55949.769545049654</v>
          </cell>
          <cell r="T276">
            <v>57329.270888827872</v>
          </cell>
          <cell r="U276">
            <v>59883.340093594605</v>
          </cell>
          <cell r="V276">
            <v>62238.988957004687</v>
          </cell>
          <cell r="W276">
            <v>64365.633187934131</v>
          </cell>
          <cell r="X276">
            <v>65570.953790492698</v>
          </cell>
          <cell r="Y276">
            <v>67305.727422033131</v>
          </cell>
          <cell r="Z276">
            <v>68196.039917622096</v>
          </cell>
          <cell r="AA276">
            <v>68883.240349581378</v>
          </cell>
          <cell r="AB276">
            <v>68252.643635550878</v>
          </cell>
          <cell r="AC276">
            <v>68712.851087571893</v>
          </cell>
          <cell r="AD276">
            <v>69589.365365579099</v>
          </cell>
          <cell r="AE276">
            <v>71181.30416701932</v>
          </cell>
        </row>
        <row r="277">
          <cell r="G277">
            <v>18897.525479816875</v>
          </cell>
          <cell r="H277">
            <v>22684.496812891877</v>
          </cell>
          <cell r="I277">
            <v>22790.96040079034</v>
          </cell>
          <cell r="J277">
            <v>22868.071136585651</v>
          </cell>
          <cell r="K277">
            <v>22928.284149413474</v>
          </cell>
          <cell r="L277">
            <v>22711.628351579398</v>
          </cell>
          <cell r="M277">
            <v>22413.899018702621</v>
          </cell>
          <cell r="N277">
            <v>23011.11850794945</v>
          </cell>
          <cell r="O277">
            <v>22814.176099940669</v>
          </cell>
          <cell r="P277">
            <v>23375.130757053677</v>
          </cell>
          <cell r="Q277">
            <v>23896.822558612297</v>
          </cell>
          <cell r="R277">
            <v>24211.389711297299</v>
          </cell>
          <cell r="S277">
            <v>25207.663927671896</v>
          </cell>
          <cell r="T277">
            <v>25829.18581318625</v>
          </cell>
          <cell r="U277">
            <v>26979.898652314874</v>
          </cell>
          <cell r="V277">
            <v>28041.214996658913</v>
          </cell>
          <cell r="W277">
            <v>28999.35536976318</v>
          </cell>
          <cell r="X277">
            <v>29542.401693661457</v>
          </cell>
          <cell r="Y277">
            <v>30323.988303401613</v>
          </cell>
          <cell r="Z277">
            <v>31006.105312805237</v>
          </cell>
          <cell r="AA277">
            <v>31737.357087980727</v>
          </cell>
          <cell r="AB277">
            <v>31853.529467166318</v>
          </cell>
          <cell r="AC277">
            <v>32575.680823859493</v>
          </cell>
          <cell r="AD277">
            <v>33518.523530953906</v>
          </cell>
          <cell r="AE277">
            <v>34882.341931854091</v>
          </cell>
        </row>
        <row r="278">
          <cell r="G278">
            <v>26854.378313423978</v>
          </cell>
          <cell r="H278">
            <v>26617.32886145165</v>
          </cell>
          <cell r="I278">
            <v>26742.250139372747</v>
          </cell>
          <cell r="J278">
            <v>26832.72963426046</v>
          </cell>
          <cell r="K278">
            <v>26903.381832428946</v>
          </cell>
          <cell r="L278">
            <v>26649.16421992223</v>
          </cell>
          <cell r="M278">
            <v>26299.817279134986</v>
          </cell>
          <cell r="N278">
            <v>27000.577259789123</v>
          </cell>
          <cell r="O278">
            <v>26769.490765608803</v>
          </cell>
          <cell r="P278">
            <v>27427.698646872188</v>
          </cell>
          <cell r="Q278">
            <v>28039.836635250114</v>
          </cell>
          <cell r="R278">
            <v>28408.940584131567</v>
          </cell>
          <cell r="S278">
            <v>29577.939776494393</v>
          </cell>
          <cell r="T278">
            <v>30307.215482179141</v>
          </cell>
          <cell r="U278">
            <v>31657.428463177443</v>
          </cell>
          <cell r="V278">
            <v>32902.746196978107</v>
          </cell>
          <cell r="W278">
            <v>34027.00024663622</v>
          </cell>
          <cell r="X278">
            <v>34664.19501050633</v>
          </cell>
          <cell r="Y278">
            <v>35581.286008678158</v>
          </cell>
          <cell r="Z278">
            <v>36083.497426165137</v>
          </cell>
          <cell r="AA278">
            <v>36494.12300096816</v>
          </cell>
          <cell r="AB278">
            <v>36205.695140698299</v>
          </cell>
          <cell r="AC278">
            <v>36506.780251500866</v>
          </cell>
          <cell r="AD278">
            <v>37031.665828922414</v>
          </cell>
          <cell r="AE278">
            <v>37945.836580810574</v>
          </cell>
        </row>
        <row r="279">
          <cell r="G279">
            <v>2899.3137186553386</v>
          </cell>
          <cell r="H279">
            <v>4653.2063275829678</v>
          </cell>
          <cell r="I279">
            <v>4722.1827958588665</v>
          </cell>
          <cell r="J279">
            <v>4803.0505198635774</v>
          </cell>
          <cell r="K279">
            <v>4864.1054718609148</v>
          </cell>
          <cell r="L279">
            <v>4847.1465088239911</v>
          </cell>
          <cell r="M279">
            <v>4921.2901977497777</v>
          </cell>
          <cell r="N279">
            <v>5132.826898850004</v>
          </cell>
          <cell r="O279">
            <v>5165.3941277993135</v>
          </cell>
          <cell r="P279">
            <v>5307.180926289423</v>
          </cell>
          <cell r="Q279">
            <v>5413.9324826064094</v>
          </cell>
          <cell r="R279">
            <v>5527.7892431994651</v>
          </cell>
          <cell r="S279">
            <v>5793.8879649185292</v>
          </cell>
          <cell r="T279">
            <v>6012.6273752844645</v>
          </cell>
          <cell r="U279">
            <v>6396.3583829453282</v>
          </cell>
          <cell r="V279">
            <v>6644.3243452930392</v>
          </cell>
          <cell r="W279">
            <v>6897.2765527024421</v>
          </cell>
          <cell r="X279">
            <v>7099.8649378566442</v>
          </cell>
          <cell r="Y279">
            <v>7280.7841604239902</v>
          </cell>
          <cell r="Z279">
            <v>7440.8024860006608</v>
          </cell>
          <cell r="AA279">
            <v>7753.3183815559305</v>
          </cell>
          <cell r="AB279">
            <v>7831.6449985303652</v>
          </cell>
          <cell r="AC279">
            <v>8006.5157584517292</v>
          </cell>
          <cell r="AD279">
            <v>8228.1687845852503</v>
          </cell>
          <cell r="AE279">
            <v>8541.3880336494094</v>
          </cell>
        </row>
        <row r="280">
          <cell r="G280">
            <v>9277.8038996970827</v>
          </cell>
          <cell r="H280">
            <v>8594.3945235766678</v>
          </cell>
          <cell r="I280">
            <v>8721.7929107257623</v>
          </cell>
          <cell r="J280">
            <v>8871.1542489927488</v>
          </cell>
          <cell r="K280">
            <v>8983.9217276176933</v>
          </cell>
          <cell r="L280">
            <v>8952.5988055744328</v>
          </cell>
          <cell r="M280">
            <v>9089.5409631323892</v>
          </cell>
          <cell r="N280">
            <v>9480.2457239968408</v>
          </cell>
          <cell r="O280">
            <v>9540.3968530088641</v>
          </cell>
          <cell r="P280">
            <v>9802.2747064011619</v>
          </cell>
          <cell r="Q280">
            <v>9999.4430514959204</v>
          </cell>
          <cell r="R280">
            <v>10209.734590453189</v>
          </cell>
          <cell r="S280">
            <v>10701.214493916017</v>
          </cell>
          <cell r="T280">
            <v>11105.222538733551</v>
          </cell>
          <cell r="U280">
            <v>11813.967313539215</v>
          </cell>
          <cell r="V280">
            <v>12271.956312694891</v>
          </cell>
          <cell r="W280">
            <v>12739.154823364681</v>
          </cell>
          <cell r="X280">
            <v>13113.332193834716</v>
          </cell>
          <cell r="Y280">
            <v>13447.486982206243</v>
          </cell>
          <cell r="Z280">
            <v>13640.857864027112</v>
          </cell>
          <cell r="AA280">
            <v>13872.69083053642</v>
          </cell>
          <cell r="AB280">
            <v>13796.657277388424</v>
          </cell>
          <cell r="AC280">
            <v>13921.166336675924</v>
          </cell>
          <cell r="AD280">
            <v>14127.797044953708</v>
          </cell>
          <cell r="AE280">
            <v>14478.709794728822</v>
          </cell>
        </row>
        <row r="281">
          <cell r="G281">
            <v>2319.4509749242707</v>
          </cell>
          <cell r="H281">
            <v>2148.5986308941669</v>
          </cell>
          <cell r="I281">
            <v>2180.4482276814406</v>
          </cell>
          <cell r="J281">
            <v>2217.7885622481872</v>
          </cell>
          <cell r="K281">
            <v>2245.9804319044233</v>
          </cell>
          <cell r="L281">
            <v>2238.1497013936082</v>
          </cell>
          <cell r="M281">
            <v>2272.3852407830973</v>
          </cell>
          <cell r="N281">
            <v>2370.0614309992102</v>
          </cell>
          <cell r="O281">
            <v>2385.099213252216</v>
          </cell>
          <cell r="P281">
            <v>2450.5686766002905</v>
          </cell>
          <cell r="Q281">
            <v>2499.8607628739801</v>
          </cell>
          <cell r="R281">
            <v>2552.4336476132971</v>
          </cell>
          <cell r="S281">
            <v>2675.3036234790043</v>
          </cell>
          <cell r="T281">
            <v>2776.3056346833878</v>
          </cell>
          <cell r="U281">
            <v>2953.4918283848037</v>
          </cell>
          <cell r="V281">
            <v>3067.9890781737226</v>
          </cell>
          <cell r="W281">
            <v>3184.7887058411702</v>
          </cell>
          <cell r="X281">
            <v>3278.3330484586791</v>
          </cell>
          <cell r="Y281">
            <v>3361.8717455515607</v>
          </cell>
          <cell r="Z281">
            <v>3632.5223696265007</v>
          </cell>
          <cell r="AA281">
            <v>4441.9015054216325</v>
          </cell>
          <cell r="AB281">
            <v>4903.0609251577835</v>
          </cell>
          <cell r="AC281">
            <v>5365.9975567944002</v>
          </cell>
          <cell r="AD281">
            <v>5858.7859645388498</v>
          </cell>
          <cell r="AE281">
            <v>6441.6862271514865</v>
          </cell>
        </row>
        <row r="282">
          <cell r="G282">
            <v>4832.1895310922318</v>
          </cell>
          <cell r="H282">
            <v>4148.337474535304</v>
          </cell>
          <cell r="I282">
            <v>4209.8300557934908</v>
          </cell>
          <cell r="J282">
            <v>4281.9237018415006</v>
          </cell>
          <cell r="K282">
            <v>4336.3542444708164</v>
          </cell>
          <cell r="L282">
            <v>4321.2353142230195</v>
          </cell>
          <cell r="M282">
            <v>4387.3344771696347</v>
          </cell>
          <cell r="N282">
            <v>4575.9196295648571</v>
          </cell>
          <cell r="O282">
            <v>4604.9533424031115</v>
          </cell>
          <cell r="P282">
            <v>4731.3563961607624</v>
          </cell>
          <cell r="Q282">
            <v>4826.5255011518029</v>
          </cell>
          <cell r="R282">
            <v>4928.0289019138954</v>
          </cell>
          <cell r="S282">
            <v>5165.2561429862953</v>
          </cell>
          <cell r="T282">
            <v>5360.2625169353532</v>
          </cell>
          <cell r="U282">
            <v>5702.3590428909547</v>
          </cell>
          <cell r="V282">
            <v>5923.4209132659416</v>
          </cell>
          <cell r="W282">
            <v>6148.928025435609</v>
          </cell>
          <cell r="X282">
            <v>6329.5357464083654</v>
          </cell>
          <cell r="Y282">
            <v>6490.8253901516618</v>
          </cell>
          <cell r="Z282">
            <v>6641.7124607483611</v>
          </cell>
          <cell r="AA282">
            <v>6948.1408095370089</v>
          </cell>
          <cell r="AB282">
            <v>7035.7465017183213</v>
          </cell>
          <cell r="AC282">
            <v>7207.6309870677396</v>
          </cell>
          <cell r="AD282">
            <v>7421.5670118882181</v>
          </cell>
          <cell r="AE282">
            <v>7719.1351981849666</v>
          </cell>
        </row>
        <row r="283">
          <cell r="G283">
            <v>52715.95523740026</v>
          </cell>
          <cell r="H283">
            <v>52972.193082349717</v>
          </cell>
          <cell r="I283">
            <v>53212.466582069668</v>
          </cell>
          <cell r="J283">
            <v>53938.137008894228</v>
          </cell>
          <cell r="K283">
            <v>54658.14918677666</v>
          </cell>
          <cell r="L283">
            <v>54742.833531026023</v>
          </cell>
          <cell r="M283">
            <v>54443.844986943564</v>
          </cell>
          <cell r="N283">
            <v>55849.634953873981</v>
          </cell>
          <cell r="O283">
            <v>55878.248310892755</v>
          </cell>
          <cell r="P283">
            <v>57396.258918086387</v>
          </cell>
          <cell r="Q283">
            <v>58035.309287294032</v>
          </cell>
          <cell r="R283">
            <v>59654.398509755512</v>
          </cell>
          <cell r="S283">
            <v>62104.8709686109</v>
          </cell>
          <cell r="T283">
            <v>63526.574546607473</v>
          </cell>
          <cell r="U283">
            <v>65957.962889180169</v>
          </cell>
          <cell r="V283">
            <v>68171.241513705259</v>
          </cell>
          <cell r="W283">
            <v>70617.724740144578</v>
          </cell>
          <cell r="X283">
            <v>71464.039108899116</v>
          </cell>
          <cell r="Y283">
            <v>72789.143125892486</v>
          </cell>
          <cell r="Z283">
            <v>75215.745131270101</v>
          </cell>
          <cell r="AA283">
            <v>76186.560911929831</v>
          </cell>
          <cell r="AB283">
            <v>76853.980700327316</v>
          </cell>
          <cell r="AC283">
            <v>77917.122126248083</v>
          </cell>
          <cell r="AD283">
            <v>79216.483772401363</v>
          </cell>
          <cell r="AE283">
            <v>81328.70406933871</v>
          </cell>
        </row>
        <row r="284">
          <cell r="G284">
            <v>12325.222891105739</v>
          </cell>
          <cell r="H284">
            <v>12411.478571584297</v>
          </cell>
          <cell r="I284">
            <v>12492.3602782791</v>
          </cell>
          <cell r="J284">
            <v>12736.637997994008</v>
          </cell>
          <cell r="K284">
            <v>12979.011018139992</v>
          </cell>
          <cell r="L284">
            <v>13082.905311561863</v>
          </cell>
          <cell r="M284">
            <v>13062.787028174751</v>
          </cell>
          <cell r="N284">
            <v>13424.845554871805</v>
          </cell>
          <cell r="O284">
            <v>13548.59001540821</v>
          </cell>
          <cell r="P284">
            <v>13980.657672693853</v>
          </cell>
          <cell r="Q284">
            <v>14151.634240852109</v>
          </cell>
          <cell r="R284">
            <v>14662.608287554143</v>
          </cell>
          <cell r="S284">
            <v>15342.221667490938</v>
          </cell>
          <cell r="T284">
            <v>15752.539658883021</v>
          </cell>
          <cell r="U284">
            <v>16413.182641424464</v>
          </cell>
          <cell r="V284">
            <v>17008.725904970168</v>
          </cell>
          <cell r="W284">
            <v>17714.846912884725</v>
          </cell>
          <cell r="X284">
            <v>18311.517709238116</v>
          </cell>
          <cell r="Y284">
            <v>18790.104072193208</v>
          </cell>
          <cell r="Z284">
            <v>19448.410032238226</v>
          </cell>
          <cell r="AA284">
            <v>20279.403781524616</v>
          </cell>
          <cell r="AB284">
            <v>20865.767577195416</v>
          </cell>
          <cell r="AC284">
            <v>21460.307798955622</v>
          </cell>
          <cell r="AD284">
            <v>22071.159594989709</v>
          </cell>
          <cell r="AE284">
            <v>22914.833275438461</v>
          </cell>
        </row>
        <row r="285">
          <cell r="G285">
            <v>4064.3381986614581</v>
          </cell>
          <cell r="H285">
            <v>4110.6155283892722</v>
          </cell>
          <cell r="I285">
            <v>4130.4447133594185</v>
          </cell>
          <cell r="J285">
            <v>4205.0534065292159</v>
          </cell>
          <cell r="K285">
            <v>4217.0450784455206</v>
          </cell>
          <cell r="L285">
            <v>4170.9267556090681</v>
          </cell>
          <cell r="M285">
            <v>4134.7945018280743</v>
          </cell>
          <cell r="N285">
            <v>4282.9160340500976</v>
          </cell>
          <cell r="O285">
            <v>4275.4670964137213</v>
          </cell>
          <cell r="P285">
            <v>4429.7057135800214</v>
          </cell>
          <cell r="Q285">
            <v>4571.3057004235488</v>
          </cell>
          <cell r="R285">
            <v>4650.7392960571424</v>
          </cell>
          <cell r="S285">
            <v>4871.7140546202527</v>
          </cell>
          <cell r="T285">
            <v>5071.655054028929</v>
          </cell>
          <cell r="U285">
            <v>5305.9233944586949</v>
          </cell>
          <cell r="V285">
            <v>5510.6914731726365</v>
          </cell>
          <cell r="W285">
            <v>5667.2540484688725</v>
          </cell>
          <cell r="X285">
            <v>5754.0571342942558</v>
          </cell>
          <cell r="Y285">
            <v>5912.2142025016201</v>
          </cell>
          <cell r="Z285">
            <v>6003.5111888109896</v>
          </cell>
          <cell r="AA285">
            <v>6134.9943818498568</v>
          </cell>
          <cell r="AB285">
            <v>6108.7349988576152</v>
          </cell>
          <cell r="AC285">
            <v>6173.6786485485254</v>
          </cell>
          <cell r="AD285">
            <v>6269.9374728963212</v>
          </cell>
          <cell r="AE285">
            <v>6430.4101834982612</v>
          </cell>
        </row>
        <row r="286">
          <cell r="G286">
            <v>23923.707463310635</v>
          </cell>
          <cell r="H286">
            <v>21647.641659652782</v>
          </cell>
          <cell r="I286">
            <v>22128.313168026249</v>
          </cell>
          <cell r="J286">
            <v>22691.850441645358</v>
          </cell>
          <cell r="K286">
            <v>23117.319831479061</v>
          </cell>
          <cell r="L286">
            <v>23149.057701051199</v>
          </cell>
          <cell r="M286">
            <v>23825.879336971771</v>
          </cell>
          <cell r="N286">
            <v>25078.936527734691</v>
          </cell>
          <cell r="O286">
            <v>25532.814116989506</v>
          </cell>
          <cell r="P286">
            <v>26363.909867431343</v>
          </cell>
          <cell r="Q286">
            <v>27020.037905563124</v>
          </cell>
          <cell r="R286">
            <v>27745.751550098303</v>
          </cell>
          <cell r="S286">
            <v>29311.199170970409</v>
          </cell>
          <cell r="T286">
            <v>30699.76709413149</v>
          </cell>
          <cell r="U286">
            <v>33060.000699184602</v>
          </cell>
          <cell r="V286">
            <v>34490.685630520056</v>
          </cell>
          <cell r="W286">
            <v>35472.814235427039</v>
          </cell>
          <cell r="X286">
            <v>35945.792596740102</v>
          </cell>
          <cell r="Y286">
            <v>36599.196670922705</v>
          </cell>
          <cell r="Z286">
            <v>37338.175449304828</v>
          </cell>
          <cell r="AA286">
            <v>37764.39848142652</v>
          </cell>
          <cell r="AB286">
            <v>37576.372594239103</v>
          </cell>
          <cell r="AC286">
            <v>37973.19540543147</v>
          </cell>
          <cell r="AD286">
            <v>38602.990098158494</v>
          </cell>
          <cell r="AE286">
            <v>39622.564281848492</v>
          </cell>
        </row>
        <row r="287">
          <cell r="G287">
            <v>996.27006530550568</v>
          </cell>
          <cell r="H287">
            <v>1459.1695219378896</v>
          </cell>
          <cell r="I287">
            <v>1491.5694122404775</v>
          </cell>
          <cell r="J287">
            <v>1529.5549086316887</v>
          </cell>
          <cell r="K287">
            <v>1558.2338740323387</v>
          </cell>
          <cell r="L287">
            <v>1560.3731801377803</v>
          </cell>
          <cell r="M287">
            <v>1605.9946625352893</v>
          </cell>
          <cell r="N287">
            <v>1690.4575749741171</v>
          </cell>
          <cell r="O287">
            <v>1721.0514084892775</v>
          </cell>
          <cell r="P287">
            <v>1777.0718105230519</v>
          </cell>
          <cell r="Q287">
            <v>1821.2984311768487</v>
          </cell>
          <cell r="R287">
            <v>1870.2155025331188</v>
          </cell>
          <cell r="S287">
            <v>1975.7352396241201</v>
          </cell>
          <cell r="T287">
            <v>2069.3323170551284</v>
          </cell>
          <cell r="U287">
            <v>2228.4249792163846</v>
          </cell>
          <cell r="V287">
            <v>2324.8609734979896</v>
          </cell>
          <cell r="W287">
            <v>2391.0618165013484</v>
          </cell>
          <cell r="X287">
            <v>2422.9431465887023</v>
          </cell>
          <cell r="Y287">
            <v>2466.986157164506</v>
          </cell>
          <cell r="Z287">
            <v>2548.1271595340168</v>
          </cell>
          <cell r="AA287">
            <v>2591.155501135403</v>
          </cell>
          <cell r="AB287">
            <v>2602.4683840851649</v>
          </cell>
          <cell r="AC287">
            <v>2654.8483583836405</v>
          </cell>
          <cell r="AD287">
            <v>2724.2999372452</v>
          </cell>
          <cell r="AE287">
            <v>2822.2253817942296</v>
          </cell>
        </row>
        <row r="288">
          <cell r="G288">
            <v>6892.3787896395215</v>
          </cell>
          <cell r="H288">
            <v>6928.1609750366788</v>
          </cell>
          <cell r="I288">
            <v>6982.6206747894967</v>
          </cell>
          <cell r="J288">
            <v>7002.6744270450472</v>
          </cell>
          <cell r="K288">
            <v>7017.2232277010353</v>
          </cell>
          <cell r="L288">
            <v>6982.0498196612562</v>
          </cell>
          <cell r="M288">
            <v>6901.8684594309616</v>
          </cell>
          <cell r="N288">
            <v>7198.137989982336</v>
          </cell>
          <cell r="O288">
            <v>7124.1508540068598</v>
          </cell>
          <cell r="P288">
            <v>7324.0058826836794</v>
          </cell>
          <cell r="Q288">
            <v>7473.4110288347356</v>
          </cell>
          <cell r="R288">
            <v>7621.4968117202607</v>
          </cell>
          <cell r="S288">
            <v>7927.3463352318622</v>
          </cell>
          <cell r="T288">
            <v>8076.0865137607298</v>
          </cell>
          <cell r="U288">
            <v>8366.4477846220634</v>
          </cell>
          <cell r="V288">
            <v>8638.4901170356188</v>
          </cell>
          <cell r="W288">
            <v>8983.0887739326063</v>
          </cell>
          <cell r="X288">
            <v>9271.6822999805772</v>
          </cell>
          <cell r="Y288">
            <v>9518.2206653226694</v>
          </cell>
          <cell r="Z288">
            <v>10391.498689374765</v>
          </cell>
          <cell r="AA288">
            <v>13044.720292089158</v>
          </cell>
          <cell r="AB288">
            <v>14581.489120295437</v>
          </cell>
          <cell r="AC288">
            <v>16100.012982795835</v>
          </cell>
          <cell r="AD288">
            <v>17707.540694802836</v>
          </cell>
          <cell r="AE288">
            <v>19596.207526869926</v>
          </cell>
        </row>
        <row r="289">
          <cell r="G289">
            <v>1781.7556093565017</v>
          </cell>
          <cell r="H289">
            <v>1783.0538360074877</v>
          </cell>
          <cell r="I289">
            <v>1788.8878421921647</v>
          </cell>
          <cell r="J289">
            <v>1807.4316475648882</v>
          </cell>
          <cell r="K289">
            <v>1812.4722930184073</v>
          </cell>
          <cell r="L289">
            <v>1793.6088525783809</v>
          </cell>
          <cell r="M289">
            <v>1774.6486729597157</v>
          </cell>
          <cell r="N289">
            <v>1823.0509687537462</v>
          </cell>
          <cell r="O289">
            <v>1794.2995981969964</v>
          </cell>
          <cell r="P289">
            <v>1840.40380825741</v>
          </cell>
          <cell r="Q289">
            <v>1872.8279339126823</v>
          </cell>
          <cell r="R289">
            <v>1897.4249208326673</v>
          </cell>
          <cell r="S289">
            <v>1968.2360718720968</v>
          </cell>
          <cell r="T289">
            <v>2005.124253123417</v>
          </cell>
          <cell r="U289">
            <v>2074.6913217054471</v>
          </cell>
          <cell r="V289">
            <v>2157.0993395020882</v>
          </cell>
          <cell r="W289">
            <v>2230.5387643737845</v>
          </cell>
          <cell r="X289">
            <v>2244.3283016341893</v>
          </cell>
          <cell r="Y289">
            <v>2286.2415552117754</v>
          </cell>
          <cell r="Z289">
            <v>2326.3694648036135</v>
          </cell>
          <cell r="AA289">
            <v>2374.7982364656368</v>
          </cell>
          <cell r="AB289">
            <v>2372.028004997203</v>
          </cell>
          <cell r="AC289">
            <v>2401.8374704377493</v>
          </cell>
          <cell r="AD289">
            <v>2445.1309775396853</v>
          </cell>
          <cell r="AE289">
            <v>2516.1911582055527</v>
          </cell>
        </row>
        <row r="290">
          <cell r="G290">
            <v>2766.2306421587773</v>
          </cell>
          <cell r="H290">
            <v>2818.4580776956645</v>
          </cell>
          <cell r="I290">
            <v>2891.2487001949826</v>
          </cell>
          <cell r="J290">
            <v>2928.2449547405686</v>
          </cell>
          <cell r="K290">
            <v>2963.6022730245368</v>
          </cell>
          <cell r="L290">
            <v>2967.139006534268</v>
          </cell>
          <cell r="M290">
            <v>2966.3889493279867</v>
          </cell>
          <cell r="N290">
            <v>3122.6086524580405</v>
          </cell>
          <cell r="O290">
            <v>3102.4778216604896</v>
          </cell>
          <cell r="P290">
            <v>3203.2341197678347</v>
          </cell>
          <cell r="Q290">
            <v>3308.1437877260823</v>
          </cell>
          <cell r="R290">
            <v>3416.7948674728191</v>
          </cell>
          <cell r="S290">
            <v>3565.1526112071565</v>
          </cell>
          <cell r="T290">
            <v>3680.8949130500373</v>
          </cell>
          <cell r="U290">
            <v>3890.9266215566536</v>
          </cell>
          <cell r="V290">
            <v>4108.0317271811991</v>
          </cell>
          <cell r="W290">
            <v>4297.4681162204697</v>
          </cell>
          <cell r="X290">
            <v>4366.5805978291328</v>
          </cell>
          <cell r="Y290">
            <v>4487.4959667609901</v>
          </cell>
          <cell r="Z290">
            <v>4926.8541427762138</v>
          </cell>
          <cell r="AA290">
            <v>5327.6338130134527</v>
          </cell>
          <cell r="AB290">
            <v>5467.5606581810716</v>
          </cell>
          <cell r="AC290">
            <v>5692.4167839611218</v>
          </cell>
          <cell r="AD290">
            <v>6015.7371534228814</v>
          </cell>
          <cell r="AE290">
            <v>6447.6555798742547</v>
          </cell>
        </row>
        <row r="291">
          <cell r="G291">
            <v>4846.9173570763787</v>
          </cell>
          <cell r="H291">
            <v>5008.2207596646458</v>
          </cell>
          <cell r="I291">
            <v>5233.033158836829</v>
          </cell>
          <cell r="J291">
            <v>5347.2953599171369</v>
          </cell>
          <cell r="K291">
            <v>5456.4957387404911</v>
          </cell>
          <cell r="L291">
            <v>5518.8324925047837</v>
          </cell>
          <cell r="M291">
            <v>5571.4355115558528</v>
          </cell>
          <cell r="N291">
            <v>5978.1045452741855</v>
          </cell>
          <cell r="O291">
            <v>5993.7545762651171</v>
          </cell>
          <cell r="P291">
            <v>6251.1086086014566</v>
          </cell>
          <cell r="Q291">
            <v>6545.0150556943636</v>
          </cell>
          <cell r="R291">
            <v>6857.360364281305</v>
          </cell>
          <cell r="S291">
            <v>7216.4853030157956</v>
          </cell>
          <cell r="T291">
            <v>7527.399842884297</v>
          </cell>
          <cell r="U291">
            <v>8068.4471852160214</v>
          </cell>
          <cell r="V291">
            <v>8637.0155147854675</v>
          </cell>
          <cell r="W291">
            <v>9132.2699067393223</v>
          </cell>
          <cell r="X291">
            <v>9334.210585621915</v>
          </cell>
          <cell r="Y291">
            <v>9652.3734184585046</v>
          </cell>
          <cell r="Z291">
            <v>10129.531809913426</v>
          </cell>
          <cell r="AA291">
            <v>10549.414687247838</v>
          </cell>
          <cell r="AB291">
            <v>10617.785206666567</v>
          </cell>
          <cell r="AC291">
            <v>10850.415661333316</v>
          </cell>
          <cell r="AD291">
            <v>11208.394192480373</v>
          </cell>
          <cell r="AE291">
            <v>11723.25428099248</v>
          </cell>
        </row>
        <row r="292">
          <cell r="G292">
            <v>8982.682049718147</v>
          </cell>
          <cell r="H292">
            <v>9133.9571886090871</v>
          </cell>
          <cell r="I292">
            <v>9228.0551391407607</v>
          </cell>
          <cell r="J292">
            <v>9325.9303391624871</v>
          </cell>
          <cell r="K292">
            <v>9435.3594788008522</v>
          </cell>
          <cell r="L292">
            <v>9402.5029670648019</v>
          </cell>
          <cell r="M292">
            <v>9317.0133829133265</v>
          </cell>
          <cell r="N292">
            <v>9594.8534284338602</v>
          </cell>
          <cell r="O292">
            <v>9549.1543135264837</v>
          </cell>
          <cell r="P292">
            <v>9905.9247494187312</v>
          </cell>
          <cell r="Q292">
            <v>10179.873946420012</v>
          </cell>
          <cell r="R292">
            <v>10570.47967384969</v>
          </cell>
          <cell r="S292">
            <v>11214.050773343295</v>
          </cell>
          <cell r="T292">
            <v>11613.829592872014</v>
          </cell>
          <cell r="U292">
            <v>12097.143965452469</v>
          </cell>
          <cell r="V292">
            <v>12642.748453845543</v>
          </cell>
          <cell r="W292">
            <v>13013.240075139931</v>
          </cell>
          <cell r="X292">
            <v>13291.521251566393</v>
          </cell>
          <cell r="Y292">
            <v>13704.521907588638</v>
          </cell>
          <cell r="Z292">
            <v>14204.638505637235</v>
          </cell>
          <cell r="AA292">
            <v>14704.160551185496</v>
          </cell>
          <cell r="AB292">
            <v>14715.028570659057</v>
          </cell>
          <cell r="AC292">
            <v>14928.119440779048</v>
          </cell>
          <cell r="AD292">
            <v>15215.031073933886</v>
          </cell>
          <cell r="AE292">
            <v>15656.809695717346</v>
          </cell>
        </row>
        <row r="293">
          <cell r="G293">
            <v>11026.806939503975</v>
          </cell>
          <cell r="H293">
            <v>11212.506682861736</v>
          </cell>
          <cell r="I293">
            <v>11328.017832891619</v>
          </cell>
          <cell r="J293">
            <v>11448.165794138758</v>
          </cell>
          <cell r="K293">
            <v>11582.496942638683</v>
          </cell>
          <cell r="L293">
            <v>11542.163508858694</v>
          </cell>
          <cell r="M293">
            <v>11437.219669751494</v>
          </cell>
          <cell r="N293">
            <v>11778.285792882729</v>
          </cell>
          <cell r="O293">
            <v>11722.187256320849</v>
          </cell>
          <cell r="P293">
            <v>12160.145395831078</v>
          </cell>
          <cell r="Q293">
            <v>12496.43525779497</v>
          </cell>
          <cell r="R293">
            <v>12975.92834482533</v>
          </cell>
          <cell r="S293">
            <v>13765.952329497366</v>
          </cell>
          <cell r="T293">
            <v>14256.705963773478</v>
          </cell>
          <cell r="U293">
            <v>14850.004741135788</v>
          </cell>
          <cell r="V293">
            <v>15519.768551714615</v>
          </cell>
          <cell r="W293">
            <v>15983.555698489869</v>
          </cell>
          <cell r="X293">
            <v>16194.710846388716</v>
          </cell>
          <cell r="Y293">
            <v>16576.532245536484</v>
          </cell>
          <cell r="Z293">
            <v>16934.510115706671</v>
          </cell>
          <cell r="AA293">
            <v>17217.490214471542</v>
          </cell>
          <cell r="AB293">
            <v>17241.166059223928</v>
          </cell>
          <cell r="AC293">
            <v>17506.071071606191</v>
          </cell>
          <cell r="AD293">
            <v>17889.73979428424</v>
          </cell>
          <cell r="AE293">
            <v>18472.572870047712</v>
          </cell>
        </row>
      </sheetData>
      <sheetData sheetId="8">
        <row r="20">
          <cell r="H20">
            <v>0.54056403834827815</v>
          </cell>
          <cell r="I20">
            <v>0.48200277076100684</v>
          </cell>
          <cell r="J20">
            <v>0.56609879065860214</v>
          </cell>
          <cell r="K20">
            <v>0.38751242004584513</v>
          </cell>
          <cell r="L20">
            <v>0.37711808922827855</v>
          </cell>
          <cell r="M20">
            <v>0.25636734424005708</v>
          </cell>
          <cell r="N20">
            <v>0.44466162759752242</v>
          </cell>
          <cell r="O20">
            <v>0.45536974953410997</v>
          </cell>
          <cell r="P20">
            <v>0.70573583862289258</v>
          </cell>
          <cell r="Q20">
            <v>0.32030228474056088</v>
          </cell>
          <cell r="R20">
            <v>0.45656607817537698</v>
          </cell>
          <cell r="S20">
            <v>0.54274096423648555</v>
          </cell>
          <cell r="T20">
            <v>0.5468986965635122</v>
          </cell>
          <cell r="U20">
            <v>0.68988938711233838</v>
          </cell>
          <cell r="V20">
            <v>0.53901469469811258</v>
          </cell>
          <cell r="W20">
            <v>0.3806850435515966</v>
          </cell>
          <cell r="X20">
            <v>0.49257182617893736</v>
          </cell>
          <cell r="Y20">
            <v>0.47062937090000179</v>
          </cell>
          <cell r="Z20">
            <v>0.56590400000000007</v>
          </cell>
          <cell r="AA20">
            <v>0.63572800000000007</v>
          </cell>
          <cell r="AB20">
            <v>0.55195677698180112</v>
          </cell>
          <cell r="AC20">
            <v>0.49509450059010646</v>
          </cell>
          <cell r="AD20">
            <v>0.48926806425812347</v>
          </cell>
          <cell r="AE20">
            <v>0.50707539425908554</v>
          </cell>
        </row>
        <row r="21">
          <cell r="H21">
            <v>0.40814400000000001</v>
          </cell>
          <cell r="I21">
            <v>0.39798</v>
          </cell>
          <cell r="J21">
            <v>0.425238</v>
          </cell>
          <cell r="K21">
            <v>0.88486200000000004</v>
          </cell>
          <cell r="L21">
            <v>0.683562</v>
          </cell>
          <cell r="M21">
            <v>0.85707600000000006</v>
          </cell>
          <cell r="N21">
            <v>0.88373999999999997</v>
          </cell>
          <cell r="O21">
            <v>1.075866</v>
          </cell>
          <cell r="P21">
            <v>1.041018</v>
          </cell>
          <cell r="Q21">
            <v>0.91416599999999992</v>
          </cell>
          <cell r="R21">
            <v>1.1944680000000001</v>
          </cell>
          <cell r="S21">
            <v>0.82579200000000008</v>
          </cell>
          <cell r="T21">
            <v>1.2765060000000001</v>
          </cell>
          <cell r="U21">
            <v>1.201794</v>
          </cell>
          <cell r="V21">
            <v>1.6133040000000001</v>
          </cell>
          <cell r="W21">
            <v>2.0698000000000003</v>
          </cell>
          <cell r="X21">
            <v>1.415</v>
          </cell>
          <cell r="Y21">
            <v>1.1031</v>
          </cell>
          <cell r="Z21">
            <v>1.0355000000000001</v>
          </cell>
          <cell r="AA21">
            <v>0.28970000000000001</v>
          </cell>
          <cell r="AB21">
            <v>0.96416996977002289</v>
          </cell>
          <cell r="AC21">
            <v>1.0474829794917409</v>
          </cell>
          <cell r="AD21">
            <v>1.0602062008599469</v>
          </cell>
          <cell r="AE21">
            <v>1.0741061198150028</v>
          </cell>
        </row>
        <row r="22">
          <cell r="H22">
            <v>0.210256</v>
          </cell>
          <cell r="I22">
            <v>0.20502000000000001</v>
          </cell>
          <cell r="J22">
            <v>0.21906200000000001</v>
          </cell>
          <cell r="K22">
            <v>0.45583800000000002</v>
          </cell>
          <cell r="L22">
            <v>0.35213800000000001</v>
          </cell>
          <cell r="M22">
            <v>0.44152400000000003</v>
          </cell>
          <cell r="N22">
            <v>0.45526000000000005</v>
          </cell>
          <cell r="O22">
            <v>0.554234</v>
          </cell>
          <cell r="P22">
            <v>0.53628200000000004</v>
          </cell>
          <cell r="Q22">
            <v>0.47093400000000002</v>
          </cell>
          <cell r="R22">
            <v>0.61533199999999999</v>
          </cell>
          <cell r="S22">
            <v>0.42540800000000006</v>
          </cell>
          <cell r="T22">
            <v>0.65759400000000001</v>
          </cell>
          <cell r="U22">
            <v>0.61910600000000016</v>
          </cell>
          <cell r="V22">
            <v>0.83109600000000017</v>
          </cell>
          <cell r="W22">
            <v>0.93820000000000003</v>
          </cell>
          <cell r="X22">
            <v>0.94359999999999999</v>
          </cell>
          <cell r="Y22">
            <v>0.53320000000000001</v>
          </cell>
          <cell r="Z22">
            <v>0.64049999999999996</v>
          </cell>
          <cell r="AA22">
            <v>0.29170000000000001</v>
          </cell>
          <cell r="AB22">
            <v>0.43694662123493522</v>
          </cell>
          <cell r="AC22">
            <v>0.58273476357135601</v>
          </cell>
          <cell r="AD22">
            <v>0.6086834810811409</v>
          </cell>
          <cell r="AE22">
            <v>0.64149366754371639</v>
          </cell>
        </row>
        <row r="23">
          <cell r="H23">
            <v>1.9095</v>
          </cell>
          <cell r="I23">
            <v>2.8365629999999999</v>
          </cell>
          <cell r="J23">
            <v>2.2281</v>
          </cell>
          <cell r="K23">
            <v>1.61</v>
          </cell>
          <cell r="L23">
            <v>1.4142000000000001</v>
          </cell>
          <cell r="M23">
            <v>1.5080250000000002</v>
          </cell>
          <cell r="N23">
            <v>0.83910000000000007</v>
          </cell>
          <cell r="O23">
            <v>1.2907</v>
          </cell>
          <cell r="P23">
            <v>3.8820000000000001</v>
          </cell>
          <cell r="Q23">
            <v>3.8363</v>
          </cell>
          <cell r="R23">
            <v>5.9918000000000005</v>
          </cell>
          <cell r="S23">
            <v>4.3921000000000001</v>
          </cell>
          <cell r="T23">
            <v>3.3323</v>
          </cell>
          <cell r="U23">
            <v>3.0750000000000002</v>
          </cell>
          <cell r="V23">
            <v>3.1429999999999998</v>
          </cell>
          <cell r="W23">
            <v>2.3030999999999997</v>
          </cell>
          <cell r="X23">
            <v>1.4487000000000001</v>
          </cell>
          <cell r="Y23">
            <v>2.0606</v>
          </cell>
          <cell r="Z23">
            <v>3.4781999999999997</v>
          </cell>
          <cell r="AA23">
            <v>2.6520000000000001</v>
          </cell>
          <cell r="AB23">
            <v>2.9438208100000005</v>
          </cell>
          <cell r="AC23">
            <v>2.7560084900000006</v>
          </cell>
          <cell r="AD23">
            <v>2.603018580000001</v>
          </cell>
          <cell r="AE23">
            <v>2.6672277900000001</v>
          </cell>
        </row>
        <row r="24">
          <cell r="H24">
            <v>0.14913168675370994</v>
          </cell>
          <cell r="I24">
            <v>0.1329757089339306</v>
          </cell>
          <cell r="J24">
            <v>0.15617625578296401</v>
          </cell>
          <cell r="K24">
            <v>0.1069075571805157</v>
          </cell>
          <cell r="L24">
            <v>0.10403995227613426</v>
          </cell>
          <cell r="M24">
            <v>7.0727040207687705E-2</v>
          </cell>
          <cell r="N24">
            <v>0.12267397357932248</v>
          </cell>
          <cell r="O24">
            <v>0.12562814768836453</v>
          </cell>
          <cell r="P24">
            <v>0.19469955185691878</v>
          </cell>
          <cell r="Q24">
            <v>8.8365515657279348E-2</v>
          </cell>
          <cell r="R24">
            <v>0.12595819278113293</v>
          </cell>
          <cell r="S24">
            <v>0.14973226061104264</v>
          </cell>
          <cell r="T24">
            <v>0.15087930257279522</v>
          </cell>
          <cell r="U24">
            <v>0.19032780702155982</v>
          </cell>
          <cell r="V24">
            <v>0.14870425130569837</v>
          </cell>
          <cell r="W24">
            <v>0.16880282991010148</v>
          </cell>
          <cell r="X24">
            <v>0.21751936506571806</v>
          </cell>
          <cell r="Y24">
            <v>0.19732937621560423</v>
          </cell>
          <cell r="Z24">
            <v>0.10970000000000001</v>
          </cell>
          <cell r="AA24">
            <v>9.4200000000000006E-2</v>
          </cell>
          <cell r="AB24">
            <v>9.8923323863743931E-2</v>
          </cell>
          <cell r="AC24">
            <v>0.10283212131183471</v>
          </cell>
          <cell r="AD24">
            <v>0.11325872838672849</v>
          </cell>
          <cell r="AE24">
            <v>0.12860505588071519</v>
          </cell>
        </row>
        <row r="25">
          <cell r="H25">
            <v>6.0347113246290073E-2</v>
          </cell>
          <cell r="I25">
            <v>5.3809491066069394E-2</v>
          </cell>
          <cell r="J25">
            <v>6.3197744217035973E-2</v>
          </cell>
          <cell r="K25">
            <v>4.326084281948428E-2</v>
          </cell>
          <cell r="L25">
            <v>4.2100447723865751E-2</v>
          </cell>
          <cell r="M25">
            <v>2.8620159792312291E-2</v>
          </cell>
          <cell r="N25">
            <v>4.9640826420677527E-2</v>
          </cell>
          <cell r="O25">
            <v>5.0836252311635494E-2</v>
          </cell>
          <cell r="P25">
            <v>7.8786448143081236E-2</v>
          </cell>
          <cell r="Q25">
            <v>3.5757684342720655E-2</v>
          </cell>
          <cell r="R25">
            <v>5.0969807218867055E-2</v>
          </cell>
          <cell r="S25">
            <v>6.059013938895734E-2</v>
          </cell>
          <cell r="T25">
            <v>6.1054297427204751E-2</v>
          </cell>
          <cell r="U25">
            <v>7.7017392978440125E-2</v>
          </cell>
          <cell r="V25">
            <v>6.0174148694301641E-2</v>
          </cell>
          <cell r="W25">
            <v>6.8307170089898533E-2</v>
          </cell>
          <cell r="X25">
            <v>8.8020634934281985E-2</v>
          </cell>
          <cell r="Y25">
            <v>7.9850623784395738E-2</v>
          </cell>
          <cell r="Z25">
            <v>0.10970000000000001</v>
          </cell>
          <cell r="AA25">
            <v>9.4200000000000006E-2</v>
          </cell>
          <cell r="AB25">
            <v>9.8923323863743931E-2</v>
          </cell>
          <cell r="AC25">
            <v>0.10283212131183471</v>
          </cell>
          <cell r="AD25">
            <v>0.11325872838672849</v>
          </cell>
          <cell r="AE25">
            <v>0.12860505588071519</v>
          </cell>
        </row>
        <row r="26">
          <cell r="H26">
            <v>6.7900000000000002E-2</v>
          </cell>
          <cell r="I26">
            <v>9.3099999999999988E-2</v>
          </cell>
          <cell r="J26">
            <v>0.17349999999999999</v>
          </cell>
          <cell r="K26">
            <v>0.1865</v>
          </cell>
          <cell r="L26">
            <v>9.8900000000000002E-2</v>
          </cell>
          <cell r="M26">
            <v>0.1036</v>
          </cell>
          <cell r="N26">
            <v>0.1033</v>
          </cell>
          <cell r="O26">
            <v>0.10299999999999999</v>
          </cell>
          <cell r="P26">
            <v>0.16839999999999999</v>
          </cell>
          <cell r="Q26">
            <v>9.3099999999999988E-2</v>
          </cell>
          <cell r="R26">
            <v>0.1729</v>
          </cell>
          <cell r="S26">
            <v>0.18819999999999998</v>
          </cell>
          <cell r="T26">
            <v>0.14849999999999999</v>
          </cell>
          <cell r="U26">
            <v>0.13639999999999999</v>
          </cell>
          <cell r="V26">
            <v>0.11509999999999999</v>
          </cell>
          <cell r="W26">
            <v>0.34855169999999996</v>
          </cell>
          <cell r="X26">
            <v>0.44914379999999998</v>
          </cell>
          <cell r="Y26">
            <v>0.4074546</v>
          </cell>
          <cell r="Z26">
            <v>3.5369000000000002</v>
          </cell>
          <cell r="AA26">
            <v>3.9733000000000001</v>
          </cell>
          <cell r="AB26">
            <v>3.449729856136257</v>
          </cell>
          <cell r="AC26">
            <v>3.0943406286881654</v>
          </cell>
          <cell r="AD26">
            <v>3.0579254016132715</v>
          </cell>
          <cell r="AE26">
            <v>3.1692212141192844</v>
          </cell>
        </row>
        <row r="27">
          <cell r="H27">
            <v>0.34329999999999999</v>
          </cell>
          <cell r="I27">
            <v>0.83960000000000001</v>
          </cell>
          <cell r="J27">
            <v>0.4824</v>
          </cell>
          <cell r="K27">
            <v>0.71140000000000003</v>
          </cell>
          <cell r="L27">
            <v>0.39800000000000002</v>
          </cell>
          <cell r="M27">
            <v>0.2858</v>
          </cell>
          <cell r="N27">
            <v>0.30269999999999997</v>
          </cell>
          <cell r="O27">
            <v>0.52510000000000001</v>
          </cell>
          <cell r="P27">
            <v>0.63970000000000005</v>
          </cell>
          <cell r="Q27">
            <v>0.7984</v>
          </cell>
          <cell r="R27">
            <v>2.4916999999999998</v>
          </cell>
          <cell r="S27">
            <v>1.8120000000000001</v>
          </cell>
          <cell r="T27">
            <v>1.2810999999999999</v>
          </cell>
          <cell r="U27">
            <v>1.1297999999999999</v>
          </cell>
          <cell r="V27">
            <v>0.46079999999999999</v>
          </cell>
          <cell r="W27">
            <v>0.1757</v>
          </cell>
          <cell r="X27">
            <v>0.44230000000000003</v>
          </cell>
          <cell r="Y27">
            <v>0.30010000000000003</v>
          </cell>
          <cell r="Z27">
            <v>0.32750000000000001</v>
          </cell>
          <cell r="AA27">
            <v>0.47720000000000001</v>
          </cell>
          <cell r="AB27">
            <v>0.55912742999999965</v>
          </cell>
          <cell r="AC27">
            <v>0.54529235000000031</v>
          </cell>
          <cell r="AD27">
            <v>0.40671768999999997</v>
          </cell>
          <cell r="AE27">
            <v>0.44228138999999994</v>
          </cell>
        </row>
        <row r="28">
          <cell r="H28">
            <v>0.20303249999999998</v>
          </cell>
          <cell r="I28">
            <v>0.28772999999999999</v>
          </cell>
          <cell r="J28">
            <v>0.3148125</v>
          </cell>
          <cell r="K28">
            <v>0.34934699999999996</v>
          </cell>
          <cell r="L28">
            <v>0.195408</v>
          </cell>
          <cell r="M28">
            <v>0.33637499999999998</v>
          </cell>
          <cell r="N28">
            <v>0.13727549999999999</v>
          </cell>
          <cell r="O28">
            <v>0.35469449999999997</v>
          </cell>
          <cell r="P28">
            <v>0.25029750000000001</v>
          </cell>
          <cell r="Q28">
            <v>0.1968915</v>
          </cell>
          <cell r="R28">
            <v>0.43252649999999998</v>
          </cell>
          <cell r="S28">
            <v>0.54820499999999994</v>
          </cell>
          <cell r="T28">
            <v>0.97724699999999987</v>
          </cell>
          <cell r="U28">
            <v>0.84756149999999986</v>
          </cell>
          <cell r="V28">
            <v>0.64639199999999997</v>
          </cell>
          <cell r="W28">
            <v>0.33719399999999999</v>
          </cell>
          <cell r="X28">
            <v>0.39087360000000004</v>
          </cell>
          <cell r="Y28">
            <v>0.30558060000000004</v>
          </cell>
          <cell r="Z28">
            <v>3.7835000000000001</v>
          </cell>
          <cell r="AA28">
            <v>1.3673</v>
          </cell>
          <cell r="AB28">
            <v>1.8872418900000005</v>
          </cell>
          <cell r="AC28">
            <v>1.84246679</v>
          </cell>
          <cell r="AD28">
            <v>1.9964261199999997</v>
          </cell>
          <cell r="AE28">
            <v>2.11022474</v>
          </cell>
        </row>
        <row r="29">
          <cell r="H29">
            <v>0.38546750000000002</v>
          </cell>
          <cell r="I29">
            <v>0.54627000000000003</v>
          </cell>
          <cell r="J29">
            <v>0.59768750000000004</v>
          </cell>
          <cell r="K29">
            <v>0.66325300000000009</v>
          </cell>
          <cell r="L29">
            <v>0.37099200000000004</v>
          </cell>
          <cell r="M29">
            <v>0.638625</v>
          </cell>
          <cell r="N29">
            <v>0.26062450000000004</v>
          </cell>
          <cell r="O29">
            <v>0.67340549999999999</v>
          </cell>
          <cell r="P29">
            <v>0.47520250000000003</v>
          </cell>
          <cell r="Q29">
            <v>0.37380850000000004</v>
          </cell>
          <cell r="R29">
            <v>0.82117350000000011</v>
          </cell>
          <cell r="S29">
            <v>1.0407950000000001</v>
          </cell>
          <cell r="T29">
            <v>1.855353</v>
          </cell>
          <cell r="U29">
            <v>1.6091385</v>
          </cell>
          <cell r="V29">
            <v>1.2272080000000001</v>
          </cell>
          <cell r="W29">
            <v>1.1038060000000001</v>
          </cell>
          <cell r="X29">
            <v>1.2795264000000002</v>
          </cell>
          <cell r="Y29">
            <v>1.0003194000000002</v>
          </cell>
          <cell r="Z29">
            <v>3.7835000000000001</v>
          </cell>
          <cell r="AA29">
            <v>1.3673</v>
          </cell>
          <cell r="AB29">
            <v>1.8872418900000005</v>
          </cell>
          <cell r="AC29">
            <v>1.84246679</v>
          </cell>
          <cell r="AD29">
            <v>1.9964261199999997</v>
          </cell>
          <cell r="AE29">
            <v>2.11022474</v>
          </cell>
        </row>
        <row r="30">
          <cell r="H30">
            <v>0.66609400000000007</v>
          </cell>
          <cell r="I30">
            <v>1.1484180000000002</v>
          </cell>
          <cell r="J30">
            <v>0.55253399999999997</v>
          </cell>
          <cell r="K30">
            <v>0.6476320000000001</v>
          </cell>
          <cell r="L30">
            <v>0.68836400000000009</v>
          </cell>
          <cell r="M30">
            <v>0.40613802400000004</v>
          </cell>
          <cell r="N30">
            <v>0.97611110000000012</v>
          </cell>
          <cell r="O30">
            <v>0.44944599999999996</v>
          </cell>
          <cell r="P30">
            <v>1.0394595600000001</v>
          </cell>
          <cell r="Q30">
            <v>1.9108285600000001</v>
          </cell>
          <cell r="R30">
            <v>2.0233162</v>
          </cell>
          <cell r="S30">
            <v>1.5876980000000001</v>
          </cell>
          <cell r="T30">
            <v>1.3800260000000002</v>
          </cell>
          <cell r="U30">
            <v>1.4298360000000001</v>
          </cell>
          <cell r="V30">
            <v>1.3088299999999999</v>
          </cell>
          <cell r="W30">
            <v>1.4430000000000001</v>
          </cell>
          <cell r="X30">
            <v>1.3551</v>
          </cell>
          <cell r="Y30">
            <v>1.248</v>
          </cell>
          <cell r="Z30">
            <v>1.1154000000000002</v>
          </cell>
          <cell r="AA30">
            <v>1.0509999999999999</v>
          </cell>
          <cell r="AB30">
            <v>1.2799544001277074</v>
          </cell>
          <cell r="AC30">
            <v>1.4046792195590034</v>
          </cell>
          <cell r="AD30">
            <v>1.4878548079657998</v>
          </cell>
          <cell r="AE30">
            <v>1.4917427808967407</v>
          </cell>
        </row>
        <row r="31">
          <cell r="H31">
            <v>1.2930060000000001</v>
          </cell>
          <cell r="I31">
            <v>2.229282</v>
          </cell>
          <cell r="J31">
            <v>1.0725660000000001</v>
          </cell>
          <cell r="K31">
            <v>1.2571680000000001</v>
          </cell>
          <cell r="L31">
            <v>1.3362360000000002</v>
          </cell>
          <cell r="M31">
            <v>0.78838557600000003</v>
          </cell>
          <cell r="N31">
            <v>1.8948039000000001</v>
          </cell>
          <cell r="O31">
            <v>0.87245399999999995</v>
          </cell>
          <cell r="P31">
            <v>2.0177744400000002</v>
          </cell>
          <cell r="Q31">
            <v>3.7092554399999997</v>
          </cell>
          <cell r="R31">
            <v>3.9276137999999996</v>
          </cell>
          <cell r="S31">
            <v>3.0820020000000001</v>
          </cell>
          <cell r="T31">
            <v>2.6788740000000009</v>
          </cell>
          <cell r="U31">
            <v>2.7755639999999997</v>
          </cell>
          <cell r="V31">
            <v>2.5406699999999995</v>
          </cell>
          <cell r="W31">
            <v>1.5496500000000002</v>
          </cell>
          <cell r="X31">
            <v>3.1783999999999999</v>
          </cell>
          <cell r="Y31">
            <v>3.2438500000000001</v>
          </cell>
          <cell r="Z31">
            <v>1.3588</v>
          </cell>
          <cell r="AA31">
            <v>0.66200000000000003</v>
          </cell>
          <cell r="AB31">
            <v>1.2854712808283151</v>
          </cell>
          <cell r="AC31">
            <v>1.5350817518422488</v>
          </cell>
          <cell r="AD31">
            <v>1.3825302212329729</v>
          </cell>
          <cell r="AE31">
            <v>1.2973344781524432</v>
          </cell>
        </row>
        <row r="53">
          <cell r="H53">
            <v>4.6720565328458212</v>
          </cell>
          <cell r="I53">
            <v>1.5093528080297529</v>
          </cell>
          <cell r="J53">
            <v>1.6326353993862486</v>
          </cell>
          <cell r="K53">
            <v>2.6697249363466713</v>
          </cell>
          <cell r="L53">
            <v>1.9057770751539596</v>
          </cell>
          <cell r="M53">
            <v>1.3124038157725313</v>
          </cell>
          <cell r="N53">
            <v>1.0072288765130091</v>
          </cell>
          <cell r="O53">
            <v>1.7837576251023464</v>
          </cell>
          <cell r="P53">
            <v>1.8651544507889506</v>
          </cell>
          <cell r="Q53">
            <v>2.2166108874593542</v>
          </cell>
          <cell r="R53">
            <v>2.5878733797903091</v>
          </cell>
          <cell r="S53">
            <v>4.1569475087148886</v>
          </cell>
          <cell r="T53">
            <v>5.6567509684797317</v>
          </cell>
          <cell r="U53">
            <v>5.4289813283833865</v>
          </cell>
          <cell r="V53">
            <v>3.5235074071425996</v>
          </cell>
          <cell r="W53">
            <v>2.4352050691170355</v>
          </cell>
          <cell r="X53">
            <v>2.1414388221232086</v>
          </cell>
          <cell r="Y53">
            <v>2.302555021843534</v>
          </cell>
          <cell r="Z53">
            <v>1.4488319999999999</v>
          </cell>
          <cell r="AA53">
            <v>4.2056000000000004</v>
          </cell>
          <cell r="AB53">
            <v>2.5994797107084047</v>
          </cell>
          <cell r="AC53">
            <v>2.6698126381317313</v>
          </cell>
          <cell r="AD53">
            <v>2.4533274635786939</v>
          </cell>
          <cell r="AE53">
            <v>2.3671787571438605</v>
          </cell>
        </row>
        <row r="54">
          <cell r="H54">
            <v>2.1049529227503614</v>
          </cell>
          <cell r="I54">
            <v>0.68002529130110145</v>
          </cell>
          <cell r="J54">
            <v>0.7355691506648977</v>
          </cell>
          <cell r="K54">
            <v>1.2028204856244402</v>
          </cell>
          <cell r="L54">
            <v>0.85863066858321024</v>
          </cell>
          <cell r="M54">
            <v>0.59129169957975791</v>
          </cell>
          <cell r="N54">
            <v>0.45379788377757357</v>
          </cell>
          <cell r="O54">
            <v>0.80365590613912508</v>
          </cell>
          <cell r="P54">
            <v>0.84032851164530364</v>
          </cell>
          <cell r="Q54">
            <v>0.99867403858570003</v>
          </cell>
          <cell r="R54">
            <v>1.1659430052271653</v>
          </cell>
          <cell r="S54">
            <v>1.8728751988922039</v>
          </cell>
          <cell r="T54">
            <v>2.5485981174802896</v>
          </cell>
          <cell r="U54">
            <v>2.4459785609179971</v>
          </cell>
          <cell r="V54">
            <v>1.587484475595518</v>
          </cell>
          <cell r="W54">
            <v>1.0971596751232116</v>
          </cell>
          <cell r="X54">
            <v>0.96480594269985731</v>
          </cell>
          <cell r="Y54">
            <v>1.0373953930028383</v>
          </cell>
          <cell r="Z54">
            <v>0.90551999999999988</v>
          </cell>
          <cell r="AA54">
            <v>2.6284999999999998</v>
          </cell>
          <cell r="AB54">
            <v>1.6246748191927527</v>
          </cell>
          <cell r="AC54">
            <v>1.668632898832332</v>
          </cell>
          <cell r="AD54">
            <v>1.5333296647366834</v>
          </cell>
          <cell r="AE54">
            <v>1.4794867232149127</v>
          </cell>
        </row>
        <row r="55">
          <cell r="H55">
            <v>2.4698905444038184</v>
          </cell>
          <cell r="I55">
            <v>0.79792190066914614</v>
          </cell>
          <cell r="J55">
            <v>0.86309544994885412</v>
          </cell>
          <cell r="K55">
            <v>1.4113545780288896</v>
          </cell>
          <cell r="L55">
            <v>1.0074922562628299</v>
          </cell>
          <cell r="M55">
            <v>0.69380448464771105</v>
          </cell>
          <cell r="N55">
            <v>0.53247323970941751</v>
          </cell>
          <cell r="O55">
            <v>0.94298646875852898</v>
          </cell>
          <cell r="P55">
            <v>0.98601703756574599</v>
          </cell>
          <cell r="Q55">
            <v>1.1718150739549462</v>
          </cell>
          <cell r="R55">
            <v>1.368083614982526</v>
          </cell>
          <cell r="S55">
            <v>2.1975772923929076</v>
          </cell>
          <cell r="T55">
            <v>2.9904509140399775</v>
          </cell>
          <cell r="U55">
            <v>2.8700401106986155</v>
          </cell>
          <cell r="V55">
            <v>1.8627081172618836</v>
          </cell>
          <cell r="W55">
            <v>1.2873752557597529</v>
          </cell>
          <cell r="X55">
            <v>1.1320752351769341</v>
          </cell>
          <cell r="Y55">
            <v>1.2172495851536278</v>
          </cell>
          <cell r="Z55">
            <v>0.23284799999999997</v>
          </cell>
          <cell r="AA55">
            <v>0.67589999999999995</v>
          </cell>
          <cell r="AB55">
            <v>0.41777352493527931</v>
          </cell>
          <cell r="AC55">
            <v>0.42907703112831391</v>
          </cell>
          <cell r="AD55">
            <v>0.39428477093229003</v>
          </cell>
          <cell r="AE55">
            <v>0.38043944311240613</v>
          </cell>
        </row>
        <row r="56">
          <cell r="H56">
            <v>1.1645465043915073</v>
          </cell>
          <cell r="I56">
            <v>1.1001820295846425</v>
          </cell>
          <cell r="J56">
            <v>0.77513011814390298</v>
          </cell>
          <cell r="K56">
            <v>0.68998963836582305</v>
          </cell>
          <cell r="L56">
            <v>0.47628477138962716</v>
          </cell>
          <cell r="M56">
            <v>0.72979317264235954</v>
          </cell>
          <cell r="N56">
            <v>1.1207523315363412</v>
          </cell>
          <cell r="O56">
            <v>1.7296949802124721</v>
          </cell>
          <cell r="P56">
            <v>1.2091017784188862</v>
          </cell>
          <cell r="Q56">
            <v>0.64730626181604856</v>
          </cell>
          <cell r="R56">
            <v>0.79226517966966792</v>
          </cell>
          <cell r="S56">
            <v>1.1545493376429821</v>
          </cell>
          <cell r="T56">
            <v>1.6151595389454148</v>
          </cell>
          <cell r="U56">
            <v>1.1894365697530624</v>
          </cell>
          <cell r="V56">
            <v>1.2257225823958589</v>
          </cell>
          <cell r="W56">
            <v>1.0573849449768578</v>
          </cell>
          <cell r="X56">
            <v>0.72875294390060763</v>
          </cell>
          <cell r="Y56">
            <v>0.92132453975849626</v>
          </cell>
          <cell r="Z56">
            <v>1.6346550000000002</v>
          </cell>
          <cell r="AA56">
            <v>2.0905169999999997</v>
          </cell>
          <cell r="AB56">
            <v>1.7691131441651935</v>
          </cell>
          <cell r="AC56">
            <v>1.7050112905317358</v>
          </cell>
          <cell r="AD56">
            <v>1.6258923167686812</v>
          </cell>
          <cell r="AE56">
            <v>1.7031142550524103</v>
          </cell>
        </row>
        <row r="57">
          <cell r="H57">
            <v>2.1508979819924536</v>
          </cell>
          <cell r="I57">
            <v>2.0320178699041631</v>
          </cell>
          <cell r="J57">
            <v>1.4316524077056443</v>
          </cell>
          <cell r="K57">
            <v>1.2743993607470525</v>
          </cell>
          <cell r="L57">
            <v>0.87969003365045617</v>
          </cell>
          <cell r="M57">
            <v>1.3479158250777785</v>
          </cell>
          <cell r="N57">
            <v>2.0700108747262438</v>
          </cell>
          <cell r="O57">
            <v>3.1947177964742988</v>
          </cell>
          <cell r="P57">
            <v>2.2331908304370804</v>
          </cell>
          <cell r="Q57">
            <v>1.195563875741235</v>
          </cell>
          <cell r="R57">
            <v>1.4633005807224375</v>
          </cell>
          <cell r="S57">
            <v>2.1324333816489229</v>
          </cell>
          <cell r="T57">
            <v>2.983172745624953</v>
          </cell>
          <cell r="U57">
            <v>2.1968695178271713</v>
          </cell>
          <cell r="V57">
            <v>2.2638891783333217</v>
          </cell>
          <cell r="W57">
            <v>1.9529723680105797</v>
          </cell>
          <cell r="X57">
            <v>1.3459945399311508</v>
          </cell>
          <cell r="Y57">
            <v>1.701671067538973</v>
          </cell>
          <cell r="Z57">
            <v>0.59441999999999995</v>
          </cell>
          <cell r="AA57">
            <v>0.76018799999999986</v>
          </cell>
          <cell r="AB57">
            <v>0.64331387060552492</v>
          </cell>
          <cell r="AC57">
            <v>0.62000410564790387</v>
          </cell>
          <cell r="AD57">
            <v>0.59123356973406582</v>
          </cell>
          <cell r="AE57">
            <v>0.61931427456451282</v>
          </cell>
        </row>
        <row r="58">
          <cell r="H58">
            <v>0.53772449549811341</v>
          </cell>
          <cell r="I58">
            <v>0.50800446747604078</v>
          </cell>
          <cell r="J58">
            <v>0.35791310192641107</v>
          </cell>
          <cell r="K58">
            <v>0.31859984018676313</v>
          </cell>
          <cell r="L58">
            <v>0.21992250841261404</v>
          </cell>
          <cell r="M58">
            <v>0.33697895626944463</v>
          </cell>
          <cell r="N58">
            <v>0.51750271868156095</v>
          </cell>
          <cell r="O58">
            <v>0.79867944911857469</v>
          </cell>
          <cell r="P58">
            <v>0.55829770760927011</v>
          </cell>
          <cell r="Q58">
            <v>0.29889096893530875</v>
          </cell>
          <cell r="R58">
            <v>0.36582514518060938</v>
          </cell>
          <cell r="S58">
            <v>0.53310834541223073</v>
          </cell>
          <cell r="T58">
            <v>0.74579318640623826</v>
          </cell>
          <cell r="U58">
            <v>0.54921737945679283</v>
          </cell>
          <cell r="V58">
            <v>0.56597229458333043</v>
          </cell>
          <cell r="W58">
            <v>0.48824309200264493</v>
          </cell>
          <cell r="X58">
            <v>0.3364986349827877</v>
          </cell>
          <cell r="Y58">
            <v>0.42541776688474325</v>
          </cell>
          <cell r="Z58">
            <v>2.1300050000000001</v>
          </cell>
          <cell r="AA58">
            <v>2.7240069999999998</v>
          </cell>
          <cell r="AB58">
            <v>2.305208036336464</v>
          </cell>
          <cell r="AC58">
            <v>2.2216813785716556</v>
          </cell>
          <cell r="AD58">
            <v>2.118586958213736</v>
          </cell>
          <cell r="AE58">
            <v>2.2192094838561709</v>
          </cell>
        </row>
        <row r="59">
          <cell r="H59">
            <v>1.0381942181179253</v>
          </cell>
          <cell r="I59">
            <v>0.980813233035153</v>
          </cell>
          <cell r="J59">
            <v>0.69102917222404159</v>
          </cell>
          <cell r="K59">
            <v>0.61512636070036175</v>
          </cell>
          <cell r="L59">
            <v>0.42460828654730265</v>
          </cell>
          <cell r="M59">
            <v>0.65061124601041742</v>
          </cell>
          <cell r="N59">
            <v>0.99915167505585367</v>
          </cell>
          <cell r="O59">
            <v>1.542024574194655</v>
          </cell>
          <cell r="P59">
            <v>1.077915283534763</v>
          </cell>
          <cell r="Q59">
            <v>0.57707409350740779</v>
          </cell>
          <cell r="R59">
            <v>0.70630509442728517</v>
          </cell>
          <cell r="S59">
            <v>1.029281735295865</v>
          </cell>
          <cell r="T59">
            <v>1.4399161290233935</v>
          </cell>
          <cell r="U59">
            <v>1.0603837329629731</v>
          </cell>
          <cell r="V59">
            <v>1.092732744687489</v>
          </cell>
          <cell r="W59">
            <v>0.94265959500991836</v>
          </cell>
          <cell r="X59">
            <v>0.64968388118545384</v>
          </cell>
          <cell r="Y59">
            <v>0.82136162581778727</v>
          </cell>
          <cell r="Z59">
            <v>0.59441999999999995</v>
          </cell>
          <cell r="AA59">
            <v>0.76018799999999986</v>
          </cell>
          <cell r="AB59">
            <v>0.64331387060552492</v>
          </cell>
          <cell r="AC59">
            <v>0.62000410564790387</v>
          </cell>
          <cell r="AD59">
            <v>0.59123356973406582</v>
          </cell>
          <cell r="AE59">
            <v>0.61931427456451282</v>
          </cell>
        </row>
        <row r="60">
          <cell r="H60">
            <v>1.6924380000000001</v>
          </cell>
          <cell r="I60">
            <v>1.484802</v>
          </cell>
          <cell r="J60">
            <v>2.0873819999999998</v>
          </cell>
          <cell r="K60">
            <v>2.0856660000000002</v>
          </cell>
          <cell r="L60">
            <v>2.3110560000000002</v>
          </cell>
          <cell r="M60">
            <v>3.1661519999999999</v>
          </cell>
          <cell r="N60">
            <v>2.39778</v>
          </cell>
          <cell r="O60">
            <v>1.4201721599999999</v>
          </cell>
          <cell r="P60">
            <v>2.9824739999999998</v>
          </cell>
          <cell r="Q60">
            <v>1.9324140000000003</v>
          </cell>
          <cell r="R60">
            <v>1.907796</v>
          </cell>
          <cell r="S60">
            <v>2.3078220000000003</v>
          </cell>
          <cell r="T60">
            <v>2.4817980000000004</v>
          </cell>
          <cell r="U60">
            <v>2.3626019999999999</v>
          </cell>
          <cell r="V60">
            <v>2.16249</v>
          </cell>
          <cell r="W60">
            <v>2.6243000000000003</v>
          </cell>
          <cell r="X60">
            <v>3.7761</v>
          </cell>
          <cell r="Y60">
            <v>2.5621999999999998</v>
          </cell>
          <cell r="Z60">
            <v>3.0191999999999997</v>
          </cell>
          <cell r="AA60">
            <v>2.9931000000000001</v>
          </cell>
          <cell r="AB60">
            <v>2.8918301090794269</v>
          </cell>
          <cell r="AC60">
            <v>3.782360064278282</v>
          </cell>
          <cell r="AD60">
            <v>3.4705377413257055</v>
          </cell>
          <cell r="AE60">
            <v>3.2160116321090824</v>
          </cell>
        </row>
        <row r="61">
          <cell r="H61">
            <v>0.87186200000000003</v>
          </cell>
          <cell r="I61">
            <v>0.76489800000000008</v>
          </cell>
          <cell r="J61">
            <v>1.075318</v>
          </cell>
          <cell r="K61">
            <v>1.0744339999999999</v>
          </cell>
          <cell r="L61">
            <v>1.190544</v>
          </cell>
          <cell r="M61">
            <v>1.6310480000000001</v>
          </cell>
          <cell r="N61">
            <v>1.23522</v>
          </cell>
          <cell r="O61">
            <v>0.73160384000000001</v>
          </cell>
          <cell r="P61">
            <v>1.5364259999999998</v>
          </cell>
          <cell r="Q61">
            <v>0.99548600000000009</v>
          </cell>
          <cell r="R61">
            <v>0.98280400000000012</v>
          </cell>
          <cell r="S61">
            <v>1.1888779999999999</v>
          </cell>
          <cell r="T61">
            <v>1.2785020000000002</v>
          </cell>
          <cell r="U61">
            <v>1.217098</v>
          </cell>
          <cell r="V61">
            <v>1.1140099999999999</v>
          </cell>
          <cell r="W61">
            <v>1.2012</v>
          </cell>
          <cell r="X61">
            <v>1.5534000000000001</v>
          </cell>
          <cell r="Y61">
            <v>0.81710000000000005</v>
          </cell>
          <cell r="Z61">
            <v>1.2970999999999999</v>
          </cell>
          <cell r="AA61">
            <v>1.4250999999999998</v>
          </cell>
          <cell r="AB61">
            <v>1.3376018689940781</v>
          </cell>
          <cell r="AC61">
            <v>1.4693053926132156</v>
          </cell>
          <cell r="AD61">
            <v>1.3354667382339562</v>
          </cell>
          <cell r="AE61">
            <v>1.249250206816515</v>
          </cell>
        </row>
        <row r="62">
          <cell r="H62">
            <v>5.2438000000000002</v>
          </cell>
          <cell r="I62">
            <v>3.0779999999999998</v>
          </cell>
          <cell r="J62">
            <v>3.5724999999999998</v>
          </cell>
          <cell r="K62">
            <v>4.5848000000000004</v>
          </cell>
          <cell r="L62">
            <v>3.4581999999999997</v>
          </cell>
          <cell r="M62">
            <v>3.2988000000000004</v>
          </cell>
          <cell r="N62">
            <v>3.1168</v>
          </cell>
          <cell r="O62">
            <v>3.8371</v>
          </cell>
          <cell r="P62">
            <v>5.0454999999999997</v>
          </cell>
          <cell r="Q62">
            <v>6.3580129999999997</v>
          </cell>
          <cell r="R62">
            <v>4.7816999999999998</v>
          </cell>
          <cell r="S62">
            <v>6.0843999999999996</v>
          </cell>
          <cell r="T62">
            <v>5.7608000000000006</v>
          </cell>
          <cell r="U62">
            <v>5.1916000000000002</v>
          </cell>
          <cell r="V62">
            <v>6.0718000000000005</v>
          </cell>
          <cell r="W62">
            <v>2.7429000000000001</v>
          </cell>
          <cell r="X62">
            <v>4.8205</v>
          </cell>
          <cell r="Y62">
            <v>3.1579999999999999</v>
          </cell>
          <cell r="Z62">
            <v>4.7521000000000004</v>
          </cell>
          <cell r="AA62">
            <v>4.5863000000000005</v>
          </cell>
          <cell r="AB62">
            <v>4.2521218800000069</v>
          </cell>
          <cell r="AC62">
            <v>4.1643903399999962</v>
          </cell>
          <cell r="AD62">
            <v>4.2213762000000035</v>
          </cell>
          <cell r="AE62">
            <v>4.5285378099999987</v>
          </cell>
        </row>
        <row r="63">
          <cell r="H63">
            <v>0.5481317139383739</v>
          </cell>
          <cell r="I63">
            <v>0.5178364790468617</v>
          </cell>
          <cell r="J63">
            <v>0.36484021769957081</v>
          </cell>
          <cell r="K63">
            <v>0.32476607988686124</v>
          </cell>
          <cell r="L63">
            <v>0.22417892894792907</v>
          </cell>
          <cell r="M63">
            <v>0.34350090875073974</v>
          </cell>
          <cell r="N63">
            <v>0.52751856114705731</v>
          </cell>
          <cell r="O63">
            <v>0.81413723755914813</v>
          </cell>
          <cell r="P63">
            <v>0.56910310376739748</v>
          </cell>
          <cell r="Q63">
            <v>0.30467575952895537</v>
          </cell>
          <cell r="R63">
            <v>0.37290539208903378</v>
          </cell>
          <cell r="S63">
            <v>0.54342622203767876</v>
          </cell>
          <cell r="T63">
            <v>0.76022740442525871</v>
          </cell>
          <cell r="U63">
            <v>0.55984703327961061</v>
          </cell>
          <cell r="V63">
            <v>0.57692622610435551</v>
          </cell>
          <cell r="W63">
            <v>0.37201976634398637</v>
          </cell>
          <cell r="X63">
            <v>0.26963174813441793</v>
          </cell>
          <cell r="Y63">
            <v>0.34990048025184839</v>
          </cell>
          <cell r="Z63">
            <v>0.25180000000000002</v>
          </cell>
          <cell r="AA63">
            <v>0.24840000000000001</v>
          </cell>
          <cell r="AB63">
            <v>0.2696633082872934</v>
          </cell>
          <cell r="AC63">
            <v>0.33187896960079466</v>
          </cell>
          <cell r="AD63">
            <v>0.24932755554944439</v>
          </cell>
          <cell r="AE63">
            <v>0.2462404319623952</v>
          </cell>
        </row>
        <row r="64">
          <cell r="H64">
            <v>0.22180508606162622</v>
          </cell>
          <cell r="I64">
            <v>0.20954592095313826</v>
          </cell>
          <cell r="J64">
            <v>0.14763498230042921</v>
          </cell>
          <cell r="K64">
            <v>0.13141872011313882</v>
          </cell>
          <cell r="L64">
            <v>9.0715471052070965E-2</v>
          </cell>
          <cell r="M64">
            <v>0.13899989124926035</v>
          </cell>
          <cell r="N64">
            <v>0.21346383885294262</v>
          </cell>
          <cell r="O64">
            <v>0.32944596244085222</v>
          </cell>
          <cell r="P64">
            <v>0.23029129623260253</v>
          </cell>
          <cell r="Q64">
            <v>0.12328904047104472</v>
          </cell>
          <cell r="R64">
            <v>0.15089860791096629</v>
          </cell>
          <cell r="S64">
            <v>0.2199009779623213</v>
          </cell>
          <cell r="T64">
            <v>0.30763099557474127</v>
          </cell>
          <cell r="U64">
            <v>0.22654576672038956</v>
          </cell>
          <cell r="V64">
            <v>0.23345697389564446</v>
          </cell>
          <cell r="W64">
            <v>0.15054023365601354</v>
          </cell>
          <cell r="X64">
            <v>0.1091082518655821</v>
          </cell>
          <cell r="Y64">
            <v>0.14158951974815162</v>
          </cell>
          <cell r="Z64">
            <v>0.25180000000000002</v>
          </cell>
          <cell r="AA64">
            <v>0.24840000000000001</v>
          </cell>
          <cell r="AB64">
            <v>0.2696633082872934</v>
          </cell>
          <cell r="AC64">
            <v>0.33187896960079466</v>
          </cell>
          <cell r="AD64">
            <v>0.24932755554944439</v>
          </cell>
          <cell r="AE64">
            <v>0.2462404319623952</v>
          </cell>
        </row>
        <row r="65">
          <cell r="H65">
            <v>0.23799999999999999</v>
          </cell>
          <cell r="I65">
            <v>0.17499999999999999</v>
          </cell>
          <cell r="J65">
            <v>0.22190000000000001</v>
          </cell>
          <cell r="K65">
            <v>0.18659999999999999</v>
          </cell>
          <cell r="L65">
            <v>0.33439999999999998</v>
          </cell>
          <cell r="M65">
            <v>0.22409999999999999</v>
          </cell>
          <cell r="N65">
            <v>0.1966</v>
          </cell>
          <cell r="O65">
            <v>0.28989999999999999</v>
          </cell>
          <cell r="P65">
            <v>0.19939999999999999</v>
          </cell>
          <cell r="Q65">
            <v>0.25030000000000002</v>
          </cell>
          <cell r="R65">
            <v>0.33189999999999997</v>
          </cell>
          <cell r="S65">
            <v>0.25900000000000001</v>
          </cell>
          <cell r="T65">
            <v>0.33539999999999998</v>
          </cell>
          <cell r="U65">
            <v>0.30019999999999997</v>
          </cell>
          <cell r="V65">
            <v>0.20430000000000001</v>
          </cell>
          <cell r="W65">
            <v>0.76816319999999993</v>
          </cell>
          <cell r="X65">
            <v>0.55674780000000001</v>
          </cell>
          <cell r="Y65">
            <v>0.72249029999999992</v>
          </cell>
          <cell r="Z65">
            <v>4.9535</v>
          </cell>
          <cell r="AA65">
            <v>6.3348999999999993</v>
          </cell>
          <cell r="AB65">
            <v>5.3609489217127075</v>
          </cell>
          <cell r="AC65">
            <v>5.1667008803991994</v>
          </cell>
          <cell r="AD65">
            <v>4.9269464144505486</v>
          </cell>
          <cell r="AE65">
            <v>5.1609522880376071</v>
          </cell>
        </row>
        <row r="66">
          <cell r="H66">
            <v>0.61850000000000005</v>
          </cell>
          <cell r="I66">
            <v>2.2084999999999999</v>
          </cell>
          <cell r="J66">
            <v>1.4847000000000001</v>
          </cell>
          <cell r="K66">
            <v>0.95320000000000005</v>
          </cell>
          <cell r="L66">
            <v>0.90810000000000002</v>
          </cell>
          <cell r="M66">
            <v>0.42230000000000001</v>
          </cell>
          <cell r="N66">
            <v>0.60639999999999994</v>
          </cell>
          <cell r="O66">
            <v>0.6167999999999999</v>
          </cell>
          <cell r="P66">
            <v>1.0635999999999999</v>
          </cell>
          <cell r="Q66">
            <v>1.0459000000000001</v>
          </cell>
          <cell r="R66">
            <v>2.0405000000000002</v>
          </cell>
          <cell r="S66">
            <v>2.3144</v>
          </cell>
          <cell r="T66">
            <v>1.7478</v>
          </cell>
          <cell r="U66">
            <v>1.9861</v>
          </cell>
          <cell r="V66">
            <v>1.1522000000000001</v>
          </cell>
          <cell r="W66">
            <v>0.38150000000000001</v>
          </cell>
          <cell r="X66">
            <v>0.92549999999999999</v>
          </cell>
          <cell r="Y66">
            <v>1.1422999999999999</v>
          </cell>
          <cell r="Z66">
            <v>1.5630999999999999</v>
          </cell>
          <cell r="AA66">
            <v>1.7925</v>
          </cell>
          <cell r="AB66">
            <v>1.7621433593581584</v>
          </cell>
          <cell r="AC66">
            <v>1.4336343163011998</v>
          </cell>
          <cell r="AD66">
            <v>1.3691762784064214</v>
          </cell>
          <cell r="AE66">
            <v>1.5800612145564872</v>
          </cell>
        </row>
        <row r="67">
          <cell r="H67">
            <v>0.43003140000000001</v>
          </cell>
          <cell r="I67">
            <v>0.38538420000000001</v>
          </cell>
          <cell r="J67">
            <v>0.66239400000000004</v>
          </cell>
          <cell r="K67">
            <v>0.43521479999999996</v>
          </cell>
          <cell r="L67">
            <v>0.36477779999999993</v>
          </cell>
          <cell r="M67">
            <v>0.67629059999999996</v>
          </cell>
          <cell r="N67">
            <v>0.52988339999999989</v>
          </cell>
          <cell r="O67">
            <v>0.50167679999999992</v>
          </cell>
          <cell r="P67">
            <v>0.38506620000000003</v>
          </cell>
          <cell r="Q67">
            <v>0.32744460000000003</v>
          </cell>
          <cell r="R67">
            <v>0.54336660000000003</v>
          </cell>
          <cell r="S67">
            <v>0.64827480000000004</v>
          </cell>
          <cell r="T67">
            <v>0.97781820000000008</v>
          </cell>
          <cell r="U67">
            <v>0.78724080000000007</v>
          </cell>
          <cell r="V67">
            <v>0.68166479999999996</v>
          </cell>
          <cell r="W67">
            <v>0.47345219999999999</v>
          </cell>
          <cell r="X67">
            <v>0.48302279999999997</v>
          </cell>
          <cell r="Y67">
            <v>0.4790682</v>
          </cell>
          <cell r="Z67">
            <v>3.056</v>
          </cell>
          <cell r="AA67">
            <v>2.3259000000000003</v>
          </cell>
          <cell r="AB67">
            <v>2.0441822700000003</v>
          </cell>
          <cell r="AC67">
            <v>2.0585218499999991</v>
          </cell>
          <cell r="AD67">
            <v>2.2333007499999997</v>
          </cell>
          <cell r="AE67">
            <v>2.33822785</v>
          </cell>
        </row>
        <row r="68">
          <cell r="H68">
            <v>0.92226859999999999</v>
          </cell>
          <cell r="I68">
            <v>0.82651580000000013</v>
          </cell>
          <cell r="J68">
            <v>1.420606</v>
          </cell>
          <cell r="K68">
            <v>0.93338520000000003</v>
          </cell>
          <cell r="L68">
            <v>0.78232219999999997</v>
          </cell>
          <cell r="M68">
            <v>1.4504094000000001</v>
          </cell>
          <cell r="N68">
            <v>1.1364166</v>
          </cell>
          <cell r="O68">
            <v>1.0759231999999999</v>
          </cell>
          <cell r="P68">
            <v>0.82583380000000006</v>
          </cell>
          <cell r="Q68">
            <v>0.70225540000000009</v>
          </cell>
          <cell r="R68">
            <v>1.1653334000000002</v>
          </cell>
          <cell r="S68">
            <v>1.3903251999999999</v>
          </cell>
          <cell r="T68">
            <v>2.0970818000000002</v>
          </cell>
          <cell r="U68">
            <v>1.6883592000000001</v>
          </cell>
          <cell r="V68">
            <v>1.4619352000000001</v>
          </cell>
          <cell r="W68">
            <v>1.5498478</v>
          </cell>
          <cell r="X68">
            <v>1.5811771999999999</v>
          </cell>
          <cell r="Y68">
            <v>1.5682318</v>
          </cell>
          <cell r="Z68">
            <v>3.056</v>
          </cell>
          <cell r="AA68">
            <v>2.3259000000000003</v>
          </cell>
          <cell r="AB68">
            <v>2.0441822700000003</v>
          </cell>
          <cell r="AC68">
            <v>2.0585218499999991</v>
          </cell>
          <cell r="AD68">
            <v>2.2333007499999997</v>
          </cell>
          <cell r="AE68">
            <v>2.33822785</v>
          </cell>
        </row>
        <row r="69">
          <cell r="H69">
            <v>1.112582</v>
          </cell>
          <cell r="I69">
            <v>0.80331799999999998</v>
          </cell>
          <cell r="J69">
            <v>0.79209799999999997</v>
          </cell>
          <cell r="K69">
            <v>1.4170180000000003</v>
          </cell>
          <cell r="L69">
            <v>2.0118140000000002</v>
          </cell>
          <cell r="M69">
            <v>1.9682630600000002</v>
          </cell>
          <cell r="N69">
            <v>1.356931568</v>
          </cell>
          <cell r="O69">
            <v>1.6115660000000003</v>
          </cell>
          <cell r="P69">
            <v>2.0560044800000004</v>
          </cell>
          <cell r="Q69">
            <v>2.2904100000000001</v>
          </cell>
          <cell r="R69">
            <v>2.4596072599999999</v>
          </cell>
          <cell r="S69">
            <v>3.8090502600000002</v>
          </cell>
          <cell r="T69">
            <v>4.7729200000000009</v>
          </cell>
          <cell r="U69">
            <v>4.5525319999999994</v>
          </cell>
          <cell r="V69">
            <v>3.3850400000000009</v>
          </cell>
          <cell r="W69">
            <v>2.8653000000000004</v>
          </cell>
          <cell r="X69">
            <v>1.9470999999999998</v>
          </cell>
          <cell r="Y69">
            <v>3.2425000000000002</v>
          </cell>
          <cell r="Z69">
            <v>1.5354000000000001</v>
          </cell>
          <cell r="AA69">
            <v>1.9370000000000001</v>
          </cell>
          <cell r="AB69">
            <v>2.3703669220352253</v>
          </cell>
          <cell r="AC69">
            <v>1.9890497993605087</v>
          </cell>
          <cell r="AD69">
            <v>2.1600621794832904</v>
          </cell>
          <cell r="AE69">
            <v>2.2621435716444833</v>
          </cell>
        </row>
        <row r="70">
          <cell r="H70">
            <v>2.1597179999999998</v>
          </cell>
          <cell r="I70">
            <v>1.559382</v>
          </cell>
          <cell r="J70">
            <v>1.5376019999999999</v>
          </cell>
          <cell r="K70">
            <v>2.7506820000000007</v>
          </cell>
          <cell r="L70">
            <v>3.9052860000000007</v>
          </cell>
          <cell r="M70">
            <v>3.8207459400000001</v>
          </cell>
          <cell r="N70">
            <v>2.634043632</v>
          </cell>
          <cell r="O70">
            <v>3.1283340000000002</v>
          </cell>
          <cell r="P70">
            <v>3.991067520000001</v>
          </cell>
          <cell r="Q70">
            <v>4.446089999999999</v>
          </cell>
          <cell r="R70">
            <v>4.7745317399999996</v>
          </cell>
          <cell r="S70">
            <v>7.3940387400000001</v>
          </cell>
          <cell r="T70">
            <v>9.2650800000000011</v>
          </cell>
          <cell r="U70">
            <v>8.8372679999999981</v>
          </cell>
          <cell r="V70">
            <v>6.5709600000000021</v>
          </cell>
          <cell r="W70">
            <v>4.5552000000000001</v>
          </cell>
          <cell r="X70">
            <v>5.4093999999999998</v>
          </cell>
          <cell r="Y70">
            <v>5.1186000000000007</v>
          </cell>
          <cell r="Z70">
            <v>1.7812999999999999</v>
          </cell>
          <cell r="AA70">
            <v>2.95</v>
          </cell>
          <cell r="AB70">
            <v>2.2861592609503698</v>
          </cell>
          <cell r="AC70">
            <v>2.5053125556405771</v>
          </cell>
          <cell r="AD70">
            <v>2.4712945670254456</v>
          </cell>
          <cell r="AE70">
            <v>2.4438312461536253</v>
          </cell>
        </row>
        <row r="92">
          <cell r="H92">
            <v>0.41436087365353341</v>
          </cell>
          <cell r="I92">
            <v>0.17461665398690543</v>
          </cell>
          <cell r="J92">
            <v>0.26404705837256015</v>
          </cell>
          <cell r="K92">
            <v>0.26172287837157698</v>
          </cell>
          <cell r="L92">
            <v>0.20771095617481719</v>
          </cell>
          <cell r="M92">
            <v>0.24565572097347629</v>
          </cell>
          <cell r="N92">
            <v>0.38202445624855086</v>
          </cell>
          <cell r="O92">
            <v>0.43265115974822654</v>
          </cell>
          <cell r="P92">
            <v>0.44386785453557986</v>
          </cell>
          <cell r="Q92">
            <v>0.36903936363436263</v>
          </cell>
          <cell r="R92">
            <v>0.5218289358729048</v>
          </cell>
          <cell r="S92">
            <v>0.56649361241353691</v>
          </cell>
          <cell r="T92">
            <v>0.68866463942173628</v>
          </cell>
          <cell r="U92">
            <v>1.031127510001379</v>
          </cell>
          <cell r="V92">
            <v>0.57467876806917317</v>
          </cell>
          <cell r="W92">
            <v>0.49454508368745087</v>
          </cell>
          <cell r="X92">
            <v>0.57525981306941887</v>
          </cell>
          <cell r="Y92">
            <v>0.81019904321227521</v>
          </cell>
          <cell r="Z92">
            <v>0.6358950000000001</v>
          </cell>
          <cell r="AA92">
            <v>0.73733399999999993</v>
          </cell>
          <cell r="AB92">
            <v>0.6518964294875611</v>
          </cell>
          <cell r="AC92">
            <v>0.67716166468748484</v>
          </cell>
          <cell r="AD92">
            <v>0.61357820737900048</v>
          </cell>
          <cell r="AE92">
            <v>0.62155831420158214</v>
          </cell>
        </row>
        <row r="93">
          <cell r="H93">
            <v>0.18668655354200558</v>
          </cell>
          <cell r="I93">
            <v>7.8671958180852486E-2</v>
          </cell>
          <cell r="J93">
            <v>0.11896402009639327</v>
          </cell>
          <cell r="K93">
            <v>0.11791688176412496</v>
          </cell>
          <cell r="L93">
            <v>9.3582297477281418E-2</v>
          </cell>
          <cell r="M93">
            <v>0.11067796894540068</v>
          </cell>
          <cell r="N93">
            <v>0.17211767239740325</v>
          </cell>
          <cell r="O93">
            <v>0.19492707693942124</v>
          </cell>
          <cell r="P93">
            <v>0.19998065758645517</v>
          </cell>
          <cell r="Q93">
            <v>0.1662673560627739</v>
          </cell>
          <cell r="R93">
            <v>0.23510531947101979</v>
          </cell>
          <cell r="S93">
            <v>0.25522858655200176</v>
          </cell>
          <cell r="T93">
            <v>0.31027164062645235</v>
          </cell>
          <cell r="U93">
            <v>0.46456519749850622</v>
          </cell>
          <cell r="V93">
            <v>0.25891633459172925</v>
          </cell>
          <cell r="W93">
            <v>0.22281282600526162</v>
          </cell>
          <cell r="X93">
            <v>0.25917811917479627</v>
          </cell>
          <cell r="Y93">
            <v>0.3650278698533686</v>
          </cell>
          <cell r="Z93">
            <v>0.79894500000000002</v>
          </cell>
          <cell r="AA93">
            <v>0.92639399999999994</v>
          </cell>
          <cell r="AB93">
            <v>0.81904936012539731</v>
          </cell>
          <cell r="AC93">
            <v>0.85079286076119875</v>
          </cell>
          <cell r="AD93">
            <v>0.77090595286079544</v>
          </cell>
          <cell r="AE93">
            <v>0.78093224091993652</v>
          </cell>
        </row>
        <row r="94">
          <cell r="H94">
            <v>0.21905257280446114</v>
          </cell>
          <cell r="I94">
            <v>9.2311387832242131E-2</v>
          </cell>
          <cell r="J94">
            <v>0.13958892153104671</v>
          </cell>
          <cell r="K94">
            <v>0.1383602398642981</v>
          </cell>
          <cell r="L94">
            <v>0.10980674634790144</v>
          </cell>
          <cell r="M94">
            <v>0.12986631008112301</v>
          </cell>
          <cell r="N94">
            <v>0.20195787135404591</v>
          </cell>
          <cell r="O94">
            <v>0.22872176331235222</v>
          </cell>
          <cell r="P94">
            <v>0.234651487877965</v>
          </cell>
          <cell r="Q94">
            <v>0.19509328030286358</v>
          </cell>
          <cell r="R94">
            <v>0.27586574465607538</v>
          </cell>
          <cell r="S94">
            <v>0.29947780103446142</v>
          </cell>
          <cell r="T94">
            <v>0.36406371995181136</v>
          </cell>
          <cell r="U94">
            <v>0.54510729250011491</v>
          </cell>
          <cell r="V94">
            <v>0.30380489733909782</v>
          </cell>
          <cell r="W94">
            <v>0.2614420903072876</v>
          </cell>
          <cell r="X94">
            <v>0.30411206775578492</v>
          </cell>
          <cell r="Y94">
            <v>0.42831308693435627</v>
          </cell>
          <cell r="Z94">
            <v>0.19566</v>
          </cell>
          <cell r="AA94">
            <v>0.22687199999999996</v>
          </cell>
          <cell r="AB94">
            <v>0.20058351676540342</v>
          </cell>
          <cell r="AC94">
            <v>0.20835743528845685</v>
          </cell>
          <cell r="AD94">
            <v>0.188793294578154</v>
          </cell>
          <cell r="AE94">
            <v>0.19124871206202526</v>
          </cell>
        </row>
        <row r="95">
          <cell r="H95">
            <v>0.16229015911096059</v>
          </cell>
          <cell r="I95">
            <v>0.13689095496788101</v>
          </cell>
          <cell r="J95">
            <v>0.1464880483900218</v>
          </cell>
          <cell r="K95">
            <v>0.12630105877793252</v>
          </cell>
          <cell r="L95">
            <v>5.3578256036020636E-2</v>
          </cell>
          <cell r="M95">
            <v>0.14473409683356164</v>
          </cell>
          <cell r="N95">
            <v>0.20832311411164292</v>
          </cell>
          <cell r="O95">
            <v>0.18181528021117813</v>
          </cell>
          <cell r="P95">
            <v>0.25346254662129836</v>
          </cell>
          <cell r="Q95">
            <v>0.21457777154883126</v>
          </cell>
          <cell r="R95">
            <v>0.21891301030159141</v>
          </cell>
          <cell r="S95">
            <v>0.34506514866435284</v>
          </cell>
          <cell r="T95">
            <v>0.4237613147259075</v>
          </cell>
          <cell r="U95">
            <v>0.29486242203887825</v>
          </cell>
          <cell r="V95">
            <v>0.25132802067051191</v>
          </cell>
          <cell r="W95">
            <v>0.19929265632196788</v>
          </cell>
          <cell r="X95">
            <v>0.28278808334118855</v>
          </cell>
          <cell r="Y95">
            <v>0.28374874501219671</v>
          </cell>
          <cell r="Z95">
            <v>0.38990000000000008</v>
          </cell>
          <cell r="AA95">
            <v>0.61124000000000001</v>
          </cell>
          <cell r="AB95">
            <v>0.48311013099802608</v>
          </cell>
          <cell r="AC95">
            <v>0.44265568341819511</v>
          </cell>
          <cell r="AD95">
            <v>0.44279982054836869</v>
          </cell>
          <cell r="AE95">
            <v>0.46242683685728003</v>
          </cell>
        </row>
        <row r="96">
          <cell r="H96">
            <v>0.29974721869213228</v>
          </cell>
          <cell r="I96">
            <v>0.25283531201468296</v>
          </cell>
          <cell r="J96">
            <v>0.27056098359313285</v>
          </cell>
          <cell r="K96">
            <v>0.23327595027294512</v>
          </cell>
          <cell r="L96">
            <v>9.8958145812104853E-2</v>
          </cell>
          <cell r="M96">
            <v>0.26732146430465759</v>
          </cell>
          <cell r="N96">
            <v>0.38476931926324892</v>
          </cell>
          <cell r="O96">
            <v>0.33580979190346144</v>
          </cell>
          <cell r="P96">
            <v>0.46814109868740644</v>
          </cell>
          <cell r="Q96">
            <v>0.39632156729196283</v>
          </cell>
          <cell r="R96">
            <v>0.40432868100498676</v>
          </cell>
          <cell r="S96">
            <v>0.63732957775343879</v>
          </cell>
          <cell r="T96">
            <v>0.78268008469672801</v>
          </cell>
          <cell r="U96">
            <v>0.54460597849651282</v>
          </cell>
          <cell r="V96">
            <v>0.46419866483633754</v>
          </cell>
          <cell r="W96">
            <v>0.36809021425281468</v>
          </cell>
          <cell r="X96">
            <v>0.52230487618688526</v>
          </cell>
          <cell r="Y96">
            <v>0.52407920228013871</v>
          </cell>
          <cell r="Z96">
            <v>0.18102500000000002</v>
          </cell>
          <cell r="AA96">
            <v>0.28378999999999999</v>
          </cell>
          <cell r="AB96">
            <v>0.22430113224908352</v>
          </cell>
          <cell r="AC96">
            <v>0.20551871015844772</v>
          </cell>
          <cell r="AD96">
            <v>0.20558563096888544</v>
          </cell>
          <cell r="AE96">
            <v>0.21469817425516571</v>
          </cell>
        </row>
        <row r="97">
          <cell r="H97">
            <v>7.4936804673033069E-2</v>
          </cell>
          <cell r="I97">
            <v>6.3208828003670739E-2</v>
          </cell>
          <cell r="J97">
            <v>6.7640245898283213E-2</v>
          </cell>
          <cell r="K97">
            <v>5.831898756823628E-2</v>
          </cell>
          <cell r="L97">
            <v>2.4739536453026213E-2</v>
          </cell>
          <cell r="M97">
            <v>6.6830366076164396E-2</v>
          </cell>
          <cell r="N97">
            <v>9.619232981581223E-2</v>
          </cell>
          <cell r="O97">
            <v>8.395244797586536E-2</v>
          </cell>
          <cell r="P97">
            <v>0.11703527467185161</v>
          </cell>
          <cell r="Q97">
            <v>9.9080391822990707E-2</v>
          </cell>
          <cell r="R97">
            <v>0.10108217025124669</v>
          </cell>
          <cell r="S97">
            <v>0.1593323944383597</v>
          </cell>
          <cell r="T97">
            <v>0.195670021174182</v>
          </cell>
          <cell r="U97">
            <v>0.13615149462412821</v>
          </cell>
          <cell r="V97">
            <v>0.11604966620908438</v>
          </cell>
          <cell r="W97">
            <v>9.2022553563203671E-2</v>
          </cell>
          <cell r="X97">
            <v>0.13057621904672131</v>
          </cell>
          <cell r="Y97">
            <v>0.13101980057003468</v>
          </cell>
          <cell r="Z97">
            <v>0.6266250000000001</v>
          </cell>
          <cell r="AA97">
            <v>0.98234999999999995</v>
          </cell>
          <cell r="AB97">
            <v>0.77642699624682754</v>
          </cell>
          <cell r="AC97">
            <v>0.71141091977924209</v>
          </cell>
          <cell r="AD97">
            <v>0.71164256873844955</v>
          </cell>
          <cell r="AE97">
            <v>0.74318598780634293</v>
          </cell>
        </row>
        <row r="98">
          <cell r="H98">
            <v>0.14468181752387402</v>
          </cell>
          <cell r="I98">
            <v>0.12203840501376527</v>
          </cell>
          <cell r="J98">
            <v>0.13059422211856206</v>
          </cell>
          <cell r="K98">
            <v>0.11259750338088605</v>
          </cell>
          <cell r="L98">
            <v>4.7765061698848296E-2</v>
          </cell>
          <cell r="M98">
            <v>0.12903057278561647</v>
          </cell>
          <cell r="N98">
            <v>0.18572023680929586</v>
          </cell>
          <cell r="O98">
            <v>0.1620884799094951</v>
          </cell>
          <cell r="P98">
            <v>0.22596208001944354</v>
          </cell>
          <cell r="Q98">
            <v>0.19129626933621519</v>
          </cell>
          <cell r="R98">
            <v>0.19516113844217509</v>
          </cell>
          <cell r="S98">
            <v>0.30762587914384881</v>
          </cell>
          <cell r="T98">
            <v>0.37778357940318252</v>
          </cell>
          <cell r="U98">
            <v>0.26287010484048079</v>
          </cell>
          <cell r="V98">
            <v>0.2240591482840664</v>
          </cell>
          <cell r="W98">
            <v>0.17766957586201376</v>
          </cell>
          <cell r="X98">
            <v>0.25210582142520493</v>
          </cell>
          <cell r="Y98">
            <v>0.25296225213763002</v>
          </cell>
          <cell r="Z98">
            <v>0.19495000000000004</v>
          </cell>
          <cell r="AA98">
            <v>0.30562</v>
          </cell>
          <cell r="AB98">
            <v>0.24155506549901304</v>
          </cell>
          <cell r="AC98">
            <v>0.22132784170909756</v>
          </cell>
          <cell r="AD98">
            <v>0.22139991027418435</v>
          </cell>
          <cell r="AE98">
            <v>0.23121341842864002</v>
          </cell>
        </row>
        <row r="99">
          <cell r="H99">
            <v>0.18433800000000003</v>
          </cell>
          <cell r="I99">
            <v>0.206844</v>
          </cell>
          <cell r="J99">
            <v>0.137214</v>
          </cell>
          <cell r="K99">
            <v>0.61676999999999993</v>
          </cell>
          <cell r="L99">
            <v>0.68554199999999998</v>
          </cell>
          <cell r="M99">
            <v>0.40642800000000001</v>
          </cell>
          <cell r="N99">
            <v>0.53598599999999996</v>
          </cell>
          <cell r="O99">
            <v>1.033296</v>
          </cell>
          <cell r="P99">
            <v>0.77985599999999999</v>
          </cell>
          <cell r="Q99">
            <v>0.64818600000000004</v>
          </cell>
          <cell r="R99">
            <v>0.78117599999999998</v>
          </cell>
          <cell r="S99">
            <v>0.39857400000000004</v>
          </cell>
          <cell r="T99">
            <v>0.61709999999999998</v>
          </cell>
          <cell r="U99">
            <v>0.37732200000000005</v>
          </cell>
          <cell r="V99">
            <v>0.84011400000000014</v>
          </cell>
          <cell r="W99">
            <v>0.93320000000000003</v>
          </cell>
          <cell r="X99">
            <v>1.1757</v>
          </cell>
          <cell r="Y99">
            <v>0.60420000000000007</v>
          </cell>
          <cell r="Z99">
            <v>0.75339999999999996</v>
          </cell>
          <cell r="AA99">
            <v>1.5335999999999999</v>
          </cell>
          <cell r="AB99">
            <v>1.2076663465344608</v>
          </cell>
          <cell r="AC99">
            <v>0.88413198109065294</v>
          </cell>
          <cell r="AD99">
            <v>0.97240838928959727</v>
          </cell>
          <cell r="AE99">
            <v>1.0165069098294888</v>
          </cell>
        </row>
        <row r="100">
          <cell r="H100">
            <v>9.4962000000000019E-2</v>
          </cell>
          <cell r="I100">
            <v>0.106556</v>
          </cell>
          <cell r="J100">
            <v>7.0686000000000013E-2</v>
          </cell>
          <cell r="K100">
            <v>0.31773000000000001</v>
          </cell>
          <cell r="L100">
            <v>0.35315800000000003</v>
          </cell>
          <cell r="M100">
            <v>0.20937199999999997</v>
          </cell>
          <cell r="N100">
            <v>0.27611400000000003</v>
          </cell>
          <cell r="O100">
            <v>0.532304</v>
          </cell>
          <cell r="P100">
            <v>0.40174399999999999</v>
          </cell>
          <cell r="Q100">
            <v>0.33391400000000004</v>
          </cell>
          <cell r="R100">
            <v>0.402424</v>
          </cell>
          <cell r="S100">
            <v>0.20532599999999998</v>
          </cell>
          <cell r="T100">
            <v>0.31790000000000002</v>
          </cell>
          <cell r="U100">
            <v>0.19437800000000005</v>
          </cell>
          <cell r="V100">
            <v>0.43278600000000006</v>
          </cell>
          <cell r="W100">
            <v>0.53679999999999994</v>
          </cell>
          <cell r="X100">
            <v>0.58729999999999993</v>
          </cell>
          <cell r="Y100">
            <v>0.3029</v>
          </cell>
          <cell r="Z100">
            <v>0.19550000000000001</v>
          </cell>
          <cell r="AA100">
            <v>0.11359999999999999</v>
          </cell>
          <cell r="AB100">
            <v>0.23634605624237559</v>
          </cell>
          <cell r="AC100">
            <v>0.27313452288332429</v>
          </cell>
          <cell r="AD100">
            <v>0.28219361090513184</v>
          </cell>
          <cell r="AE100">
            <v>0.26393138211722167</v>
          </cell>
        </row>
        <row r="101">
          <cell r="H101">
            <v>0.51962010000000003</v>
          </cell>
          <cell r="I101">
            <v>0.2356029</v>
          </cell>
          <cell r="J101">
            <v>0.29530000000000001</v>
          </cell>
          <cell r="K101">
            <v>0.39574090000000001</v>
          </cell>
          <cell r="L101">
            <v>0.68245239999999996</v>
          </cell>
          <cell r="M101">
            <v>0.37956290000000004</v>
          </cell>
          <cell r="N101">
            <v>0.31980000000000003</v>
          </cell>
          <cell r="O101">
            <v>0.7399</v>
          </cell>
          <cell r="P101">
            <v>0.63590000000000002</v>
          </cell>
          <cell r="Q101">
            <v>0.7046</v>
          </cell>
          <cell r="R101">
            <v>0.49339999999999995</v>
          </cell>
          <cell r="S101">
            <v>1.1999000000000002</v>
          </cell>
          <cell r="T101">
            <v>1.5182</v>
          </cell>
          <cell r="U101">
            <v>1.0499000000000001</v>
          </cell>
          <cell r="V101">
            <v>1.0911</v>
          </cell>
          <cell r="W101">
            <v>0.79139999999999999</v>
          </cell>
          <cell r="X101">
            <v>0.41299999999999998</v>
          </cell>
          <cell r="Y101">
            <v>0.74629999999999996</v>
          </cell>
          <cell r="Z101">
            <v>0.95779999999999998</v>
          </cell>
          <cell r="AA101">
            <v>1.0682</v>
          </cell>
          <cell r="AB101">
            <v>0.76954163000000042</v>
          </cell>
          <cell r="AC101">
            <v>0.65636095000000005</v>
          </cell>
          <cell r="AD101">
            <v>0.53005643999999963</v>
          </cell>
          <cell r="AE101">
            <v>0.52549197000000003</v>
          </cell>
        </row>
        <row r="102">
          <cell r="H102">
            <v>0.21296593880742018</v>
          </cell>
          <cell r="I102">
            <v>0.17963572713639753</v>
          </cell>
          <cell r="J102">
            <v>0.19222955304466666</v>
          </cell>
          <cell r="K102">
            <v>0.16573909165141087</v>
          </cell>
          <cell r="L102">
            <v>7.0308290156854247E-2</v>
          </cell>
          <cell r="M102">
            <v>0.18992792279246576</v>
          </cell>
          <cell r="N102">
            <v>0.27337287618122147</v>
          </cell>
          <cell r="O102">
            <v>0.23858786048286421</v>
          </cell>
          <cell r="P102">
            <v>0.33260728493597691</v>
          </cell>
          <cell r="Q102">
            <v>0.28158057651454166</v>
          </cell>
          <cell r="R102">
            <v>0.28726951166620807</v>
          </cell>
          <cell r="S102">
            <v>0.45281318188111136</v>
          </cell>
          <cell r="T102">
            <v>0.55608255432891829</v>
          </cell>
          <cell r="U102">
            <v>0.38693444428509655</v>
          </cell>
          <cell r="V102">
            <v>0.32980624434603434</v>
          </cell>
          <cell r="W102">
            <v>7.7976356796648869E-2</v>
          </cell>
          <cell r="X102">
            <v>0.10613982502339432</v>
          </cell>
          <cell r="Y102">
            <v>0.10925090581588365</v>
          </cell>
          <cell r="Z102">
            <v>0.1041</v>
          </cell>
          <cell r="AA102">
            <v>0.14449999999999999</v>
          </cell>
          <cell r="AB102">
            <v>0.12252214500704957</v>
          </cell>
          <cell r="AC102">
            <v>0.11151282493501802</v>
          </cell>
          <cell r="AD102">
            <v>0.10818632947011167</v>
          </cell>
          <cell r="AE102">
            <v>0.10758392265257145</v>
          </cell>
        </row>
        <row r="103">
          <cell r="H103">
            <v>8.6178061192579855E-2</v>
          </cell>
          <cell r="I103">
            <v>7.2690772863602482E-2</v>
          </cell>
          <cell r="J103">
            <v>7.7786946955333336E-2</v>
          </cell>
          <cell r="K103">
            <v>6.7067408348589097E-2</v>
          </cell>
          <cell r="L103">
            <v>2.8450709843145752E-2</v>
          </cell>
          <cell r="M103">
            <v>7.6855577207534248E-2</v>
          </cell>
          <cell r="N103">
            <v>0.11062212381877858</v>
          </cell>
          <cell r="O103">
            <v>9.6546139517135726E-2</v>
          </cell>
          <cell r="P103">
            <v>0.13459171506402304</v>
          </cell>
          <cell r="Q103">
            <v>0.11394342348545834</v>
          </cell>
          <cell r="R103">
            <v>0.11624548833379195</v>
          </cell>
          <cell r="S103">
            <v>0.18323381811888867</v>
          </cell>
          <cell r="T103">
            <v>0.22502244567108176</v>
          </cell>
          <cell r="U103">
            <v>0.15657555571490342</v>
          </cell>
          <cell r="V103">
            <v>0.13345825565396569</v>
          </cell>
          <cell r="W103">
            <v>3.1553643203351134E-2</v>
          </cell>
          <cell r="X103">
            <v>4.2950174976605679E-2</v>
          </cell>
          <cell r="Y103">
            <v>4.4209094184116358E-2</v>
          </cell>
          <cell r="Z103">
            <v>0.1041</v>
          </cell>
          <cell r="AA103">
            <v>0.14449999999999999</v>
          </cell>
          <cell r="AB103">
            <v>0.12252214500704957</v>
          </cell>
          <cell r="AC103">
            <v>0.11151282493501802</v>
          </cell>
          <cell r="AD103">
            <v>0.10818632947011167</v>
          </cell>
          <cell r="AE103">
            <v>0.10758392265257145</v>
          </cell>
        </row>
        <row r="104">
          <cell r="H104">
            <v>8.6474074074074148E-2</v>
          </cell>
          <cell r="I104">
            <v>8.6474074074074037E-2</v>
          </cell>
          <cell r="J104">
            <v>8.6474074074074148E-2</v>
          </cell>
          <cell r="K104">
            <v>8.6474074074074148E-2</v>
          </cell>
          <cell r="L104">
            <v>8.6474074074073926E-2</v>
          </cell>
          <cell r="M104">
            <v>8.6474074074074148E-2</v>
          </cell>
          <cell r="N104">
            <v>8.6474074074074148E-2</v>
          </cell>
          <cell r="O104">
            <v>8.6474074074073926E-2</v>
          </cell>
          <cell r="P104">
            <v>8.6474074074074148E-2</v>
          </cell>
          <cell r="Q104">
            <v>8.6474074074074148E-2</v>
          </cell>
          <cell r="R104">
            <v>8.6474074074073926E-2</v>
          </cell>
          <cell r="S104">
            <v>8.6474074074074148E-2</v>
          </cell>
          <cell r="T104">
            <v>8.6474074074074148E-2</v>
          </cell>
          <cell r="U104">
            <v>8.6474074074073926E-2</v>
          </cell>
          <cell r="V104">
            <v>8.6474074074073926E-2</v>
          </cell>
          <cell r="W104">
            <v>8.647407407407437E-2</v>
          </cell>
          <cell r="X104">
            <v>8.6474074074073926E-2</v>
          </cell>
          <cell r="Y104">
            <v>8.647407407407437E-2</v>
          </cell>
          <cell r="Z104">
            <v>8.6474074074073926E-2</v>
          </cell>
          <cell r="AA104">
            <v>8.6474074074073926E-2</v>
          </cell>
          <cell r="AB104">
            <v>8.6474074074073926E-2</v>
          </cell>
          <cell r="AC104">
            <v>8.647407407407437E-2</v>
          </cell>
          <cell r="AD104">
            <v>8.6474074074073926E-2</v>
          </cell>
          <cell r="AE104">
            <v>8.647407407407437E-2</v>
          </cell>
        </row>
        <row r="105">
          <cell r="H105">
            <v>0.29699999999999999</v>
          </cell>
          <cell r="I105">
            <v>0.18059999999999998</v>
          </cell>
          <cell r="J105">
            <v>9.4500000000000001E-2</v>
          </cell>
          <cell r="K105">
            <v>0.46850000000000003</v>
          </cell>
          <cell r="L105">
            <v>0.1009</v>
          </cell>
          <cell r="M105">
            <v>0.13689999999999999</v>
          </cell>
          <cell r="N105">
            <v>0.37169999999999997</v>
          </cell>
          <cell r="O105">
            <v>0.29910000000000003</v>
          </cell>
          <cell r="P105">
            <v>0.4612</v>
          </cell>
          <cell r="Q105">
            <v>0.78410000000000002</v>
          </cell>
          <cell r="R105">
            <v>0.1585</v>
          </cell>
          <cell r="S105">
            <v>0.14169999999999999</v>
          </cell>
          <cell r="T105">
            <v>0.24959999999999999</v>
          </cell>
          <cell r="U105">
            <v>0.2296</v>
          </cell>
          <cell r="V105">
            <v>0.22839999999999999</v>
          </cell>
          <cell r="W105">
            <v>0.24010000000000001</v>
          </cell>
          <cell r="X105">
            <v>0.247</v>
          </cell>
          <cell r="Y105">
            <v>0.36219999999999997</v>
          </cell>
          <cell r="Z105">
            <v>0.39089999999999997</v>
          </cell>
          <cell r="AA105">
            <v>0.62470000000000003</v>
          </cell>
          <cell r="AB105">
            <v>0.54312269999999974</v>
          </cell>
          <cell r="AC105">
            <v>0.43204304999999998</v>
          </cell>
          <cell r="AD105">
            <v>0.39338529000000044</v>
          </cell>
          <cell r="AE105">
            <v>0.43886131999999956</v>
          </cell>
        </row>
        <row r="106">
          <cell r="H106">
            <v>9.4114999999999976E-2</v>
          </cell>
          <cell r="I106">
            <v>3.5979999999999998E-2</v>
          </cell>
          <cell r="J106">
            <v>4.9454999999999999E-2</v>
          </cell>
          <cell r="K106">
            <v>1.6729999999999998E-2</v>
          </cell>
          <cell r="L106">
            <v>8.9494999999999991E-2</v>
          </cell>
          <cell r="M106">
            <v>0.18592000000000003</v>
          </cell>
          <cell r="N106">
            <v>0.22197</v>
          </cell>
          <cell r="O106">
            <v>6.1249999999999999E-2</v>
          </cell>
          <cell r="P106">
            <v>0.23075499999999996</v>
          </cell>
          <cell r="Q106">
            <v>0.19785499999999995</v>
          </cell>
          <cell r="R106">
            <v>0.15771000000000002</v>
          </cell>
          <cell r="S106">
            <v>0.15168999999999996</v>
          </cell>
          <cell r="T106">
            <v>0.16621499999999997</v>
          </cell>
          <cell r="U106">
            <v>0.24384500000000001</v>
          </cell>
          <cell r="V106">
            <v>0.190085</v>
          </cell>
          <cell r="W106">
            <v>0.16197999999999999</v>
          </cell>
          <cell r="X106">
            <v>0.14038499999999998</v>
          </cell>
          <cell r="Y106">
            <v>0.31633</v>
          </cell>
          <cell r="Z106">
            <v>0.6502</v>
          </cell>
          <cell r="AA106">
            <v>0.64700000000000002</v>
          </cell>
          <cell r="AB106">
            <v>0.45748749999999927</v>
          </cell>
          <cell r="AC106">
            <v>0.5602725700000003</v>
          </cell>
          <cell r="AD106">
            <v>0.47068721000000047</v>
          </cell>
          <cell r="AE106">
            <v>0.54478340999999997</v>
          </cell>
        </row>
        <row r="107">
          <cell r="H107">
            <v>0.174785</v>
          </cell>
          <cell r="I107">
            <v>6.6820000000000004E-2</v>
          </cell>
          <cell r="J107">
            <v>9.184500000000001E-2</v>
          </cell>
          <cell r="K107">
            <v>3.107E-2</v>
          </cell>
          <cell r="L107">
            <v>0.16620499999999999</v>
          </cell>
          <cell r="M107">
            <v>0.34528000000000003</v>
          </cell>
          <cell r="N107">
            <v>0.41223000000000004</v>
          </cell>
          <cell r="O107">
            <v>0.11375</v>
          </cell>
          <cell r="P107">
            <v>0.42854499999999995</v>
          </cell>
          <cell r="Q107">
            <v>0.36744499999999997</v>
          </cell>
          <cell r="R107">
            <v>0.29289000000000004</v>
          </cell>
          <cell r="S107">
            <v>0.28170999999999996</v>
          </cell>
          <cell r="T107">
            <v>0.30868499999999999</v>
          </cell>
          <cell r="U107">
            <v>0.45285500000000001</v>
          </cell>
          <cell r="V107">
            <v>0.35301500000000002</v>
          </cell>
          <cell r="W107">
            <v>0.35450480000000001</v>
          </cell>
          <cell r="X107">
            <v>0.30724260000000003</v>
          </cell>
          <cell r="Y107">
            <v>0.6923108</v>
          </cell>
          <cell r="Z107">
            <v>0.6502</v>
          </cell>
          <cell r="AA107">
            <v>0.64700000000000002</v>
          </cell>
          <cell r="AB107">
            <v>0.45748749999999927</v>
          </cell>
          <cell r="AC107">
            <v>0.5602725700000003</v>
          </cell>
          <cell r="AD107">
            <v>0.47068721000000047</v>
          </cell>
          <cell r="AE107">
            <v>0.54478340999999997</v>
          </cell>
        </row>
        <row r="108">
          <cell r="H108">
            <v>0.16187400000000002</v>
          </cell>
          <cell r="I108">
            <v>0.40232200000000001</v>
          </cell>
          <cell r="J108">
            <v>0.21423400000000004</v>
          </cell>
          <cell r="K108">
            <v>0.16636200000000001</v>
          </cell>
          <cell r="L108">
            <v>0.14161000000000001</v>
          </cell>
          <cell r="M108">
            <v>0.21616506400000002</v>
          </cell>
          <cell r="N108">
            <v>0.43234400000000001</v>
          </cell>
          <cell r="O108">
            <v>0.29482056200000006</v>
          </cell>
          <cell r="P108">
            <v>0.20296021200000003</v>
          </cell>
          <cell r="Q108">
            <v>0.39565800000000001</v>
          </cell>
          <cell r="R108">
            <v>0.36665600000000004</v>
          </cell>
          <cell r="S108">
            <v>0.54201909199999998</v>
          </cell>
          <cell r="T108">
            <v>0.55654331400000001</v>
          </cell>
          <cell r="U108">
            <v>0.70082122600000007</v>
          </cell>
          <cell r="V108">
            <v>0.47504799999999997</v>
          </cell>
          <cell r="W108">
            <v>0.35580000000000001</v>
          </cell>
          <cell r="X108">
            <v>0.66449999999999998</v>
          </cell>
          <cell r="Y108">
            <v>1.038</v>
          </cell>
          <cell r="Z108">
            <v>0.46650000000000003</v>
          </cell>
          <cell r="AA108">
            <v>0.95889999999999997</v>
          </cell>
          <cell r="AB108">
            <v>0.46645769387703823</v>
          </cell>
          <cell r="AC108">
            <v>0.49047162329837557</v>
          </cell>
          <cell r="AD108">
            <v>0.51237945405876495</v>
          </cell>
          <cell r="AE108">
            <v>0.52849590625857834</v>
          </cell>
        </row>
        <row r="109">
          <cell r="H109">
            <v>0.31422600000000006</v>
          </cell>
          <cell r="I109">
            <v>1.1833</v>
          </cell>
          <cell r="J109">
            <v>0.63009999999999999</v>
          </cell>
          <cell r="K109">
            <v>0.48930000000000001</v>
          </cell>
          <cell r="L109">
            <v>0.41649999999999998</v>
          </cell>
          <cell r="M109">
            <v>0.63577960000000011</v>
          </cell>
          <cell r="N109">
            <v>1.2715999999999998</v>
          </cell>
          <cell r="O109">
            <v>0.86711930000000004</v>
          </cell>
          <cell r="P109">
            <v>0.59694180000000008</v>
          </cell>
          <cell r="Q109">
            <v>1.1637</v>
          </cell>
          <cell r="R109">
            <v>1.0784</v>
          </cell>
          <cell r="S109">
            <v>1.5941737999999999</v>
          </cell>
          <cell r="T109">
            <v>1.6368920999999999</v>
          </cell>
          <cell r="U109">
            <v>2.0612388999999998</v>
          </cell>
          <cell r="V109">
            <v>1.3971999999999998</v>
          </cell>
          <cell r="W109">
            <v>1.0427</v>
          </cell>
          <cell r="X109">
            <v>0.80215000000000003</v>
          </cell>
          <cell r="Y109">
            <v>0.2843</v>
          </cell>
          <cell r="Z109">
            <v>0.34749999999999998</v>
          </cell>
          <cell r="AA109">
            <v>0.2964</v>
          </cell>
          <cell r="AB109">
            <v>0.53927991626881955</v>
          </cell>
          <cell r="AC109">
            <v>0.4102555079683779</v>
          </cell>
          <cell r="AD109">
            <v>0.42249327104785911</v>
          </cell>
          <cell r="AE109">
            <v>0.42234898958167211</v>
          </cell>
        </row>
        <row r="131">
          <cell r="H131">
            <v>2.7637531750820971E-2</v>
          </cell>
          <cell r="I131">
            <v>6.7805425246072637E-2</v>
          </cell>
          <cell r="J131">
            <v>4.9110933933817151E-2</v>
          </cell>
          <cell r="K131">
            <v>3.8348970016221416E-2</v>
          </cell>
          <cell r="L131">
            <v>6.6037027419237657E-2</v>
          </cell>
          <cell r="M131">
            <v>2.9153301316679522E-2</v>
          </cell>
          <cell r="N131">
            <v>7.9577902207574089E-2</v>
          </cell>
          <cell r="O131">
            <v>0.19129011921134953</v>
          </cell>
          <cell r="P131">
            <v>0.14137077484240779</v>
          </cell>
          <cell r="Q131">
            <v>0.21059091834994842</v>
          </cell>
          <cell r="R131">
            <v>0.10413336917448265</v>
          </cell>
          <cell r="S131">
            <v>0.21539085530850052</v>
          </cell>
          <cell r="T131">
            <v>0.19139117051574009</v>
          </cell>
          <cell r="U131">
            <v>0.25454823575984653</v>
          </cell>
          <cell r="V131">
            <v>0.21195511095922112</v>
          </cell>
          <cell r="W131">
            <v>0.19125980382003235</v>
          </cell>
          <cell r="X131">
            <v>0.26220792463265175</v>
          </cell>
          <cell r="Y131">
            <v>0.21725019930928702</v>
          </cell>
          <cell r="Z131">
            <v>2.7993000000000001E-2</v>
          </cell>
          <cell r="AA131">
            <v>4.1474999999999998E-2</v>
          </cell>
          <cell r="AB131">
            <v>4.0846333382852616E-2</v>
          </cell>
          <cell r="AC131">
            <v>5.0886648139373152E-2</v>
          </cell>
          <cell r="AD131">
            <v>5.2535476840249826E-2</v>
          </cell>
          <cell r="AE131">
            <v>5.8530607733513491E-2</v>
          </cell>
        </row>
        <row r="132">
          <cell r="H132">
            <v>1.245184060327729E-2</v>
          </cell>
          <cell r="I132">
            <v>3.0549122650087968E-2</v>
          </cell>
          <cell r="J132">
            <v>2.2126488238364762E-2</v>
          </cell>
          <cell r="K132">
            <v>1.7277782482426805E-2</v>
          </cell>
          <cell r="L132">
            <v>2.9752386962492529E-2</v>
          </cell>
          <cell r="M132">
            <v>1.3134756906930521E-2</v>
          </cell>
          <cell r="N132">
            <v>3.585310594179475E-2</v>
          </cell>
          <cell r="O132">
            <v>8.6184037521038065E-2</v>
          </cell>
          <cell r="P132">
            <v>6.3693327254058227E-2</v>
          </cell>
          <cell r="Q132">
            <v>9.4879838454222556E-2</v>
          </cell>
          <cell r="R132">
            <v>4.6916350060977136E-2</v>
          </cell>
          <cell r="S132">
            <v>9.7042406749124469E-2</v>
          </cell>
          <cell r="T132">
            <v>8.6229565274614936E-2</v>
          </cell>
          <cell r="U132">
            <v>0.11468441126016633</v>
          </cell>
          <cell r="V132">
            <v>9.5494463127510462E-2</v>
          </cell>
          <cell r="W132">
            <v>8.6170379194964994E-2</v>
          </cell>
          <cell r="X132">
            <v>0.11813541498129401</v>
          </cell>
          <cell r="Y132">
            <v>9.78801174149391E-2</v>
          </cell>
          <cell r="Z132">
            <v>8.2645999999999997E-2</v>
          </cell>
          <cell r="AA132">
            <v>0.12245</v>
          </cell>
          <cell r="AB132">
            <v>0.12059393665413629</v>
          </cell>
          <cell r="AC132">
            <v>0.15023677069719693</v>
          </cell>
          <cell r="AD132">
            <v>0.15510474114740425</v>
          </cell>
          <cell r="AE132">
            <v>0.17280465140370652</v>
          </cell>
        </row>
        <row r="133">
          <cell r="H133">
            <v>1.461062764590175E-2</v>
          </cell>
          <cell r="I133">
            <v>3.5845452103839388E-2</v>
          </cell>
          <cell r="J133">
            <v>2.5962577827818099E-2</v>
          </cell>
          <cell r="K133">
            <v>2.0273247501351788E-2</v>
          </cell>
          <cell r="L133">
            <v>3.4910585618269804E-2</v>
          </cell>
          <cell r="M133">
            <v>1.5411941776389961E-2</v>
          </cell>
          <cell r="N133">
            <v>4.2068991850631177E-2</v>
          </cell>
          <cell r="O133">
            <v>0.10112584326761248</v>
          </cell>
          <cell r="P133">
            <v>7.4735897903533979E-2</v>
          </cell>
          <cell r="Q133">
            <v>0.11132924319582904</v>
          </cell>
          <cell r="R133">
            <v>5.5050280764540223E-2</v>
          </cell>
          <cell r="S133">
            <v>0.11386673794237505</v>
          </cell>
          <cell r="T133">
            <v>0.10117926420964501</v>
          </cell>
          <cell r="U133">
            <v>0.13456735297998723</v>
          </cell>
          <cell r="V133">
            <v>0.11205042591326843</v>
          </cell>
          <cell r="W133">
            <v>0.10110981698500271</v>
          </cell>
          <cell r="X133">
            <v>0.13861666038605433</v>
          </cell>
          <cell r="Y133">
            <v>0.11484968327577393</v>
          </cell>
          <cell r="Z133">
            <v>2.2661000000000001E-2</v>
          </cell>
          <cell r="AA133">
            <v>3.3575000000000001E-2</v>
          </cell>
          <cell r="AB133">
            <v>3.3066079405166406E-2</v>
          </cell>
          <cell r="AC133">
            <v>4.1193953255683029E-2</v>
          </cell>
          <cell r="AD133">
            <v>4.2528719346868915E-2</v>
          </cell>
          <cell r="AE133">
            <v>4.7381920546177597E-2</v>
          </cell>
        </row>
        <row r="134">
          <cell r="H134">
            <v>4.7323598598832305E-2</v>
          </cell>
          <cell r="I134">
            <v>6.3539377139690933E-2</v>
          </cell>
          <cell r="J134">
            <v>7.4493301011168897E-2</v>
          </cell>
          <cell r="K134">
            <v>5.6242276796304551E-2</v>
          </cell>
          <cell r="L134">
            <v>4.7356692024425905E-2</v>
          </cell>
          <cell r="M134">
            <v>0.13958806915375851</v>
          </cell>
          <cell r="N134">
            <v>9.9958692005435654E-2</v>
          </cell>
          <cell r="O134">
            <v>0.13430966777158107</v>
          </cell>
          <cell r="P134">
            <v>6.0114207590754469E-2</v>
          </cell>
          <cell r="Q134">
            <v>5.8310615895903861E-2</v>
          </cell>
          <cell r="R134">
            <v>7.3368124540986873E-2</v>
          </cell>
          <cell r="S134">
            <v>0.10579968162270412</v>
          </cell>
          <cell r="T134">
            <v>0.13090104493544141</v>
          </cell>
          <cell r="U134">
            <v>0.18562102415444087</v>
          </cell>
          <cell r="V134">
            <v>6.9612020736114513E-2</v>
          </cell>
          <cell r="W134">
            <v>8.6866670950193486E-2</v>
          </cell>
          <cell r="X134">
            <v>0.15042390425477303</v>
          </cell>
          <cell r="Y134">
            <v>6.9917599237908579E-2</v>
          </cell>
          <cell r="Z134">
            <v>6.0696E-2</v>
          </cell>
          <cell r="AA134">
            <v>0.20314799999999997</v>
          </cell>
          <cell r="AB134">
            <v>0.13470040401937183</v>
          </cell>
          <cell r="AC134">
            <v>0.11643600922484103</v>
          </cell>
          <cell r="AD134">
            <v>0.11439186666203939</v>
          </cell>
          <cell r="AE134">
            <v>0.11940706859733403</v>
          </cell>
        </row>
        <row r="135">
          <cell r="H135">
            <v>8.7405897783390932E-2</v>
          </cell>
          <cell r="I135">
            <v>0.11735617045042701</v>
          </cell>
          <cell r="J135">
            <v>0.13758788525203705</v>
          </cell>
          <cell r="K135">
            <v>0.10387854775026077</v>
          </cell>
          <cell r="L135">
            <v>8.746702078883388E-2</v>
          </cell>
          <cell r="M135">
            <v>0.25781683695828184</v>
          </cell>
          <cell r="N135">
            <v>0.18462203794037227</v>
          </cell>
          <cell r="O135">
            <v>0.24806771759013438</v>
          </cell>
          <cell r="P135">
            <v>0.11102993938708366</v>
          </cell>
          <cell r="Q135">
            <v>0.10769873559044393</v>
          </cell>
          <cell r="R135">
            <v>0.1355097030669774</v>
          </cell>
          <cell r="S135">
            <v>0.19541024840104954</v>
          </cell>
          <cell r="T135">
            <v>0.24177204802951249</v>
          </cell>
          <cell r="U135">
            <v>0.34283893752939848</v>
          </cell>
          <cell r="V135">
            <v>0.12857224194920477</v>
          </cell>
          <cell r="W135">
            <v>0.16044129327991158</v>
          </cell>
          <cell r="X135">
            <v>0.27783044376924665</v>
          </cell>
          <cell r="Y135">
            <v>0.12913664034838468</v>
          </cell>
          <cell r="Z135">
            <v>3.0348E-2</v>
          </cell>
          <cell r="AA135">
            <v>0.10157399999999998</v>
          </cell>
          <cell r="AB135">
            <v>6.7350202009685917E-2</v>
          </cell>
          <cell r="AC135">
            <v>5.8218004612420514E-2</v>
          </cell>
          <cell r="AD135">
            <v>5.7195933331019695E-2</v>
          </cell>
          <cell r="AE135">
            <v>5.9703534298667017E-2</v>
          </cell>
        </row>
        <row r="136">
          <cell r="H136">
            <v>2.1851474445847733E-2</v>
          </cell>
          <cell r="I136">
            <v>2.9339042612606753E-2</v>
          </cell>
          <cell r="J136">
            <v>3.4396971313009263E-2</v>
          </cell>
          <cell r="K136">
            <v>2.5969636937565193E-2</v>
          </cell>
          <cell r="L136">
            <v>2.186675519720847E-2</v>
          </cell>
          <cell r="M136">
            <v>6.4454209239570459E-2</v>
          </cell>
          <cell r="N136">
            <v>4.6155509485093067E-2</v>
          </cell>
          <cell r="O136">
            <v>6.2016929397533595E-2</v>
          </cell>
          <cell r="P136">
            <v>2.7757484846770916E-2</v>
          </cell>
          <cell r="Q136">
            <v>2.6924683897610983E-2</v>
          </cell>
          <cell r="R136">
            <v>3.3877425766744351E-2</v>
          </cell>
          <cell r="S136">
            <v>4.8852562100262384E-2</v>
          </cell>
          <cell r="T136">
            <v>6.0443012007378123E-2</v>
          </cell>
          <cell r="U136">
            <v>8.570973438234962E-2</v>
          </cell>
          <cell r="V136">
            <v>3.2143060487301194E-2</v>
          </cell>
          <cell r="W136">
            <v>4.0110323319977895E-2</v>
          </cell>
          <cell r="X136">
            <v>6.9457610942311662E-2</v>
          </cell>
          <cell r="Y136">
            <v>3.228416008709617E-2</v>
          </cell>
          <cell r="Z136">
            <v>0.18546000000000001</v>
          </cell>
          <cell r="AA136">
            <v>0.62073</v>
          </cell>
          <cell r="AB136">
            <v>0.41158456783696956</v>
          </cell>
          <cell r="AC136">
            <v>0.35577669485368096</v>
          </cell>
          <cell r="AD136">
            <v>0.34953070368956485</v>
          </cell>
          <cell r="AE136">
            <v>0.36485493182518736</v>
          </cell>
        </row>
        <row r="137">
          <cell r="H137">
            <v>4.2189029171929009E-2</v>
          </cell>
          <cell r="I137">
            <v>5.6645409797275316E-2</v>
          </cell>
          <cell r="J137">
            <v>6.6410842423784755E-2</v>
          </cell>
          <cell r="K137">
            <v>5.0140038515869477E-2</v>
          </cell>
          <cell r="L137">
            <v>4.2218531989531759E-2</v>
          </cell>
          <cell r="M137">
            <v>0.12444288464838921</v>
          </cell>
          <cell r="N137">
            <v>8.9113260569099004E-2</v>
          </cell>
          <cell r="O137">
            <v>0.11973718524075097</v>
          </cell>
          <cell r="P137">
            <v>5.3591868175390939E-2</v>
          </cell>
          <cell r="Q137">
            <v>5.1983964616041198E-2</v>
          </cell>
          <cell r="R137">
            <v>6.5407746625291335E-2</v>
          </cell>
          <cell r="S137">
            <v>9.432050787598395E-2</v>
          </cell>
          <cell r="T137">
            <v>0.11669839502766798</v>
          </cell>
          <cell r="U137">
            <v>0.16548130393381105</v>
          </cell>
          <cell r="V137">
            <v>6.2059176827379478E-2</v>
          </cell>
          <cell r="W137">
            <v>7.7441712449917086E-2</v>
          </cell>
          <cell r="X137">
            <v>0.13410304103366871</v>
          </cell>
          <cell r="Y137">
            <v>6.2331600326610628E-2</v>
          </cell>
          <cell r="Z137">
            <v>6.0696E-2</v>
          </cell>
          <cell r="AA137">
            <v>0.20314799999999997</v>
          </cell>
          <cell r="AB137">
            <v>0.13470040401937183</v>
          </cell>
          <cell r="AC137">
            <v>0.11643600922484103</v>
          </cell>
          <cell r="AD137">
            <v>0.11439186666203939</v>
          </cell>
          <cell r="AE137">
            <v>0.11940706859733403</v>
          </cell>
        </row>
        <row r="138">
          <cell r="H138">
            <v>8.3687999999999999E-2</v>
          </cell>
          <cell r="I138">
            <v>7.8474000000000002E-2</v>
          </cell>
          <cell r="J138">
            <v>0.23700600000000002</v>
          </cell>
          <cell r="K138">
            <v>0.23515800000000001</v>
          </cell>
          <cell r="L138">
            <v>0.27984000000000003</v>
          </cell>
          <cell r="M138">
            <v>0.176814</v>
          </cell>
          <cell r="N138">
            <v>8.4347999999999992E-2</v>
          </cell>
          <cell r="O138">
            <v>0.40854000000000001</v>
          </cell>
          <cell r="P138">
            <v>0.225324</v>
          </cell>
          <cell r="Q138">
            <v>5.4120000000000001E-2</v>
          </cell>
          <cell r="R138">
            <v>0.40906799999999999</v>
          </cell>
          <cell r="S138">
            <v>0.27079799999999998</v>
          </cell>
          <cell r="T138">
            <v>0.207372</v>
          </cell>
          <cell r="U138">
            <v>0.19912200000000002</v>
          </cell>
          <cell r="V138">
            <v>0.15206400000000003</v>
          </cell>
          <cell r="W138">
            <v>0.27260000000000001</v>
          </cell>
          <cell r="X138">
            <v>0.189</v>
          </cell>
          <cell r="Y138">
            <v>0.1072</v>
          </cell>
          <cell r="Z138">
            <v>0.44969999999999999</v>
          </cell>
          <cell r="AA138">
            <v>0.112</v>
          </cell>
          <cell r="AB138">
            <v>0.4401652614761517</v>
          </cell>
          <cell r="AC138">
            <v>0.21984801303614007</v>
          </cell>
          <cell r="AD138">
            <v>0.15364627260124672</v>
          </cell>
          <cell r="AE138">
            <v>0.15855763042086438</v>
          </cell>
        </row>
        <row r="139">
          <cell r="H139">
            <v>4.3112000000000004E-2</v>
          </cell>
          <cell r="I139">
            <v>4.0426000000000004E-2</v>
          </cell>
          <cell r="J139">
            <v>0.12209400000000002</v>
          </cell>
          <cell r="K139">
            <v>0.12114200000000001</v>
          </cell>
          <cell r="L139">
            <v>0.14416000000000001</v>
          </cell>
          <cell r="M139">
            <v>9.1086E-2</v>
          </cell>
          <cell r="N139">
            <v>4.3452000000000005E-2</v>
          </cell>
          <cell r="O139">
            <v>0.21046000000000001</v>
          </cell>
          <cell r="P139">
            <v>0.11607600000000001</v>
          </cell>
          <cell r="Q139">
            <v>2.7880000000000002E-2</v>
          </cell>
          <cell r="R139">
            <v>0.210732</v>
          </cell>
          <cell r="S139">
            <v>0.13950200000000001</v>
          </cell>
          <cell r="T139">
            <v>0.10682800000000001</v>
          </cell>
          <cell r="U139">
            <v>0.102578</v>
          </cell>
          <cell r="V139">
            <v>7.8336000000000017E-2</v>
          </cell>
          <cell r="W139">
            <v>0.14680000000000001</v>
          </cell>
          <cell r="X139">
            <v>0.24359999999999998</v>
          </cell>
          <cell r="Y139">
            <v>0.1031</v>
          </cell>
          <cell r="Z139">
            <v>0.1915</v>
          </cell>
          <cell r="AA139">
            <v>0.29419999999999996</v>
          </cell>
          <cell r="AB139">
            <v>0.35744725178671727</v>
          </cell>
          <cell r="AC139">
            <v>0.22417923952580085</v>
          </cell>
          <cell r="AD139">
            <v>0.17356368464901417</v>
          </cell>
          <cell r="AE139">
            <v>0.17526384939785247</v>
          </cell>
        </row>
        <row r="140">
          <cell r="H140">
            <v>0.1671</v>
          </cell>
          <cell r="I140">
            <v>7.1599999999999997E-2</v>
          </cell>
          <cell r="J140">
            <v>0.26939999999999997</v>
          </cell>
          <cell r="K140">
            <v>4.3299999999999998E-2</v>
          </cell>
          <cell r="L140">
            <v>4.5899999999999996E-2</v>
          </cell>
          <cell r="M140">
            <v>9.9299999999999999E-2</v>
          </cell>
          <cell r="N140">
            <v>0.22140000000000001</v>
          </cell>
          <cell r="O140">
            <v>0.3105</v>
          </cell>
          <cell r="P140">
            <v>0.33019999999999999</v>
          </cell>
          <cell r="Q140">
            <v>0.38160000000000005</v>
          </cell>
          <cell r="R140">
            <v>0.1825</v>
          </cell>
          <cell r="S140">
            <v>0.3387</v>
          </cell>
          <cell r="T140">
            <v>0.48710000000000003</v>
          </cell>
          <cell r="U140">
            <v>0.3115</v>
          </cell>
          <cell r="V140">
            <v>0.2233</v>
          </cell>
          <cell r="W140">
            <v>0.1108</v>
          </cell>
          <cell r="X140">
            <v>0.22839999999999999</v>
          </cell>
          <cell r="Y140">
            <v>0.25869999999999999</v>
          </cell>
          <cell r="Z140">
            <v>7.1999999999999995E-2</v>
          </cell>
          <cell r="AA140">
            <v>0.26689999999999997</v>
          </cell>
          <cell r="AB140">
            <v>0.13994319</v>
          </cell>
          <cell r="AC140">
            <v>0.13183231000000001</v>
          </cell>
          <cell r="AD140">
            <v>0.11379148000000006</v>
          </cell>
          <cell r="AE140">
            <v>0.11830017999999998</v>
          </cell>
        </row>
        <row r="141">
          <cell r="H141">
            <v>6.2100589823534016E-2</v>
          </cell>
          <cell r="I141">
            <v>8.3379812909919804E-2</v>
          </cell>
          <cell r="J141">
            <v>9.7754145239702855E-2</v>
          </cell>
          <cell r="K141">
            <v>7.3804162521046185E-2</v>
          </cell>
          <cell r="L141">
            <v>6.2144016809424593E-2</v>
          </cell>
          <cell r="M141">
            <v>0.18317502648648007</v>
          </cell>
          <cell r="N141">
            <v>0.13117121088250666</v>
          </cell>
          <cell r="O141">
            <v>0.17624842223693205</v>
          </cell>
          <cell r="P141">
            <v>7.8885119870244436E-2</v>
          </cell>
          <cell r="Q141">
            <v>7.6518349139207631E-2</v>
          </cell>
          <cell r="R141">
            <v>9.6277627719423012E-2</v>
          </cell>
          <cell r="S141">
            <v>0.13883607389219457</v>
          </cell>
          <cell r="T141">
            <v>0.17177544269020198</v>
          </cell>
          <cell r="U141">
            <v>0.24358196386028133</v>
          </cell>
          <cell r="V141">
            <v>9.1348664820841821E-2</v>
          </cell>
          <cell r="W141">
            <v>3.3659473654209432E-2</v>
          </cell>
          <cell r="X141">
            <v>5.7814844658594489E-2</v>
          </cell>
          <cell r="Y141">
            <v>2.6639964131567617E-2</v>
          </cell>
          <cell r="Z141">
            <v>4.7600000000000003E-2</v>
          </cell>
          <cell r="AA141">
            <v>2.12E-2</v>
          </cell>
          <cell r="AB141">
            <v>3.7391982114600208E-2</v>
          </cell>
          <cell r="AC141">
            <v>3.8556202084216395E-2</v>
          </cell>
          <cell r="AD141">
            <v>3.9254739655337212E-2</v>
          </cell>
          <cell r="AE141">
            <v>3.9612886681477867E-2</v>
          </cell>
        </row>
        <row r="142">
          <cell r="H142">
            <v>2.5129410176465982E-2</v>
          </cell>
          <cell r="I142">
            <v>3.3740187090080198E-2</v>
          </cell>
          <cell r="J142">
            <v>3.9556854760297154E-2</v>
          </cell>
          <cell r="K142">
            <v>2.9865337478953799E-2</v>
          </cell>
          <cell r="L142">
            <v>2.5146983190575397E-2</v>
          </cell>
          <cell r="M142">
            <v>7.4122973513519944E-2</v>
          </cell>
          <cell r="N142">
            <v>5.3079289117493357E-2</v>
          </cell>
          <cell r="O142">
            <v>7.1320077763067966E-2</v>
          </cell>
          <cell r="P142">
            <v>3.1921380129755567E-2</v>
          </cell>
          <cell r="Q142">
            <v>3.0963650860792346E-2</v>
          </cell>
          <cell r="R142">
            <v>3.8959372280576977E-2</v>
          </cell>
          <cell r="S142">
            <v>5.6180926107805416E-2</v>
          </cell>
          <cell r="T142">
            <v>6.9510057309798035E-2</v>
          </cell>
          <cell r="U142">
            <v>9.8567036139718664E-2</v>
          </cell>
          <cell r="V142">
            <v>3.6964835179158176E-2</v>
          </cell>
          <cell r="W142">
            <v>1.3620526345790574E-2</v>
          </cell>
          <cell r="X142">
            <v>2.3395155341405505E-2</v>
          </cell>
          <cell r="Y142">
            <v>1.0780035868432387E-2</v>
          </cell>
          <cell r="Z142">
            <v>4.7600000000000003E-2</v>
          </cell>
          <cell r="AA142">
            <v>2.12E-2</v>
          </cell>
          <cell r="AB142">
            <v>3.7391982114600208E-2</v>
          </cell>
          <cell r="AC142">
            <v>3.8556202084216395E-2</v>
          </cell>
          <cell r="AD142">
            <v>3.9254739655337212E-2</v>
          </cell>
          <cell r="AE142">
            <v>3.9612886681477867E-2</v>
          </cell>
        </row>
        <row r="143">
          <cell r="H143">
            <v>1.8200000000000001E-2</v>
          </cell>
          <cell r="I143">
            <v>2.7699999999999999E-2</v>
          </cell>
          <cell r="J143">
            <v>1.0199999999999999E-2</v>
          </cell>
          <cell r="K143">
            <v>7.4000000000000003E-3</v>
          </cell>
          <cell r="L143">
            <v>3.2199999999999999E-2</v>
          </cell>
          <cell r="M143">
            <v>1.3099999999999999E-2</v>
          </cell>
          <cell r="N143">
            <v>7.7200000000000005E-2</v>
          </cell>
          <cell r="O143">
            <v>4.1299999999999996E-2</v>
          </cell>
          <cell r="P143">
            <v>4.8000000000000001E-2</v>
          </cell>
          <cell r="Q143">
            <v>4.5499999999999999E-2</v>
          </cell>
          <cell r="R143">
            <v>5.1299999999999998E-2</v>
          </cell>
          <cell r="S143">
            <v>5.0299999999999997E-2</v>
          </cell>
          <cell r="T143">
            <v>2.52E-2</v>
          </cell>
          <cell r="U143">
            <v>3.0499999999999999E-2</v>
          </cell>
          <cell r="V143">
            <v>2.5999999999999999E-2</v>
          </cell>
          <cell r="W143">
            <v>6.9501599999999997E-2</v>
          </cell>
          <cell r="X143">
            <v>0.11937869999999999</v>
          </cell>
          <cell r="Y143">
            <v>5.5007399999999998E-2</v>
          </cell>
          <cell r="Z143">
            <v>0.3372</v>
          </cell>
          <cell r="AA143">
            <v>1.1285999999999998</v>
          </cell>
          <cell r="AB143">
            <v>0.74833557788539917</v>
          </cell>
          <cell r="AC143">
            <v>0.64686671791578354</v>
          </cell>
          <cell r="AD143">
            <v>0.63551037034466329</v>
          </cell>
          <cell r="AE143">
            <v>0.66337260331852244</v>
          </cell>
        </row>
        <row r="144">
          <cell r="H144">
            <v>1.6199999999999999E-2</v>
          </cell>
          <cell r="I144">
            <v>7.2800000000000004E-2</v>
          </cell>
          <cell r="J144">
            <v>0.23139999999999999</v>
          </cell>
          <cell r="K144">
            <v>6.2899999999999998E-2</v>
          </cell>
          <cell r="L144">
            <v>8.0299999999999996E-2</v>
          </cell>
          <cell r="M144">
            <v>0.1036</v>
          </cell>
          <cell r="N144">
            <v>0.13750000000000001</v>
          </cell>
          <cell r="O144">
            <v>0.12790000000000001</v>
          </cell>
          <cell r="P144">
            <v>0.24299999999999999</v>
          </cell>
          <cell r="Q144">
            <v>0.21619999999999998</v>
          </cell>
          <cell r="R144">
            <v>0.15919999999999998</v>
          </cell>
          <cell r="S144">
            <v>0.2424</v>
          </cell>
          <cell r="T144">
            <v>0.153</v>
          </cell>
          <cell r="U144">
            <v>0.15630000000000002</v>
          </cell>
          <cell r="V144">
            <v>0.32839999999999997</v>
          </cell>
          <cell r="W144">
            <v>0.2853</v>
          </cell>
          <cell r="X144">
            <v>8.43E-2</v>
          </cell>
          <cell r="Y144">
            <v>0.13190000000000002</v>
          </cell>
          <cell r="Z144">
            <v>0.14849999999999999</v>
          </cell>
          <cell r="AA144">
            <v>0.33030000000000004</v>
          </cell>
          <cell r="AB144">
            <v>0.26767490999999999</v>
          </cell>
          <cell r="AC144">
            <v>0.22668945999999998</v>
          </cell>
          <cell r="AD144">
            <v>0.21574797999999998</v>
          </cell>
          <cell r="AE144">
            <v>0.248752</v>
          </cell>
        </row>
        <row r="145">
          <cell r="H145">
            <v>5.5926000000000003E-2</v>
          </cell>
          <cell r="I145">
            <v>7.7945400000000012E-2</v>
          </cell>
          <cell r="J145">
            <v>3.9616200000000004E-2</v>
          </cell>
          <cell r="K145">
            <v>3.7861200000000005E-2</v>
          </cell>
          <cell r="L145">
            <v>4.8601800000000001E-2</v>
          </cell>
          <cell r="M145">
            <v>4.8461400000000002E-2</v>
          </cell>
          <cell r="N145">
            <v>0.1010412</v>
          </cell>
          <cell r="O145">
            <v>5.0918399999999996E-2</v>
          </cell>
          <cell r="P145">
            <v>5.8921200000000007E-2</v>
          </cell>
          <cell r="Q145">
            <v>8.45442E-2</v>
          </cell>
          <cell r="R145">
            <v>9.3974400000000013E-2</v>
          </cell>
          <cell r="S145">
            <v>5.9202000000000005E-2</v>
          </cell>
          <cell r="T145">
            <v>7.4201400000000001E-2</v>
          </cell>
          <cell r="U145">
            <v>0.1071486</v>
          </cell>
          <cell r="V145">
            <v>0.11398140000000001</v>
          </cell>
          <cell r="W145">
            <v>9.4021200000000013E-2</v>
          </cell>
          <cell r="X145">
            <v>5.4498600000000001E-2</v>
          </cell>
          <cell r="Y145">
            <v>5.9061600000000006E-2</v>
          </cell>
          <cell r="Z145">
            <v>0.3604</v>
          </cell>
          <cell r="AA145">
            <v>0.33529999999999999</v>
          </cell>
          <cell r="AB145">
            <v>0.18800158000000008</v>
          </cell>
          <cell r="AC145">
            <v>0.1901061300000001</v>
          </cell>
          <cell r="AD145">
            <v>0.24725164000000002</v>
          </cell>
          <cell r="AE145">
            <v>0.28489977000000005</v>
          </cell>
        </row>
        <row r="146">
          <cell r="H146">
            <v>0.18307400000000001</v>
          </cell>
          <cell r="I146">
            <v>0.25515460000000001</v>
          </cell>
          <cell r="J146">
            <v>0.12968380000000002</v>
          </cell>
          <cell r="K146">
            <v>0.12393880000000002</v>
          </cell>
          <cell r="L146">
            <v>0.1590982</v>
          </cell>
          <cell r="M146">
            <v>0.15863859999999999</v>
          </cell>
          <cell r="N146">
            <v>0.33075880000000002</v>
          </cell>
          <cell r="O146">
            <v>0.16668160000000001</v>
          </cell>
          <cell r="P146">
            <v>0.19287880000000002</v>
          </cell>
          <cell r="Q146">
            <v>0.2767558</v>
          </cell>
          <cell r="R146">
            <v>0.3076256</v>
          </cell>
          <cell r="S146">
            <v>0.193798</v>
          </cell>
          <cell r="T146">
            <v>0.24289860000000002</v>
          </cell>
          <cell r="U146">
            <v>0.35075139999999999</v>
          </cell>
          <cell r="V146">
            <v>0.37311860000000002</v>
          </cell>
          <cell r="W146">
            <v>0.30777879999999996</v>
          </cell>
          <cell r="X146">
            <v>0.17840139999999999</v>
          </cell>
          <cell r="Y146">
            <v>0.19333839999999999</v>
          </cell>
          <cell r="Z146">
            <v>0.3604</v>
          </cell>
          <cell r="AA146">
            <v>0.33529999999999999</v>
          </cell>
          <cell r="AB146">
            <v>0.18800158000000008</v>
          </cell>
          <cell r="AC146">
            <v>0.1901061300000001</v>
          </cell>
          <cell r="AD146">
            <v>0.24725164000000002</v>
          </cell>
          <cell r="AE146">
            <v>0.28489977000000005</v>
          </cell>
        </row>
        <row r="147">
          <cell r="H147">
            <v>0.13889000000000001</v>
          </cell>
          <cell r="I147">
            <v>8.6394000000000026E-2</v>
          </cell>
          <cell r="J147">
            <v>8.9862000000000011E-2</v>
          </cell>
          <cell r="K147">
            <v>0.10047000000000002</v>
          </cell>
          <cell r="L147">
            <v>9.1595999999999997E-2</v>
          </cell>
          <cell r="M147">
            <v>5.3102692600000008E-2</v>
          </cell>
          <cell r="N147">
            <v>7.5077616799999997E-2</v>
          </cell>
          <cell r="O147">
            <v>0.14943000000000001</v>
          </cell>
          <cell r="P147">
            <v>0.19896800000000001</v>
          </cell>
          <cell r="Q147">
            <v>0.17751400000000001</v>
          </cell>
          <cell r="R147">
            <v>0.29961847200000008</v>
          </cell>
          <cell r="S147">
            <v>0.32215000000000005</v>
          </cell>
          <cell r="T147">
            <v>0.23167600000000005</v>
          </cell>
          <cell r="U147">
            <v>0.13569400000000001</v>
          </cell>
          <cell r="V147">
            <v>0.19543199999999999</v>
          </cell>
          <cell r="W147">
            <v>7.3900000000000007E-2</v>
          </cell>
          <cell r="X147">
            <v>0.19789999999999999</v>
          </cell>
          <cell r="Y147">
            <v>0.19040000000000001</v>
          </cell>
          <cell r="Z147">
            <v>0.27250000000000002</v>
          </cell>
          <cell r="AA147">
            <v>0.30969999999999998</v>
          </cell>
          <cell r="AB147">
            <v>0.14437921709174992</v>
          </cell>
          <cell r="AC147">
            <v>0.12593667786924057</v>
          </cell>
          <cell r="AD147">
            <v>0.11274781687252457</v>
          </cell>
          <cell r="AE147">
            <v>0.11357810546743598</v>
          </cell>
        </row>
        <row r="148">
          <cell r="H148">
            <v>0.26961000000000002</v>
          </cell>
          <cell r="I148">
            <v>0.16770600000000002</v>
          </cell>
          <cell r="J148">
            <v>0.17443800000000001</v>
          </cell>
          <cell r="K148">
            <v>0.19503000000000001</v>
          </cell>
          <cell r="L148">
            <v>0.17780399999999999</v>
          </cell>
          <cell r="M148">
            <v>0.10308169740000001</v>
          </cell>
          <cell r="N148">
            <v>0.14573890320000002</v>
          </cell>
          <cell r="O148">
            <v>0.29006999999999999</v>
          </cell>
          <cell r="P148">
            <v>0.38623200000000002</v>
          </cell>
          <cell r="Q148">
            <v>0.344586</v>
          </cell>
          <cell r="R148">
            <v>0.58161232800000007</v>
          </cell>
          <cell r="S148">
            <v>0.62535000000000007</v>
          </cell>
          <cell r="T148">
            <v>0.44972400000000012</v>
          </cell>
          <cell r="U148">
            <v>0.26340600000000003</v>
          </cell>
          <cell r="V148">
            <v>0.37936799999999998</v>
          </cell>
          <cell r="W148">
            <v>0.15509999999999999</v>
          </cell>
          <cell r="X148">
            <v>0.2155</v>
          </cell>
          <cell r="Y148">
            <v>0.21199999999999999</v>
          </cell>
          <cell r="Z148">
            <v>0.20980000000000001</v>
          </cell>
          <cell r="AA148">
            <v>0.19269999999999998</v>
          </cell>
          <cell r="AB148">
            <v>0.28119913349861531</v>
          </cell>
          <cell r="AC148">
            <v>0.25254892801661488</v>
          </cell>
          <cell r="AD148">
            <v>0.26806078039084402</v>
          </cell>
          <cell r="AE148">
            <v>0.28886737875496393</v>
          </cell>
        </row>
        <row r="168">
          <cell r="G168" t="str">
            <v>Western MT portion of state</v>
          </cell>
        </row>
        <row r="169">
          <cell r="H169">
            <v>5.8452515664333813</v>
          </cell>
          <cell r="I169">
            <v>2.3942560490388454</v>
          </cell>
          <cell r="J169">
            <v>3.2535508684892789</v>
          </cell>
          <cell r="K169">
            <v>3.8808061249763441</v>
          </cell>
          <cell r="L169">
            <v>2.6785158945721284</v>
          </cell>
          <cell r="M169">
            <v>2.1289433230787926</v>
          </cell>
          <cell r="N169">
            <v>1.9047034050448099</v>
          </cell>
          <cell r="O169">
            <v>2.9945048391710078</v>
          </cell>
          <cell r="P169">
            <v>3.7348996623363648</v>
          </cell>
          <cell r="Q169">
            <v>4.3096744291447084</v>
          </cell>
          <cell r="R169">
            <v>4.6932151602156393</v>
          </cell>
          <cell r="S169">
            <v>6.7040926655271003</v>
          </cell>
          <cell r="T169">
            <v>8.0155996509731651</v>
          </cell>
          <cell r="U169">
            <v>8.5121404979223296</v>
          </cell>
          <cell r="V169">
            <v>5.7106188925677364</v>
          </cell>
          <cell r="W169">
            <v>3.9531865469773946</v>
          </cell>
          <cell r="X169">
            <v>3.613957014984337</v>
          </cell>
          <cell r="Y169">
            <v>4.2577960031375479</v>
          </cell>
          <cell r="Z169">
            <v>2.9053730099999999</v>
          </cell>
          <cell r="AA169">
            <v>5.76397475</v>
          </cell>
          <cell r="AB169">
            <v>4.1477159651255757</v>
          </cell>
          <cell r="AC169">
            <v>4.3042855770003277</v>
          </cell>
          <cell r="AD169">
            <v>3.9757692712668407</v>
          </cell>
          <cell r="AE169">
            <v>3.9080659306945158</v>
          </cell>
        </row>
        <row r="170">
          <cell r="H170">
            <v>2.6335253613638385</v>
          </cell>
          <cell r="I170">
            <v>1.0787104635412517</v>
          </cell>
          <cell r="J170">
            <v>1.4658579924699486</v>
          </cell>
          <cell r="K170">
            <v>1.7484621896089618</v>
          </cell>
          <cell r="L170">
            <v>1.2067811725468609</v>
          </cell>
          <cell r="M170">
            <v>0.95917620833130801</v>
          </cell>
          <cell r="N170">
            <v>0.85814693620145599</v>
          </cell>
          <cell r="O170">
            <v>1.3491471408980753</v>
          </cell>
          <cell r="P170">
            <v>1.6827253491356049</v>
          </cell>
          <cell r="Q170">
            <v>1.9416849350932321</v>
          </cell>
          <cell r="R170">
            <v>2.1144857514330568</v>
          </cell>
          <cell r="S170">
            <v>3.0204684706789751</v>
          </cell>
          <cell r="T170">
            <v>3.6113561114457378</v>
          </cell>
          <cell r="U170">
            <v>3.8350681105841429</v>
          </cell>
          <cell r="V170">
            <v>2.5728678247182866</v>
          </cell>
          <cell r="W170">
            <v>1.7810725357744892</v>
          </cell>
          <cell r="X170">
            <v>1.628235730433635</v>
          </cell>
          <cell r="Y170">
            <v>1.9183115782676574</v>
          </cell>
          <cell r="Z170">
            <v>2.52049922</v>
          </cell>
          <cell r="AA170">
            <v>4.3866505</v>
          </cell>
          <cell r="AB170">
            <v>3.3467175863389964</v>
          </cell>
          <cell r="AC170">
            <v>3.4921085643107492</v>
          </cell>
          <cell r="AD170">
            <v>3.2325006595168051</v>
          </cell>
          <cell r="AE170">
            <v>3.2055077433563333</v>
          </cell>
        </row>
        <row r="171">
          <cell r="H171">
            <v>3.0901020722027819</v>
          </cell>
          <cell r="I171">
            <v>1.2657274874199036</v>
          </cell>
          <cell r="J171">
            <v>1.7199951390407733</v>
          </cell>
          <cell r="K171">
            <v>2.0515946854146958</v>
          </cell>
          <cell r="L171">
            <v>1.4160019328810107</v>
          </cell>
          <cell r="M171">
            <v>1.1254694685898994</v>
          </cell>
          <cell r="N171">
            <v>1.0069246587537342</v>
          </cell>
          <cell r="O171">
            <v>1.5830500199309174</v>
          </cell>
          <cell r="P171">
            <v>1.9744609885280306</v>
          </cell>
          <cell r="Q171">
            <v>2.2783166357620592</v>
          </cell>
          <cell r="R171">
            <v>2.4810760883513034</v>
          </cell>
          <cell r="S171">
            <v>3.5441298637939256</v>
          </cell>
          <cell r="T171">
            <v>4.2374602375810966</v>
          </cell>
          <cell r="U171">
            <v>4.4999573914935276</v>
          </cell>
          <cell r="V171">
            <v>3.0189282827139783</v>
          </cell>
          <cell r="W171">
            <v>2.0898587172481164</v>
          </cell>
          <cell r="X171">
            <v>1.9105244545820284</v>
          </cell>
          <cell r="Y171">
            <v>2.2508910185947957</v>
          </cell>
          <cell r="Z171">
            <v>0.65600877000000002</v>
          </cell>
          <cell r="AA171">
            <v>1.1345497499999999</v>
          </cell>
          <cell r="AB171">
            <v>0.87002001760199665</v>
          </cell>
          <cell r="AC171">
            <v>0.90846325570362163</v>
          </cell>
          <cell r="AD171">
            <v>0.8416976698075469</v>
          </cell>
          <cell r="AE171">
            <v>0.83495356000334453</v>
          </cell>
        </row>
        <row r="172">
          <cell r="H172">
            <v>1.9601639052244866</v>
          </cell>
          <cell r="I172">
            <v>1.8139548177464644</v>
          </cell>
          <cell r="J172">
            <v>1.5990745699068862</v>
          </cell>
          <cell r="K172">
            <v>1.2830229881440107</v>
          </cell>
          <cell r="L172">
            <v>0.979871173680254</v>
          </cell>
          <cell r="M172">
            <v>1.241660719000097</v>
          </cell>
          <cell r="N172">
            <v>1.8848305823635303</v>
          </cell>
          <cell r="O172">
            <v>2.4988567954738619</v>
          </cell>
          <cell r="P172">
            <v>2.288456066580165</v>
          </cell>
          <cell r="Q172">
            <v>1.2544054066975698</v>
          </cell>
          <cell r="R172">
            <v>1.5651299718837426</v>
          </cell>
          <cell r="S172">
            <v>2.1687149616138099</v>
          </cell>
          <cell r="T172">
            <v>2.726992850636329</v>
          </cell>
          <cell r="U172">
            <v>2.3639545922978495</v>
          </cell>
          <cell r="V172">
            <v>2.12134434059036</v>
          </cell>
          <cell r="W172">
            <v>1.7332075021200439</v>
          </cell>
          <cell r="X172">
            <v>1.6498023915828299</v>
          </cell>
          <cell r="Y172">
            <v>1.7728331175696301</v>
          </cell>
          <cell r="Z172">
            <v>3.0494837200000005</v>
          </cell>
          <cell r="AA172">
            <v>3.9300753599999996</v>
          </cell>
          <cell r="AB172">
            <v>3.2949268651724135</v>
          </cell>
          <cell r="AC172">
            <v>3.0804508752407767</v>
          </cell>
          <cell r="AD172">
            <v>2.9901146137661283</v>
          </cell>
          <cell r="AE172">
            <v>3.1209850609635708</v>
          </cell>
        </row>
        <row r="173">
          <cell r="H173">
            <v>3.620390059325949</v>
          </cell>
          <cell r="I173">
            <v>3.3503443118873304</v>
          </cell>
          <cell r="J173">
            <v>2.9534640759282804</v>
          </cell>
          <cell r="K173">
            <v>2.3697220726198811</v>
          </cell>
          <cell r="L173">
            <v>1.8098057244890269</v>
          </cell>
          <cell r="M173">
            <v>2.2933266509713843</v>
          </cell>
          <cell r="N173">
            <v>3.4812506677195292</v>
          </cell>
          <cell r="O173">
            <v>4.6153468482405211</v>
          </cell>
          <cell r="P173">
            <v>4.2267402091062101</v>
          </cell>
          <cell r="Q173">
            <v>2.3168658767096826</v>
          </cell>
          <cell r="R173">
            <v>2.8907689691960035</v>
          </cell>
          <cell r="S173">
            <v>4.0055803841765441</v>
          </cell>
          <cell r="T173">
            <v>5.0367103393662491</v>
          </cell>
          <cell r="U173">
            <v>4.366184727635269</v>
          </cell>
          <cell r="V173">
            <v>3.9180876367586932</v>
          </cell>
          <cell r="W173">
            <v>3.2012053658879802</v>
          </cell>
          <cell r="X173">
            <v>3.0471575169907066</v>
          </cell>
          <cell r="Y173">
            <v>3.2743932171110264</v>
          </cell>
          <cell r="Z173">
            <v>1.21717136</v>
          </cell>
          <cell r="AA173">
            <v>1.5786711799999997</v>
          </cell>
          <cell r="AB173">
            <v>1.3199722007364803</v>
          </cell>
          <cell r="AC173">
            <v>1.2300279538780112</v>
          </cell>
          <cell r="AD173">
            <v>1.196371930895225</v>
          </cell>
          <cell r="AE173">
            <v>1.248350009064233</v>
          </cell>
        </row>
        <row r="174">
          <cell r="H174">
            <v>0.90509751483148726</v>
          </cell>
          <cell r="I174">
            <v>0.8375860779718326</v>
          </cell>
          <cell r="J174">
            <v>0.7383660189820701</v>
          </cell>
          <cell r="K174">
            <v>0.59243051815497028</v>
          </cell>
          <cell r="L174">
            <v>0.45245143112225672</v>
          </cell>
          <cell r="M174">
            <v>0.57333166274284608</v>
          </cell>
          <cell r="N174">
            <v>0.87031266692988229</v>
          </cell>
          <cell r="O174">
            <v>1.1538367120601303</v>
          </cell>
          <cell r="P174">
            <v>1.0566850522765525</v>
          </cell>
          <cell r="Q174">
            <v>0.57921646917742065</v>
          </cell>
          <cell r="R174">
            <v>0.72269224229900086</v>
          </cell>
          <cell r="S174">
            <v>1.001395096044136</v>
          </cell>
          <cell r="T174">
            <v>1.2591775848415623</v>
          </cell>
          <cell r="U174">
            <v>1.0915461819088172</v>
          </cell>
          <cell r="V174">
            <v>0.9795219091896733</v>
          </cell>
          <cell r="W174">
            <v>0.80030134147199505</v>
          </cell>
          <cell r="X174">
            <v>0.76178937924767665</v>
          </cell>
          <cell r="Y174">
            <v>0.81859830427775659</v>
          </cell>
          <cell r="Z174">
            <v>4.4185782000000007</v>
          </cell>
          <cell r="AA174">
            <v>5.8084251000000009</v>
          </cell>
          <cell r="AB174">
            <v>4.8341193729503171</v>
          </cell>
          <cell r="AC174">
            <v>4.4973948910402894</v>
          </cell>
          <cell r="AD174">
            <v>4.3749492047650769</v>
          </cell>
          <cell r="AE174">
            <v>4.5648201170153557</v>
          </cell>
        </row>
        <row r="175">
          <cell r="H175">
            <v>1.7474878206180771</v>
          </cell>
          <cell r="I175">
            <v>1.6171422923943721</v>
          </cell>
          <cell r="J175">
            <v>1.4255763651827631</v>
          </cell>
          <cell r="K175">
            <v>1.1438161060811387</v>
          </cell>
          <cell r="L175">
            <v>0.87355600070846262</v>
          </cell>
          <cell r="M175">
            <v>1.1069416072856728</v>
          </cell>
          <cell r="N175">
            <v>1.6803280979870585</v>
          </cell>
          <cell r="O175">
            <v>2.2277329992254882</v>
          </cell>
          <cell r="P175">
            <v>2.0401605670370717</v>
          </cell>
          <cell r="Q175">
            <v>1.1183035074153274</v>
          </cell>
          <cell r="R175">
            <v>1.3953147266212531</v>
          </cell>
          <cell r="S175">
            <v>1.9334112681655102</v>
          </cell>
          <cell r="T175">
            <v>2.4311164901558593</v>
          </cell>
          <cell r="U175">
            <v>2.1074675681580644</v>
          </cell>
          <cell r="V175">
            <v>1.8911803184612741</v>
          </cell>
          <cell r="W175">
            <v>1.5451559905199812</v>
          </cell>
          <cell r="X175">
            <v>1.4708002621787872</v>
          </cell>
          <cell r="Y175">
            <v>1.580482261041587</v>
          </cell>
          <cell r="Z175">
            <v>1.38987072</v>
          </cell>
          <cell r="AA175">
            <v>1.8173303599999999</v>
          </cell>
          <cell r="AB175">
            <v>1.5136049433773811</v>
          </cell>
          <cell r="AC175">
            <v>1.4027949732052674</v>
          </cell>
          <cell r="AD175">
            <v>1.3671049082637361</v>
          </cell>
          <cell r="AE175">
            <v>1.4256651163527188</v>
          </cell>
        </row>
        <row r="176">
          <cell r="H176">
            <v>2.3326221600000001</v>
          </cell>
          <cell r="I176">
            <v>2.1343561800000002</v>
          </cell>
          <cell r="J176">
            <v>2.7849274200000003</v>
          </cell>
          <cell r="K176">
            <v>3.7213380599999999</v>
          </cell>
          <cell r="L176">
            <v>3.8396688000000001</v>
          </cell>
          <cell r="M176">
            <v>4.5304399799999997</v>
          </cell>
          <cell r="N176">
            <v>3.8655843599999997</v>
          </cell>
          <cell r="O176">
            <v>3.7622019600000001</v>
          </cell>
          <cell r="P176">
            <v>4.9317826799999995</v>
          </cell>
          <cell r="Q176">
            <v>3.5256144000000003</v>
          </cell>
          <cell r="R176">
            <v>4.1166087600000001</v>
          </cell>
          <cell r="S176">
            <v>3.6865428600000003</v>
          </cell>
          <cell r="T176">
            <v>4.4936060400000004</v>
          </cell>
          <cell r="U176">
            <v>4.0552175400000001</v>
          </cell>
          <cell r="V176">
            <v>4.7025844800000005</v>
          </cell>
          <cell r="W176">
            <v>5.7826820000000012</v>
          </cell>
          <cell r="X176">
            <v>6.4745300000000006</v>
          </cell>
          <cell r="Y176">
            <v>4.3306040000000001</v>
          </cell>
          <cell r="Z176">
            <v>5.0644289999999996</v>
          </cell>
          <cell r="AA176">
            <v>4.8802399999999997</v>
          </cell>
          <cell r="AB176">
            <v>5.314560624425317</v>
          </cell>
          <cell r="AC176">
            <v>5.8392883922912757</v>
          </cell>
          <cell r="AD176">
            <v>5.5907307068579604</v>
          </cell>
          <cell r="AE176">
            <v>5.3970025110934667</v>
          </cell>
        </row>
        <row r="177">
          <cell r="H177">
            <v>1.2016538399999999</v>
          </cell>
          <cell r="I177">
            <v>1.0995168200000001</v>
          </cell>
          <cell r="J177">
            <v>1.4346595800000002</v>
          </cell>
          <cell r="K177">
            <v>1.91705294</v>
          </cell>
          <cell r="L177">
            <v>1.9780112000000001</v>
          </cell>
          <cell r="M177">
            <v>2.3338630200000003</v>
          </cell>
          <cell r="N177">
            <v>1.99136164</v>
          </cell>
          <cell r="O177">
            <v>1.93810404</v>
          </cell>
          <cell r="P177">
            <v>2.5406153199999997</v>
          </cell>
          <cell r="Q177">
            <v>1.8162256000000001</v>
          </cell>
          <cell r="R177">
            <v>2.12067724</v>
          </cell>
          <cell r="S177">
            <v>1.8991281399999997</v>
          </cell>
          <cell r="T177">
            <v>2.3148879600000005</v>
          </cell>
          <cell r="U177">
            <v>2.0890514600000003</v>
          </cell>
          <cell r="V177">
            <v>2.4225435200000001</v>
          </cell>
          <cell r="W177">
            <v>2.7598760000000002</v>
          </cell>
          <cell r="X177">
            <v>3.2231519999999998</v>
          </cell>
          <cell r="Y177">
            <v>1.711967</v>
          </cell>
          <cell r="Z177">
            <v>2.2422549999999997</v>
          </cell>
          <cell r="AA177">
            <v>1.9980939999999998</v>
          </cell>
          <cell r="AB177">
            <v>2.2146394799898173</v>
          </cell>
          <cell r="AC177">
            <v>2.4529568455976025</v>
          </cell>
          <cell r="AD177">
            <v>2.3252751304701671</v>
          </cell>
          <cell r="AE177">
            <v>2.2545756506342292</v>
          </cell>
        </row>
        <row r="178">
          <cell r="H178">
            <v>7.7681670999999994</v>
          </cell>
          <cell r="I178">
            <v>6.1909778999999991</v>
          </cell>
          <cell r="J178">
            <v>6.2494579999999997</v>
          </cell>
          <cell r="K178">
            <v>6.6152219000000008</v>
          </cell>
          <cell r="L178">
            <v>5.5810154000000001</v>
          </cell>
          <cell r="M178">
            <v>5.2429889000000003</v>
          </cell>
          <cell r="N178">
            <v>4.4018980000000001</v>
          </cell>
          <cell r="O178">
            <v>6.0446849999999994</v>
          </cell>
          <cell r="P178">
            <v>9.751614</v>
          </cell>
          <cell r="Q178">
            <v>11.116424999999998</v>
          </cell>
          <cell r="R178">
            <v>11.370925</v>
          </cell>
          <cell r="S178">
            <v>11.869458999999999</v>
          </cell>
          <cell r="T178">
            <v>10.888947</v>
          </cell>
          <cell r="U178">
            <v>9.4940550000000012</v>
          </cell>
          <cell r="V178">
            <v>10.433181000000001</v>
          </cell>
          <cell r="W178">
            <v>5.9005559999999999</v>
          </cell>
          <cell r="X178">
            <v>6.8123880000000003</v>
          </cell>
          <cell r="Y178">
            <v>6.1123589999999997</v>
          </cell>
          <cell r="Z178">
            <v>9.229140000000001</v>
          </cell>
          <cell r="AA178">
            <v>8.458632999999999</v>
          </cell>
          <cell r="AB178">
            <v>8.0452519383000087</v>
          </cell>
          <cell r="AC178">
            <v>7.6519041966999959</v>
          </cell>
          <cell r="AD178">
            <v>7.4193123636000031</v>
          </cell>
          <cell r="AE178">
            <v>7.7886886725999984</v>
          </cell>
        </row>
        <row r="179">
          <cell r="H179">
            <v>0.94562667569891845</v>
          </cell>
          <cell r="I179">
            <v>0.87797440847584418</v>
          </cell>
          <cell r="J179">
            <v>0.76896588931383225</v>
          </cell>
          <cell r="K179">
            <v>0.63948110135578418</v>
          </cell>
          <cell r="L179">
            <v>0.43394926096228958</v>
          </cell>
          <cell r="M179">
            <v>0.70856563684818685</v>
          </cell>
          <cell r="N179">
            <v>0.99833300111063006</v>
          </cell>
          <cell r="O179">
            <v>1.2788148464054281</v>
          </cell>
          <cell r="P179">
            <v>1.1413744588863326</v>
          </cell>
          <cell r="Q179">
            <v>0.71823731071012475</v>
          </cell>
          <cell r="R179">
            <v>0.84101134433644587</v>
          </cell>
          <cell r="S179">
            <v>1.2251082266483837</v>
          </cell>
          <cell r="T179">
            <v>1.5651012636603874</v>
          </cell>
          <cell r="U179">
            <v>1.2759510039866273</v>
          </cell>
          <cell r="V179">
            <v>1.107505460703968</v>
          </cell>
          <cell r="W179">
            <v>0.63798485303363595</v>
          </cell>
          <cell r="X179">
            <v>0.62624539967892912</v>
          </cell>
          <cell r="Y179">
            <v>0.67166554183832972</v>
          </cell>
          <cell r="Z179">
            <v>0.492732</v>
          </cell>
          <cell r="AA179">
            <v>0.49918399999999996</v>
          </cell>
          <cell r="AB179">
            <v>0.51242220696340901</v>
          </cell>
          <cell r="AC179">
            <v>0.56820095103565071</v>
          </cell>
          <cell r="AD179">
            <v>0.49314781500982674</v>
          </cell>
          <cell r="AE179">
            <v>0.5050087559041242</v>
          </cell>
        </row>
        <row r="180">
          <cell r="H180">
            <v>0.38265402430108175</v>
          </cell>
          <cell r="I180">
            <v>0.35527809152415585</v>
          </cell>
          <cell r="J180">
            <v>0.31116708068616789</v>
          </cell>
          <cell r="K180">
            <v>0.25877021364421587</v>
          </cell>
          <cell r="L180">
            <v>0.17560040903771046</v>
          </cell>
          <cell r="M180">
            <v>0.28672572315181322</v>
          </cell>
          <cell r="N180">
            <v>0.4039819838893699</v>
          </cell>
          <cell r="O180">
            <v>0.51748079859457219</v>
          </cell>
          <cell r="P180">
            <v>0.46186464611366751</v>
          </cell>
          <cell r="Q180">
            <v>0.29063942928987535</v>
          </cell>
          <cell r="R180">
            <v>0.34032074566355414</v>
          </cell>
          <cell r="S180">
            <v>0.49574806335161636</v>
          </cell>
          <cell r="T180">
            <v>0.63332847133961268</v>
          </cell>
          <cell r="U180">
            <v>0.51632192601337268</v>
          </cell>
          <cell r="V180">
            <v>0.44815933429603194</v>
          </cell>
          <cell r="W180">
            <v>0.25816474696636388</v>
          </cell>
          <cell r="X180">
            <v>0.25341430032107087</v>
          </cell>
          <cell r="Y180">
            <v>0.27179385816167018</v>
          </cell>
          <cell r="Z180">
            <v>0.492732</v>
          </cell>
          <cell r="AA180">
            <v>0.49918399999999996</v>
          </cell>
          <cell r="AB180">
            <v>0.51242220696340901</v>
          </cell>
          <cell r="AC180">
            <v>0.56820095103565071</v>
          </cell>
          <cell r="AD180">
            <v>0.49314781500982674</v>
          </cell>
          <cell r="AE180">
            <v>0.5050087559041242</v>
          </cell>
        </row>
        <row r="181">
          <cell r="H181">
            <v>0.40274807407407415</v>
          </cell>
          <cell r="I181">
            <v>0.37036307407407404</v>
          </cell>
          <cell r="J181">
            <v>0.48768807407407411</v>
          </cell>
          <cell r="K181">
            <v>0.46379207407407413</v>
          </cell>
          <cell r="L181">
            <v>0.53812807407407393</v>
          </cell>
          <cell r="M181">
            <v>0.42164107407407414</v>
          </cell>
          <cell r="N181">
            <v>0.43037807407407414</v>
          </cell>
          <cell r="O181">
            <v>0.50291507407407388</v>
          </cell>
          <cell r="P181">
            <v>0.48163407407407416</v>
          </cell>
          <cell r="Q181">
            <v>0.45580907407407417</v>
          </cell>
          <cell r="R181">
            <v>0.6205150740740738</v>
          </cell>
          <cell r="S181">
            <v>0.56234507407407419</v>
          </cell>
          <cell r="T181">
            <v>0.58473807407407419</v>
          </cell>
          <cell r="U181">
            <v>0.5404590740740739</v>
          </cell>
          <cell r="V181">
            <v>0.42069407407407394</v>
          </cell>
          <cell r="W181">
            <v>1.2428048860740741</v>
          </cell>
          <cell r="X181">
            <v>1.1604115330740739</v>
          </cell>
          <cell r="Y181">
            <v>1.2477731920740742</v>
          </cell>
          <cell r="Z181">
            <v>8.7690780740740752</v>
          </cell>
          <cell r="AA181">
            <v>11.037976074074074</v>
          </cell>
          <cell r="AB181">
            <v>9.3237041313177169</v>
          </cell>
          <cell r="AC181">
            <v>8.7162296123734357</v>
          </cell>
          <cell r="AD181">
            <v>8.4335868012343536</v>
          </cell>
          <cell r="AE181">
            <v>8.7947699601225242</v>
          </cell>
        </row>
        <row r="182">
          <cell r="H182">
            <v>1.2680339999999999</v>
          </cell>
          <cell r="I182">
            <v>3.2701959999999999</v>
          </cell>
          <cell r="J182">
            <v>2.1934979999999999</v>
          </cell>
          <cell r="K182">
            <v>2.1689530000000001</v>
          </cell>
          <cell r="L182">
            <v>1.452771</v>
          </cell>
          <cell r="M182">
            <v>0.90405199999999997</v>
          </cell>
          <cell r="N182">
            <v>1.359175</v>
          </cell>
          <cell r="O182">
            <v>1.5139029999999998</v>
          </cell>
          <cell r="P182">
            <v>2.30301</v>
          </cell>
          <cell r="Q182">
            <v>2.7516340000000001</v>
          </cell>
          <cell r="R182">
            <v>4.7814439999999996</v>
          </cell>
          <cell r="S182">
            <v>4.4062680000000007</v>
          </cell>
          <cell r="T182">
            <v>3.36571</v>
          </cell>
          <cell r="U182">
            <v>3.4345909999999997</v>
          </cell>
          <cell r="V182">
            <v>2.0285880000000001</v>
          </cell>
          <cell r="W182">
            <v>0.95992100000000002</v>
          </cell>
          <cell r="X182">
            <v>1.6628509999999999</v>
          </cell>
          <cell r="Y182">
            <v>1.8797829999999998</v>
          </cell>
          <cell r="Z182">
            <v>2.3661449999999999</v>
          </cell>
          <cell r="AA182">
            <v>3.0826709999999999</v>
          </cell>
          <cell r="AB182">
            <v>3.0169681880581578</v>
          </cell>
          <cell r="AC182">
            <v>2.5401827085011996</v>
          </cell>
          <cell r="AD182">
            <v>2.2922556070064219</v>
          </cell>
          <cell r="AE182">
            <v>2.6029925645564869</v>
          </cell>
        </row>
        <row r="183">
          <cell r="H183">
            <v>0.75905672000000002</v>
          </cell>
          <cell r="I183">
            <v>0.75352307799999996</v>
          </cell>
          <cell r="J183">
            <v>1.0492427340000001</v>
          </cell>
          <cell r="K183">
            <v>0.82287268399999991</v>
          </cell>
          <cell r="L183">
            <v>0.67738382599999991</v>
          </cell>
          <cell r="M183">
            <v>1.2262085980000001</v>
          </cell>
          <cell r="N183">
            <v>0.94672238399999986</v>
          </cell>
          <cell r="O183">
            <v>0.94664478799999996</v>
          </cell>
          <cell r="P183">
            <v>0.89970378400000006</v>
          </cell>
          <cell r="Q183">
            <v>0.77038129399999988</v>
          </cell>
          <cell r="R183">
            <v>1.1871685080000001</v>
          </cell>
          <cell r="S183">
            <v>1.3819149399999999</v>
          </cell>
          <cell r="T183">
            <v>2.1635749979999996</v>
          </cell>
          <cell r="U183">
            <v>1.9397220020000001</v>
          </cell>
          <cell r="V183">
            <v>1.5831111979999999</v>
          </cell>
          <cell r="W183">
            <v>1.026218284</v>
          </cell>
          <cell r="X183">
            <v>1.045345602</v>
          </cell>
          <cell r="Y183">
            <v>1.134643912</v>
          </cell>
          <cell r="Z183">
            <v>7.6951280000000004</v>
          </cell>
          <cell r="AA183">
            <v>4.5313210000000002</v>
          </cell>
          <cell r="AB183">
            <v>4.4960725606</v>
          </cell>
          <cell r="AC183">
            <v>4.5696217040999993</v>
          </cell>
          <cell r="AD183">
            <v>4.8413475147999998</v>
          </cell>
          <cell r="AE183">
            <v>5.1556288689000001</v>
          </cell>
        </row>
        <row r="184">
          <cell r="H184">
            <v>1.5868732800000001</v>
          </cell>
          <cell r="I184">
            <v>1.5850439220000003</v>
          </cell>
          <cell r="J184">
            <v>2.1840582660000001</v>
          </cell>
          <cell r="K184">
            <v>1.6983533159999999</v>
          </cell>
          <cell r="L184">
            <v>1.4102051739999999</v>
          </cell>
          <cell r="M184">
            <v>2.5247384019999997</v>
          </cell>
          <cell r="N184">
            <v>1.9978036160000001</v>
          </cell>
          <cell r="O184">
            <v>1.9580872119999999</v>
          </cell>
          <cell r="P184">
            <v>1.839522216</v>
          </cell>
          <cell r="Q184">
            <v>1.601259706</v>
          </cell>
          <cell r="R184">
            <v>2.454743492</v>
          </cell>
          <cell r="S184">
            <v>2.82329506</v>
          </cell>
          <cell r="T184">
            <v>4.3995720020000002</v>
          </cell>
          <cell r="U184">
            <v>3.9502809980000002</v>
          </cell>
          <cell r="V184">
            <v>3.2548358020000001</v>
          </cell>
          <cell r="W184">
            <v>3.1835925159999996</v>
          </cell>
          <cell r="X184">
            <v>3.2696349979999999</v>
          </cell>
          <cell r="Y184">
            <v>3.3710648879999998</v>
          </cell>
          <cell r="Z184">
            <v>7.6951280000000004</v>
          </cell>
          <cell r="AA184">
            <v>4.5313210000000002</v>
          </cell>
          <cell r="AB184">
            <v>4.4960725606</v>
          </cell>
          <cell r="AC184">
            <v>4.5696217040999993</v>
          </cell>
          <cell r="AD184">
            <v>4.8413475147999998</v>
          </cell>
          <cell r="AE184">
            <v>5.1556288689000001</v>
          </cell>
        </row>
        <row r="185">
          <cell r="H185">
            <v>2.0197172999999999</v>
          </cell>
          <cell r="I185">
            <v>2.4033025800000001</v>
          </cell>
          <cell r="J185">
            <v>1.6100873399999998</v>
          </cell>
          <cell r="K185">
            <v>2.2882799</v>
          </cell>
          <cell r="L185">
            <v>2.8939977200000002</v>
          </cell>
          <cell r="M185">
            <v>2.6208346827820002</v>
          </cell>
          <cell r="N185">
            <v>2.808180909576</v>
          </cell>
          <cell r="O185">
            <v>2.4410076620000001</v>
          </cell>
          <cell r="P185">
            <v>3.4118360120000002</v>
          </cell>
          <cell r="Q185">
            <v>4.6980795400000002</v>
          </cell>
          <cell r="R185">
            <v>5.0203619890400004</v>
          </cell>
          <cell r="S185">
            <v>6.1223928520000008</v>
          </cell>
          <cell r="T185">
            <v>6.8415446340000008</v>
          </cell>
          <cell r="U185">
            <v>6.7605348059999999</v>
          </cell>
          <cell r="V185">
            <v>5.2803142400000009</v>
          </cell>
          <cell r="W185">
            <v>4.7062230000000014</v>
          </cell>
          <cell r="X185">
            <v>4.0795029999999999</v>
          </cell>
          <cell r="Y185">
            <v>5.6370279999999999</v>
          </cell>
          <cell r="Z185">
            <v>3.2726250000000001</v>
          </cell>
          <cell r="AA185">
            <v>4.1234289999999998</v>
          </cell>
          <cell r="AB185">
            <v>4.1990751697822688</v>
          </cell>
          <cell r="AC185">
            <v>3.9559845486033547</v>
          </cell>
          <cell r="AD185">
            <v>4.2245626971251937</v>
          </cell>
          <cell r="AE185">
            <v>4.3471217789162413</v>
          </cell>
        </row>
        <row r="186">
          <cell r="H186">
            <v>3.9206276999999998</v>
          </cell>
          <cell r="I186">
            <v>5.0675564199999998</v>
          </cell>
          <cell r="J186">
            <v>3.3396976600000001</v>
          </cell>
          <cell r="K186">
            <v>4.6083171000000016</v>
          </cell>
          <cell r="L186">
            <v>5.7593702800000006</v>
          </cell>
          <cell r="M186">
            <v>5.3036676835180003</v>
          </cell>
          <cell r="N186">
            <v>5.8835187068239998</v>
          </cell>
          <cell r="O186">
            <v>5.0332471999999999</v>
          </cell>
          <cell r="P186">
            <v>6.8259360000000013</v>
          </cell>
          <cell r="Q186">
            <v>9.5154594599999989</v>
          </cell>
          <cell r="R186">
            <v>10.112064566960001</v>
          </cell>
          <cell r="S186">
            <v>12.42666404</v>
          </cell>
          <cell r="T186">
            <v>13.837188780000002</v>
          </cell>
          <cell r="U186">
            <v>13.824212319999997</v>
          </cell>
          <cell r="V186">
            <v>10.725069760000002</v>
          </cell>
          <cell r="W186">
            <v>7.2359570000000009</v>
          </cell>
          <cell r="X186">
            <v>9.5127849999999992</v>
          </cell>
          <cell r="Y186">
            <v>8.7675900000000002</v>
          </cell>
          <cell r="Z186">
            <v>3.607186</v>
          </cell>
          <cell r="AA186">
            <v>4.0182390000000003</v>
          </cell>
          <cell r="AB186">
            <v>4.2711939641417151</v>
          </cell>
          <cell r="AC186">
            <v>4.5946027044206739</v>
          </cell>
          <cell r="AD186">
            <v>4.429112704129059</v>
          </cell>
          <cell r="AE186">
            <v>4.328169119778071</v>
          </cell>
        </row>
        <row r="207">
          <cell r="G207" t="str">
            <v>High</v>
          </cell>
          <cell r="H207">
            <v>42.389799174074071</v>
          </cell>
          <cell r="I207">
            <v>36.465809974074077</v>
          </cell>
          <cell r="J207">
            <v>35.569335074074075</v>
          </cell>
          <cell r="K207">
            <v>38.272286974074078</v>
          </cell>
          <cell r="L207">
            <v>34.157084474074075</v>
          </cell>
          <cell r="M207">
            <v>35.53257534037408</v>
          </cell>
          <cell r="N207">
            <v>36.773434690474069</v>
          </cell>
          <cell r="O207">
            <v>42.359566936074067</v>
          </cell>
          <cell r="P207">
            <v>51.593021086074074</v>
          </cell>
          <cell r="Q207">
            <v>51.05823207407407</v>
          </cell>
          <cell r="R207">
            <v>58.828523630074066</v>
          </cell>
          <cell r="S207">
            <v>69.276658966074081</v>
          </cell>
          <cell r="T207">
            <v>78.406612488074074</v>
          </cell>
          <cell r="U207">
            <v>74.656716200074086</v>
          </cell>
          <cell r="V207">
            <v>62.619136074074078</v>
          </cell>
          <cell r="W207">
            <v>48.797968286074081</v>
          </cell>
          <cell r="X207">
            <v>52.20252758307408</v>
          </cell>
          <cell r="Y207">
            <v>51.00957789207407</v>
          </cell>
          <cell r="Z207">
            <v>67.083563074074078</v>
          </cell>
          <cell r="AA207">
            <v>72.079969074074057</v>
          </cell>
          <cell r="AB207">
            <v>65.729459982444979</v>
          </cell>
          <cell r="AC207">
            <v>64.942320409137878</v>
          </cell>
          <cell r="AD207">
            <v>63.362334928324181</v>
          </cell>
          <cell r="AE207">
            <v>65.142943044759335</v>
          </cell>
        </row>
      </sheetData>
      <sheetData sheetId="9">
        <row r="34">
          <cell r="R34">
            <v>2241.6830724899996</v>
          </cell>
          <cell r="S34">
            <v>2163.8976968000002</v>
          </cell>
          <cell r="T34">
            <v>2301.1241944899998</v>
          </cell>
          <cell r="U34">
            <v>2076.5717068700001</v>
          </cell>
          <cell r="V34">
            <v>1996.0602896399998</v>
          </cell>
          <cell r="W34">
            <v>2250.2497511900001</v>
          </cell>
          <cell r="X34">
            <v>2163.1746260100003</v>
          </cell>
          <cell r="Y34">
            <v>2140.9822397200001</v>
          </cell>
          <cell r="Z34">
            <v>2292.7090752799995</v>
          </cell>
          <cell r="AA34">
            <v>2500.0165227299999</v>
          </cell>
          <cell r="AB34">
            <v>2481.8948666900001</v>
          </cell>
          <cell r="AC34">
            <v>2045.6792533299999</v>
          </cell>
          <cell r="AD34">
            <v>2094.8695493</v>
          </cell>
          <cell r="AE34">
            <v>1953.9369025999999</v>
          </cell>
        </row>
        <row r="35">
          <cell r="R35">
            <v>256.05469590000001</v>
          </cell>
          <cell r="S35">
            <v>253.2667701</v>
          </cell>
          <cell r="T35">
            <v>300.73964699999999</v>
          </cell>
          <cell r="U35">
            <v>328.24825880000003</v>
          </cell>
          <cell r="V35">
            <v>306.030933</v>
          </cell>
          <cell r="W35">
            <v>712.26009299999998</v>
          </cell>
          <cell r="X35">
            <v>203.55615209999999</v>
          </cell>
          <cell r="Y35">
            <v>366.60731587999999</v>
          </cell>
          <cell r="Z35">
            <v>507.35561760000002</v>
          </cell>
          <cell r="AA35">
            <v>485.31207719999998</v>
          </cell>
          <cell r="AB35">
            <v>378.14491860999999</v>
          </cell>
          <cell r="AC35">
            <v>411.35808100000003</v>
          </cell>
          <cell r="AD35">
            <v>0.71504779399999996</v>
          </cell>
          <cell r="AE35">
            <v>11.82402203</v>
          </cell>
        </row>
        <row r="36">
          <cell r="R36">
            <v>8899.5570035499986</v>
          </cell>
          <cell r="S36">
            <v>8817.6527938600011</v>
          </cell>
          <cell r="T36">
            <v>9245.813338269998</v>
          </cell>
          <cell r="U36">
            <v>9011.5451928240018</v>
          </cell>
          <cell r="V36">
            <v>9024.3629158299973</v>
          </cell>
          <cell r="W36">
            <v>8728.339281479999</v>
          </cell>
          <cell r="X36">
            <v>9126.2937245939993</v>
          </cell>
          <cell r="Y36">
            <v>8944.5317642250011</v>
          </cell>
          <cell r="Z36">
            <v>8800.5436373460016</v>
          </cell>
          <cell r="AA36">
            <v>8714.2793057930012</v>
          </cell>
          <cell r="AB36">
            <v>8450.0425825519997</v>
          </cell>
          <cell r="AC36">
            <v>8358.6997653549988</v>
          </cell>
          <cell r="AD36">
            <v>8113.2350019459991</v>
          </cell>
          <cell r="AE36">
            <v>7787.2052215100011</v>
          </cell>
        </row>
        <row r="37">
          <cell r="R37">
            <v>7661.6714371359994</v>
          </cell>
          <cell r="S37">
            <v>7776.286964425999</v>
          </cell>
          <cell r="T37">
            <v>7610.5201791749996</v>
          </cell>
          <cell r="U37">
            <v>7263.6624161199998</v>
          </cell>
          <cell r="V37">
            <v>7044.5252494289998</v>
          </cell>
          <cell r="W37">
            <v>6466.0726085319993</v>
          </cell>
          <cell r="X37">
            <v>6855.5085877819974</v>
          </cell>
          <cell r="Y37">
            <v>6963.2062946820006</v>
          </cell>
          <cell r="Z37">
            <v>7246.9256291289994</v>
          </cell>
          <cell r="AA37">
            <v>6912.3675650869991</v>
          </cell>
          <cell r="AB37">
            <v>7691.2867780759989</v>
          </cell>
          <cell r="AC37">
            <v>7979.0961733929998</v>
          </cell>
          <cell r="AD37">
            <v>6385.7180026869992</v>
          </cell>
          <cell r="AE37">
            <v>7075.2106742209999</v>
          </cell>
        </row>
        <row r="38">
          <cell r="R38">
            <v>4086.4875090620003</v>
          </cell>
          <cell r="S38">
            <v>4240.3955410879998</v>
          </cell>
          <cell r="T38">
            <v>4356.9694699659995</v>
          </cell>
          <cell r="U38">
            <v>4400.4775716160002</v>
          </cell>
          <cell r="V38">
            <v>4080.6638443390002</v>
          </cell>
          <cell r="W38">
            <v>3924.871003623</v>
          </cell>
          <cell r="X38">
            <v>4080.422248201</v>
          </cell>
          <cell r="Y38">
            <v>4088.9620284799998</v>
          </cell>
          <cell r="Z38">
            <v>4163.5420287199995</v>
          </cell>
          <cell r="AA38">
            <v>4512.5430191099995</v>
          </cell>
          <cell r="AB38">
            <v>4114.052655085</v>
          </cell>
          <cell r="AC38">
            <v>4448.8855489999996</v>
          </cell>
          <cell r="AD38">
            <v>4409.0903840000001</v>
          </cell>
          <cell r="AE38">
            <v>4408.891697</v>
          </cell>
        </row>
        <row r="39">
          <cell r="R39">
            <v>26505.950918524995</v>
          </cell>
          <cell r="S39">
            <v>27057.599951766999</v>
          </cell>
          <cell r="T39">
            <v>27768.108498663994</v>
          </cell>
          <cell r="U39">
            <v>28144.485808357993</v>
          </cell>
          <cell r="V39">
            <v>26713.211992282002</v>
          </cell>
          <cell r="W39">
            <v>26647.198376786</v>
          </cell>
          <cell r="X39">
            <v>26558.064847981997</v>
          </cell>
          <cell r="Y39">
            <v>26862.425029590002</v>
          </cell>
          <cell r="Z39">
            <v>28236.490102593994</v>
          </cell>
          <cell r="AA39">
            <v>29004.628378201</v>
          </cell>
          <cell r="AB39">
            <v>30663.798993526001</v>
          </cell>
          <cell r="AC39">
            <v>30112.770027643008</v>
          </cell>
          <cell r="AD39">
            <v>29742.328145847001</v>
          </cell>
          <cell r="AE39">
            <v>30186.76773027801</v>
          </cell>
        </row>
        <row r="40">
          <cell r="R40">
            <v>3879.7012499000002</v>
          </cell>
          <cell r="S40">
            <v>3811.8713759000002</v>
          </cell>
          <cell r="T40">
            <v>3687.7944449499996</v>
          </cell>
          <cell r="U40">
            <v>4052.86802012</v>
          </cell>
          <cell r="V40">
            <v>3732.9431664399999</v>
          </cell>
          <cell r="W40">
            <v>3838.0874855900001</v>
          </cell>
          <cell r="X40">
            <v>3896.3264584699996</v>
          </cell>
          <cell r="Y40">
            <v>4023.3897939200001</v>
          </cell>
          <cell r="Z40">
            <v>4441.6666339499998</v>
          </cell>
          <cell r="AA40">
            <v>4460.4758901999994</v>
          </cell>
          <cell r="AB40">
            <v>4050.5395106700003</v>
          </cell>
          <cell r="AC40">
            <v>3608.3347951999999</v>
          </cell>
          <cell r="AD40">
            <v>2971.5261042699999</v>
          </cell>
          <cell r="AE40">
            <v>3218.6991336999999</v>
          </cell>
        </row>
        <row r="41">
          <cell r="R41">
            <v>1816.3775173840002</v>
          </cell>
          <cell r="S41">
            <v>1729.1725085159999</v>
          </cell>
          <cell r="T41">
            <v>1809.3160340530001</v>
          </cell>
          <cell r="U41">
            <v>2002.7971589010001</v>
          </cell>
          <cell r="V41">
            <v>1569.27393001</v>
          </cell>
          <cell r="W41">
            <v>1822.5725142000001</v>
          </cell>
          <cell r="X41">
            <v>1313.8137009700001</v>
          </cell>
          <cell r="Y41">
            <v>1811.0114443580001</v>
          </cell>
          <cell r="Z41">
            <v>1966.132555659</v>
          </cell>
          <cell r="AA41">
            <v>1843.8253456399998</v>
          </cell>
          <cell r="AB41">
            <v>1715.36095056</v>
          </cell>
          <cell r="AC41">
            <v>1500.40197229</v>
          </cell>
          <cell r="AD41">
            <v>1188.2826425000001</v>
          </cell>
          <cell r="AE41">
            <v>1479.3628395000001</v>
          </cell>
        </row>
        <row r="42">
          <cell r="R42">
            <v>5746.479911376</v>
          </cell>
          <cell r="S42">
            <v>5566.126728625999</v>
          </cell>
          <cell r="T42">
            <v>5531.0785744169998</v>
          </cell>
          <cell r="U42">
            <v>5509.7806142379995</v>
          </cell>
          <cell r="V42">
            <v>5673.9444785799997</v>
          </cell>
          <cell r="W42">
            <v>5348.2846288990004</v>
          </cell>
          <cell r="X42">
            <v>5709.1822707800002</v>
          </cell>
          <cell r="Y42">
            <v>5327.3116683639983</v>
          </cell>
          <cell r="Z42">
            <v>5951.8128832550001</v>
          </cell>
          <cell r="AA42">
            <v>6332.950077589001</v>
          </cell>
          <cell r="AB42">
            <v>5853.6235859630006</v>
          </cell>
          <cell r="AC42">
            <v>4927.4810865630006</v>
          </cell>
          <cell r="AD42">
            <v>3630.7389282130007</v>
          </cell>
          <cell r="AE42">
            <v>3869.402575519</v>
          </cell>
        </row>
        <row r="43">
          <cell r="R43">
            <v>3542.670451942</v>
          </cell>
          <cell r="S43">
            <v>3695.7599722179998</v>
          </cell>
          <cell r="T43">
            <v>3595.7598673529997</v>
          </cell>
          <cell r="U43">
            <v>3703.5822214660002</v>
          </cell>
          <cell r="V43">
            <v>3891.4965771289999</v>
          </cell>
          <cell r="W43">
            <v>3776.8268019760003</v>
          </cell>
          <cell r="X43">
            <v>3572.9034326199999</v>
          </cell>
          <cell r="Y43">
            <v>3426.6527044069999</v>
          </cell>
          <cell r="Z43">
            <v>3694.4458117259996</v>
          </cell>
          <cell r="AA43">
            <v>3759.6007925679996</v>
          </cell>
          <cell r="AB43">
            <v>3996.2397316549996</v>
          </cell>
          <cell r="AC43">
            <v>4240.3662453959996</v>
          </cell>
          <cell r="AD43">
            <v>4298.4174826000008</v>
          </cell>
          <cell r="AE43">
            <v>4308.9514624540006</v>
          </cell>
        </row>
        <row r="44">
          <cell r="R44">
            <v>6722.875926398</v>
          </cell>
          <cell r="S44">
            <v>6549.6763158989997</v>
          </cell>
          <cell r="T44">
            <v>9735.1093495830009</v>
          </cell>
          <cell r="U44">
            <v>10917.79018881</v>
          </cell>
          <cell r="V44">
            <v>10471.642102559999</v>
          </cell>
          <cell r="W44">
            <v>9700.2649560009995</v>
          </cell>
          <cell r="X44">
            <v>9166.7088366469998</v>
          </cell>
          <cell r="Y44">
            <v>10082.399690292999</v>
          </cell>
          <cell r="Z44">
            <v>10930.476474950001</v>
          </cell>
          <cell r="AA44">
            <v>11077.385120202998</v>
          </cell>
          <cell r="AB44">
            <v>12644.081003894002</v>
          </cell>
          <cell r="AC44">
            <v>12620.560673337999</v>
          </cell>
          <cell r="AD44">
            <v>10752.502854922999</v>
          </cell>
          <cell r="AE44">
            <v>12228.901004306003</v>
          </cell>
        </row>
        <row r="45">
          <cell r="R45">
            <v>987.87010710000004</v>
          </cell>
          <cell r="S45">
            <v>1056.3657720000001</v>
          </cell>
          <cell r="T45">
            <v>1077.3572095</v>
          </cell>
          <cell r="U45">
            <v>1157.7823619999999</v>
          </cell>
          <cell r="V45">
            <v>865.11798090000002</v>
          </cell>
          <cell r="W45">
            <v>810.12230950000003</v>
          </cell>
          <cell r="X45">
            <v>561.35247136999999</v>
          </cell>
          <cell r="Y45">
            <v>530.68944077000003</v>
          </cell>
          <cell r="Z45">
            <v>562.70049167000002</v>
          </cell>
          <cell r="AA45">
            <v>522.48133399999995</v>
          </cell>
          <cell r="AB45">
            <v>728.54446539999992</v>
          </cell>
          <cell r="AC45">
            <v>648.91529459800006</v>
          </cell>
          <cell r="AD45">
            <v>674.46126260000005</v>
          </cell>
          <cell r="AE45">
            <v>807.73480789999996</v>
          </cell>
        </row>
        <row r="46">
          <cell r="R46">
            <v>8028.1012373619997</v>
          </cell>
          <cell r="S46">
            <v>8070.8592808919984</v>
          </cell>
          <cell r="T46">
            <v>8108.7047170469987</v>
          </cell>
          <cell r="U46">
            <v>8459.6545123170017</v>
          </cell>
          <cell r="V46">
            <v>8153.1399437289983</v>
          </cell>
          <cell r="W46">
            <v>8067.6336821470004</v>
          </cell>
          <cell r="X46">
            <v>7874.9026928249996</v>
          </cell>
          <cell r="Y46">
            <v>8092.7712354900013</v>
          </cell>
          <cell r="Z46">
            <v>8903.6919559619982</v>
          </cell>
          <cell r="AA46">
            <v>9583.8892045320008</v>
          </cell>
          <cell r="AB46">
            <v>10360.924623815999</v>
          </cell>
          <cell r="AC46">
            <v>10390.091238621</v>
          </cell>
          <cell r="AD46">
            <v>8070.4875509460007</v>
          </cell>
          <cell r="AE46">
            <v>8686.678736459</v>
          </cell>
        </row>
        <row r="47">
          <cell r="R47">
            <v>41792.478669936005</v>
          </cell>
          <cell r="S47">
            <v>46010.360973889998</v>
          </cell>
          <cell r="T47">
            <v>44345.152375557009</v>
          </cell>
          <cell r="U47">
            <v>39409.983743543999</v>
          </cell>
          <cell r="V47">
            <v>38522.503463543995</v>
          </cell>
          <cell r="W47">
            <v>36928.813054537</v>
          </cell>
          <cell r="X47">
            <v>31917.853005771005</v>
          </cell>
          <cell r="Y47">
            <v>30913.049653784004</v>
          </cell>
          <cell r="Z47">
            <v>36563.309115559001</v>
          </cell>
          <cell r="AA47">
            <v>36231.182085049993</v>
          </cell>
          <cell r="AB47">
            <v>41925.344552873998</v>
          </cell>
          <cell r="AC47">
            <v>40010.464847378003</v>
          </cell>
          <cell r="AD47">
            <v>34259.478258410003</v>
          </cell>
          <cell r="AE47">
            <v>33961.319954475999</v>
          </cell>
        </row>
        <row r="48">
          <cell r="R48">
            <v>18481.578407179994</v>
          </cell>
          <cell r="S48">
            <v>21586.36417348</v>
          </cell>
          <cell r="T48">
            <v>21592.211247160001</v>
          </cell>
          <cell r="U48">
            <v>17487.501183939999</v>
          </cell>
          <cell r="V48">
            <v>19724.441197800003</v>
          </cell>
          <cell r="W48">
            <v>24393.497758800004</v>
          </cell>
          <cell r="X48">
            <v>22613.35078796</v>
          </cell>
          <cell r="Y48">
            <v>22396.87912998</v>
          </cell>
          <cell r="Z48">
            <v>23725.38254327</v>
          </cell>
          <cell r="AA48">
            <v>22484.80126941</v>
          </cell>
          <cell r="AB48">
            <v>22984.535535661998</v>
          </cell>
          <cell r="AC48">
            <v>23356.263114869998</v>
          </cell>
          <cell r="AD48">
            <v>21977.079059080002</v>
          </cell>
          <cell r="AE48">
            <v>22840.553454469999</v>
          </cell>
        </row>
        <row r="49">
          <cell r="R49">
            <v>749.90207379999993</v>
          </cell>
          <cell r="S49">
            <v>935.18946029999995</v>
          </cell>
          <cell r="T49">
            <v>917.65450629999998</v>
          </cell>
          <cell r="U49">
            <v>688.46132488000001</v>
          </cell>
          <cell r="V49">
            <v>819.13943889999996</v>
          </cell>
          <cell r="W49">
            <v>819.53012970000009</v>
          </cell>
          <cell r="X49">
            <v>287.03224672000005</v>
          </cell>
          <cell r="Y49">
            <v>244.79613380000001</v>
          </cell>
          <cell r="Z49">
            <v>275.05236581000003</v>
          </cell>
          <cell r="AA49">
            <v>316.49096226999995</v>
          </cell>
          <cell r="AB49">
            <v>282.88455316299996</v>
          </cell>
          <cell r="AC49">
            <v>239.51335706</v>
          </cell>
          <cell r="AD49">
            <v>245.71880753400001</v>
          </cell>
          <cell r="AE49">
            <v>308.6148187</v>
          </cell>
        </row>
        <row r="50">
          <cell r="R50">
            <v>40.069969979999996</v>
          </cell>
          <cell r="S50">
            <v>49.290437079999997</v>
          </cell>
          <cell r="T50">
            <v>44.181923900000001</v>
          </cell>
          <cell r="U50">
            <v>31.744433829999998</v>
          </cell>
          <cell r="V50">
            <v>54.459537689999998</v>
          </cell>
          <cell r="W50">
            <v>52.790640359999998</v>
          </cell>
          <cell r="X50">
            <v>43.922344730000006</v>
          </cell>
          <cell r="Y50">
            <v>39.602347330000001</v>
          </cell>
          <cell r="Z50">
            <v>40.60147078</v>
          </cell>
          <cell r="AA50">
            <v>38.540427280000003</v>
          </cell>
          <cell r="AB50">
            <v>36.793157460000003</v>
          </cell>
          <cell r="AC50">
            <v>28.552671589999999</v>
          </cell>
          <cell r="AD50">
            <v>33.155464689999995</v>
          </cell>
          <cell r="AE50">
            <v>33.495301169999998</v>
          </cell>
        </row>
        <row r="51">
          <cell r="R51">
            <v>6917.5240422659999</v>
          </cell>
          <cell r="S51">
            <v>7154.4176529240003</v>
          </cell>
          <cell r="T51">
            <v>6954.8331545249976</v>
          </cell>
          <cell r="U51">
            <v>7466.3359534339979</v>
          </cell>
          <cell r="V51">
            <v>6631.2142074649992</v>
          </cell>
          <cell r="W51">
            <v>6846.4082258890021</v>
          </cell>
          <cell r="X51">
            <v>7440.8036104329985</v>
          </cell>
          <cell r="Y51">
            <v>7458.7309479640007</v>
          </cell>
          <cell r="Z51">
            <v>8233.4972310660014</v>
          </cell>
          <cell r="AA51">
            <v>9313.2930892950026</v>
          </cell>
          <cell r="AB51">
            <v>9743.0205369740015</v>
          </cell>
          <cell r="AC51">
            <v>9752.3034524309987</v>
          </cell>
          <cell r="AD51">
            <v>8962.0381981580013</v>
          </cell>
          <cell r="AE51">
            <v>9637.3531107639992</v>
          </cell>
        </row>
        <row r="52">
          <cell r="R52">
            <v>4004.0712452110001</v>
          </cell>
          <cell r="S52">
            <v>4139.9692471550006</v>
          </cell>
          <cell r="T52">
            <v>4212.7945610890001</v>
          </cell>
          <cell r="U52">
            <v>4270.1149149959992</v>
          </cell>
          <cell r="V52">
            <v>4021.7182798519993</v>
          </cell>
          <cell r="W52">
            <v>4150.6466018599995</v>
          </cell>
          <cell r="X52">
            <v>4351.1031298949993</v>
          </cell>
          <cell r="Y52">
            <v>4871.9967591999994</v>
          </cell>
          <cell r="Z52">
            <v>5226.982737368</v>
          </cell>
          <cell r="AA52">
            <v>5449.5668509220013</v>
          </cell>
          <cell r="AB52">
            <v>5596.5540052040005</v>
          </cell>
          <cell r="AC52">
            <v>4880.9543222960001</v>
          </cell>
          <cell r="AD52">
            <v>3866.1307475399994</v>
          </cell>
          <cell r="AE52">
            <v>4116.998073406</v>
          </cell>
        </row>
        <row r="53">
          <cell r="R53">
            <v>33164.658018429996</v>
          </cell>
          <cell r="S53">
            <v>33170.663591147008</v>
          </cell>
          <cell r="T53">
            <v>30528.007657471997</v>
          </cell>
          <cell r="U53">
            <v>32426.967795426008</v>
          </cell>
          <cell r="V53">
            <v>30920.321995161001</v>
          </cell>
          <cell r="W53">
            <v>30918.806798735004</v>
          </cell>
          <cell r="X53">
            <v>31688.631427576969</v>
          </cell>
          <cell r="Y53">
            <v>33667.820920850994</v>
          </cell>
          <cell r="Z53">
            <v>36171.043930711028</v>
          </cell>
          <cell r="AA53">
            <v>38514.50851054598</v>
          </cell>
          <cell r="AB53">
            <v>38765.897106021977</v>
          </cell>
          <cell r="AC53">
            <v>36751.652896097214</v>
          </cell>
          <cell r="AD53">
            <v>29684.407380997109</v>
          </cell>
          <cell r="AE53">
            <v>31122.570124542992</v>
          </cell>
        </row>
        <row r="55">
          <cell r="K55">
            <v>1990</v>
          </cell>
          <cell r="L55">
            <v>1991</v>
          </cell>
          <cell r="M55">
            <v>1992</v>
          </cell>
          <cell r="N55">
            <v>1993</v>
          </cell>
          <cell r="O55">
            <v>1994</v>
          </cell>
          <cell r="P55">
            <v>1995</v>
          </cell>
          <cell r="Q55">
            <v>1996</v>
          </cell>
          <cell r="R55">
            <v>1997</v>
          </cell>
          <cell r="S55">
            <v>1998</v>
          </cell>
          <cell r="T55">
            <v>1999</v>
          </cell>
          <cell r="U55">
            <v>2000</v>
          </cell>
          <cell r="V55">
            <v>2001</v>
          </cell>
          <cell r="W55">
            <v>2002</v>
          </cell>
          <cell r="X55">
            <v>2003</v>
          </cell>
          <cell r="Y55">
            <v>2004</v>
          </cell>
          <cell r="Z55">
            <v>2005</v>
          </cell>
          <cell r="AA55">
            <v>2006</v>
          </cell>
          <cell r="AB55">
            <v>2007</v>
          </cell>
          <cell r="AC55">
            <v>2008</v>
          </cell>
          <cell r="AD55">
            <v>2009</v>
          </cell>
          <cell r="AE55">
            <v>2010</v>
          </cell>
        </row>
        <row r="56">
          <cell r="K56">
            <v>52.55</v>
          </cell>
          <cell r="L56">
            <v>55.366999999999997</v>
          </cell>
          <cell r="M56">
            <v>57.883000000000003</v>
          </cell>
          <cell r="N56">
            <v>61.042000000000002</v>
          </cell>
          <cell r="O56">
            <v>62.982999999999997</v>
          </cell>
          <cell r="P56">
            <v>63.107999999999997</v>
          </cell>
          <cell r="Q56">
            <v>66.042000000000002</v>
          </cell>
          <cell r="R56">
            <v>68.266999999999996</v>
          </cell>
          <cell r="S56">
            <v>69.266999999999996</v>
          </cell>
          <cell r="T56">
            <v>68.957999999999998</v>
          </cell>
          <cell r="U56">
            <v>70.3</v>
          </cell>
          <cell r="V56">
            <v>69</v>
          </cell>
          <cell r="W56">
            <v>65.433000000000007</v>
          </cell>
          <cell r="X56">
            <v>62.392000000000003</v>
          </cell>
          <cell r="Y56">
            <v>62.25</v>
          </cell>
          <cell r="Z56">
            <v>63.55</v>
          </cell>
          <cell r="AA56">
            <v>66.091999999999999</v>
          </cell>
          <cell r="AB56">
            <v>66.242000000000004</v>
          </cell>
          <cell r="AC56">
            <v>62.957999999999998</v>
          </cell>
          <cell r="AD56">
            <v>54.8</v>
          </cell>
          <cell r="AE56">
            <v>53.2</v>
          </cell>
        </row>
        <row r="57">
          <cell r="K57">
            <v>19.5</v>
          </cell>
          <cell r="L57">
            <v>19.132999999999999</v>
          </cell>
          <cell r="M57">
            <v>20</v>
          </cell>
          <cell r="N57">
            <v>20.399999999999999</v>
          </cell>
          <cell r="O57">
            <v>20.707999999999998</v>
          </cell>
          <cell r="P57">
            <v>21.308</v>
          </cell>
          <cell r="Q57">
            <v>22.007999999999999</v>
          </cell>
          <cell r="R57">
            <v>22.207999999999998</v>
          </cell>
          <cell r="S57">
            <v>22.183</v>
          </cell>
          <cell r="T57">
            <v>22.6</v>
          </cell>
          <cell r="U57">
            <v>22.55</v>
          </cell>
          <cell r="V57">
            <v>21.382999999999999</v>
          </cell>
          <cell r="W57">
            <v>20.016999999999999</v>
          </cell>
          <cell r="X57">
            <v>18.975000000000001</v>
          </cell>
          <cell r="Y57">
            <v>19.167000000000002</v>
          </cell>
          <cell r="Z57">
            <v>19.574999999999999</v>
          </cell>
          <cell r="AA57">
            <v>20.2</v>
          </cell>
          <cell r="AB57">
            <v>20.442</v>
          </cell>
          <cell r="AC57">
            <v>19.917000000000002</v>
          </cell>
          <cell r="AD57">
            <v>17.417000000000002</v>
          </cell>
          <cell r="AE57">
            <v>16.542000000000002</v>
          </cell>
        </row>
        <row r="58">
          <cell r="K58">
            <v>204.15700000000001</v>
          </cell>
          <cell r="L58">
            <v>196.375</v>
          </cell>
          <cell r="M58">
            <v>193.01</v>
          </cell>
          <cell r="N58">
            <v>194.80099999999999</v>
          </cell>
          <cell r="O58">
            <v>202.876</v>
          </cell>
          <cell r="P58">
            <v>210.71700000000001</v>
          </cell>
          <cell r="Q58">
            <v>217.52500000000001</v>
          </cell>
          <cell r="R58">
            <v>226.88200000000001</v>
          </cell>
          <cell r="S58">
            <v>228.47300000000001</v>
          </cell>
          <cell r="T58">
            <v>224.44900000000001</v>
          </cell>
          <cell r="U58">
            <v>225.08199999999999</v>
          </cell>
          <cell r="V58">
            <v>215.715</v>
          </cell>
          <cell r="W58">
            <v>201.59100000000001</v>
          </cell>
          <cell r="X58">
            <v>194.80799999999999</v>
          </cell>
          <cell r="Y58">
            <v>199.892</v>
          </cell>
          <cell r="Z58">
            <v>203.98400000000001</v>
          </cell>
          <cell r="AA58">
            <v>207.45</v>
          </cell>
          <cell r="AB58">
            <v>204.02500000000001</v>
          </cell>
          <cell r="AC58">
            <v>195.083</v>
          </cell>
          <cell r="AD58">
            <v>167.04900000000001</v>
          </cell>
          <cell r="AE58">
            <v>163.9</v>
          </cell>
        </row>
        <row r="59">
          <cell r="K59">
            <v>335.97500000000002</v>
          </cell>
          <cell r="L59">
            <v>328.6</v>
          </cell>
          <cell r="M59">
            <v>325.17500000000001</v>
          </cell>
          <cell r="N59">
            <v>317.25</v>
          </cell>
          <cell r="O59">
            <v>311.733</v>
          </cell>
          <cell r="P59">
            <v>311.30799999999999</v>
          </cell>
          <cell r="Q59">
            <v>324.84199999999998</v>
          </cell>
          <cell r="R59">
            <v>350.40800000000002</v>
          </cell>
          <cell r="S59">
            <v>360.625</v>
          </cell>
          <cell r="T59">
            <v>343.56700000000001</v>
          </cell>
          <cell r="U59">
            <v>331.88299999999998</v>
          </cell>
          <cell r="V59">
            <v>316.05</v>
          </cell>
          <cell r="W59">
            <v>284.94200000000001</v>
          </cell>
          <cell r="X59">
            <v>267.19200000000001</v>
          </cell>
          <cell r="Y59">
            <v>263.72500000000002</v>
          </cell>
          <cell r="Z59">
            <v>272.58300000000003</v>
          </cell>
          <cell r="AA59">
            <v>285.82499999999999</v>
          </cell>
          <cell r="AB59">
            <v>293.21699999999998</v>
          </cell>
          <cell r="AC59">
            <v>291.04199999999997</v>
          </cell>
          <cell r="AD59">
            <v>265.483</v>
          </cell>
          <cell r="AE59">
            <v>258.11700000000002</v>
          </cell>
        </row>
        <row r="60">
          <cell r="K60">
            <v>612.18200000000002</v>
          </cell>
          <cell r="L60">
            <v>599.47500000000002</v>
          </cell>
          <cell r="M60">
            <v>596.06799999999998</v>
          </cell>
          <cell r="N60">
            <v>593.49299999999994</v>
          </cell>
          <cell r="O60">
            <v>598.29999999999995</v>
          </cell>
          <cell r="P60">
            <v>606.44100000000003</v>
          </cell>
          <cell r="Q60">
            <v>630.41699999999992</v>
          </cell>
          <cell r="R60">
            <v>667.76499999999999</v>
          </cell>
          <cell r="S60">
            <v>680.548</v>
          </cell>
          <cell r="T60">
            <v>659.57400000000007</v>
          </cell>
          <cell r="U60">
            <v>649.81500000000005</v>
          </cell>
          <cell r="V60">
            <v>622.14800000000002</v>
          </cell>
          <cell r="W60">
            <v>571.98299999999995</v>
          </cell>
          <cell r="X60">
            <v>543.36699999999996</v>
          </cell>
          <cell r="Y60">
            <v>545.03399999999999</v>
          </cell>
          <cell r="Z60">
            <v>559.69200000000001</v>
          </cell>
          <cell r="AA60">
            <v>579.56700000000001</v>
          </cell>
          <cell r="AB60">
            <v>583.92599999999993</v>
          </cell>
          <cell r="AC60">
            <v>569</v>
          </cell>
          <cell r="AD60">
            <v>504.74900000000002</v>
          </cell>
          <cell r="AE60">
            <v>491.75900000000001</v>
          </cell>
        </row>
        <row r="63">
          <cell r="R63">
            <v>5561</v>
          </cell>
          <cell r="S63">
            <v>5511</v>
          </cell>
          <cell r="T63">
            <v>5838</v>
          </cell>
          <cell r="U63">
            <v>5356</v>
          </cell>
          <cell r="V63">
            <v>5261</v>
          </cell>
          <cell r="W63">
            <v>5442</v>
          </cell>
          <cell r="X63">
            <v>5246</v>
          </cell>
          <cell r="Y63">
            <v>5046</v>
          </cell>
          <cell r="Z63">
            <v>5210</v>
          </cell>
          <cell r="AA63">
            <v>5741</v>
          </cell>
          <cell r="AB63">
            <v>5611</v>
          </cell>
          <cell r="AC63">
            <v>4441</v>
          </cell>
          <cell r="AD63">
            <v>4359</v>
          </cell>
          <cell r="AE63">
            <v>4070</v>
          </cell>
        </row>
        <row r="64">
          <cell r="R64">
            <v>471</v>
          </cell>
          <cell r="S64">
            <v>472</v>
          </cell>
          <cell r="T64">
            <v>532</v>
          </cell>
          <cell r="U64">
            <v>572</v>
          </cell>
          <cell r="V64">
            <v>511</v>
          </cell>
          <cell r="W64">
            <v>1141</v>
          </cell>
          <cell r="X64">
            <v>311</v>
          </cell>
          <cell r="Y64">
            <v>528</v>
          </cell>
          <cell r="Z64">
            <v>686</v>
          </cell>
          <cell r="AA64">
            <v>622</v>
          </cell>
          <cell r="AB64">
            <v>494</v>
          </cell>
          <cell r="AC64">
            <v>528</v>
          </cell>
          <cell r="AD64">
            <v>1</v>
          </cell>
          <cell r="AE64">
            <v>21</v>
          </cell>
        </row>
        <row r="65">
          <cell r="R65">
            <v>20517</v>
          </cell>
          <cell r="S65">
            <v>20752</v>
          </cell>
          <cell r="T65">
            <v>19820</v>
          </cell>
          <cell r="U65">
            <v>18901</v>
          </cell>
          <cell r="V65">
            <v>18107</v>
          </cell>
          <cell r="W65">
            <v>15947</v>
          </cell>
          <cell r="X65">
            <v>16534</v>
          </cell>
          <cell r="Y65">
            <v>15968</v>
          </cell>
          <cell r="Z65">
            <v>14992</v>
          </cell>
          <cell r="AA65">
            <v>14275</v>
          </cell>
          <cell r="AB65">
            <v>13733</v>
          </cell>
          <cell r="AC65">
            <v>14005</v>
          </cell>
          <cell r="AD65">
            <v>13118</v>
          </cell>
          <cell r="AE65">
            <v>11896</v>
          </cell>
        </row>
        <row r="66">
          <cell r="R66">
            <v>16784</v>
          </cell>
          <cell r="S66">
            <v>16968</v>
          </cell>
          <cell r="T66">
            <v>16248</v>
          </cell>
          <cell r="U66">
            <v>15603</v>
          </cell>
          <cell r="V66">
            <v>14433</v>
          </cell>
          <cell r="W66">
            <v>12367</v>
          </cell>
          <cell r="X66">
            <v>11875</v>
          </cell>
          <cell r="Y66">
            <v>11897</v>
          </cell>
          <cell r="Z66">
            <v>12704</v>
          </cell>
          <cell r="AA66">
            <v>13455</v>
          </cell>
          <cell r="AB66">
            <v>14273</v>
          </cell>
          <cell r="AC66">
            <v>14356</v>
          </cell>
          <cell r="AD66">
            <v>12445</v>
          </cell>
          <cell r="AE66">
            <v>12051</v>
          </cell>
        </row>
        <row r="67">
          <cell r="R67">
            <v>14657</v>
          </cell>
          <cell r="S67">
            <v>14498</v>
          </cell>
          <cell r="T67">
            <v>14353</v>
          </cell>
          <cell r="U67">
            <v>13734</v>
          </cell>
          <cell r="V67">
            <v>13209</v>
          </cell>
          <cell r="W67">
            <v>12665</v>
          </cell>
          <cell r="X67">
            <v>12555</v>
          </cell>
          <cell r="Y67">
            <v>12330</v>
          </cell>
          <cell r="Z67">
            <v>11864</v>
          </cell>
          <cell r="AA67">
            <v>12741</v>
          </cell>
          <cell r="AB67">
            <v>11430</v>
          </cell>
          <cell r="AC67">
            <v>12221</v>
          </cell>
          <cell r="AD67">
            <v>12099</v>
          </cell>
          <cell r="AE67">
            <v>11904</v>
          </cell>
        </row>
        <row r="68">
          <cell r="R68">
            <v>64864</v>
          </cell>
          <cell r="S68">
            <v>63666</v>
          </cell>
          <cell r="T68">
            <v>64446</v>
          </cell>
          <cell r="U68">
            <v>64955</v>
          </cell>
          <cell r="V68">
            <v>62868</v>
          </cell>
          <cell r="W68">
            <v>60760</v>
          </cell>
          <cell r="X68">
            <v>60488</v>
          </cell>
          <cell r="Y68">
            <v>59934</v>
          </cell>
          <cell r="Z68">
            <v>58992</v>
          </cell>
          <cell r="AA68">
            <v>59320</v>
          </cell>
          <cell r="AB68">
            <v>62434</v>
          </cell>
          <cell r="AC68">
            <v>62832</v>
          </cell>
          <cell r="AD68">
            <v>62266</v>
          </cell>
          <cell r="AE68">
            <v>62860</v>
          </cell>
        </row>
        <row r="69">
          <cell r="R69">
            <v>26496</v>
          </cell>
          <cell r="S69">
            <v>25874</v>
          </cell>
          <cell r="T69">
            <v>24842</v>
          </cell>
          <cell r="U69">
            <v>25486</v>
          </cell>
          <cell r="V69">
            <v>22660</v>
          </cell>
          <cell r="W69">
            <v>22153</v>
          </cell>
          <cell r="X69">
            <v>22029</v>
          </cell>
          <cell r="Y69">
            <v>22790</v>
          </cell>
          <cell r="Z69">
            <v>23420</v>
          </cell>
          <cell r="AA69">
            <v>23046</v>
          </cell>
          <cell r="AB69">
            <v>21291</v>
          </cell>
          <cell r="AC69">
            <v>19378</v>
          </cell>
          <cell r="AD69">
            <v>15880</v>
          </cell>
          <cell r="AE69">
            <v>15041</v>
          </cell>
        </row>
        <row r="70">
          <cell r="R70">
            <v>12252</v>
          </cell>
          <cell r="S70">
            <v>11657</v>
          </cell>
          <cell r="T70">
            <v>12130</v>
          </cell>
          <cell r="U70">
            <v>12879</v>
          </cell>
          <cell r="V70">
            <v>9662</v>
          </cell>
          <cell r="W70">
            <v>10770</v>
          </cell>
          <cell r="X70">
            <v>7440</v>
          </cell>
          <cell r="Y70">
            <v>10362</v>
          </cell>
          <cell r="Z70">
            <v>10507</v>
          </cell>
          <cell r="AA70">
            <v>9746</v>
          </cell>
          <cell r="AB70">
            <v>9142</v>
          </cell>
          <cell r="AC70">
            <v>8120</v>
          </cell>
          <cell r="AD70">
            <v>6428</v>
          </cell>
          <cell r="AE70">
            <v>6879</v>
          </cell>
        </row>
        <row r="71">
          <cell r="R71">
            <v>38812</v>
          </cell>
          <cell r="S71">
            <v>37565</v>
          </cell>
          <cell r="T71">
            <v>37205</v>
          </cell>
          <cell r="U71">
            <v>34589</v>
          </cell>
          <cell r="V71">
            <v>34285</v>
          </cell>
          <cell r="W71">
            <v>31009</v>
          </cell>
          <cell r="X71">
            <v>32445</v>
          </cell>
          <cell r="Y71">
            <v>30309</v>
          </cell>
          <cell r="Z71">
            <v>31736</v>
          </cell>
          <cell r="AA71">
            <v>33173</v>
          </cell>
          <cell r="AB71">
            <v>31198</v>
          </cell>
          <cell r="AC71">
            <v>26786</v>
          </cell>
          <cell r="AD71">
            <v>19729</v>
          </cell>
          <cell r="AE71">
            <v>18380</v>
          </cell>
        </row>
        <row r="72">
          <cell r="R72">
            <v>11310</v>
          </cell>
          <cell r="S72">
            <v>11351</v>
          </cell>
          <cell r="T72">
            <v>10908</v>
          </cell>
          <cell r="U72">
            <v>11080</v>
          </cell>
          <cell r="V72">
            <v>11527</v>
          </cell>
          <cell r="W72">
            <v>10644</v>
          </cell>
          <cell r="X72">
            <v>10047</v>
          </cell>
          <cell r="Y72">
            <v>9659</v>
          </cell>
          <cell r="Z72">
            <v>9617</v>
          </cell>
          <cell r="AA72">
            <v>9655</v>
          </cell>
          <cell r="AB72">
            <v>10137</v>
          </cell>
          <cell r="AC72">
            <v>10393</v>
          </cell>
          <cell r="AD72">
            <v>10385</v>
          </cell>
          <cell r="AE72">
            <v>10513</v>
          </cell>
        </row>
        <row r="73">
          <cell r="R73">
            <v>55429</v>
          </cell>
          <cell r="S73">
            <v>57601</v>
          </cell>
          <cell r="T73">
            <v>69099</v>
          </cell>
          <cell r="U73">
            <v>73302</v>
          </cell>
          <cell r="V73">
            <v>75464</v>
          </cell>
          <cell r="W73">
            <v>63198</v>
          </cell>
          <cell r="X73">
            <v>53968</v>
          </cell>
          <cell r="Y73">
            <v>53006</v>
          </cell>
          <cell r="Z73">
            <v>54157</v>
          </cell>
          <cell r="AA73">
            <v>56045</v>
          </cell>
          <cell r="AB73">
            <v>53965</v>
          </cell>
          <cell r="AC73">
            <v>50956</v>
          </cell>
          <cell r="AD73">
            <v>45309</v>
          </cell>
          <cell r="AE73">
            <v>44491</v>
          </cell>
        </row>
        <row r="74">
          <cell r="R74">
            <v>1969</v>
          </cell>
          <cell r="S74">
            <v>1920</v>
          </cell>
          <cell r="T74">
            <v>1820</v>
          </cell>
          <cell r="U74">
            <v>1906</v>
          </cell>
          <cell r="V74">
            <v>1506</v>
          </cell>
          <cell r="W74">
            <v>1223</v>
          </cell>
          <cell r="X74">
            <v>844</v>
          </cell>
          <cell r="Y74">
            <v>782</v>
          </cell>
          <cell r="Z74">
            <v>765</v>
          </cell>
          <cell r="AA74">
            <v>714</v>
          </cell>
          <cell r="AB74">
            <v>898</v>
          </cell>
          <cell r="AC74">
            <v>895</v>
          </cell>
          <cell r="AD74">
            <v>1130</v>
          </cell>
          <cell r="AE74">
            <v>1160</v>
          </cell>
        </row>
        <row r="75">
          <cell r="R75">
            <v>41716</v>
          </cell>
          <cell r="S75">
            <v>42787</v>
          </cell>
          <cell r="T75">
            <v>41996</v>
          </cell>
          <cell r="U75">
            <v>42475</v>
          </cell>
          <cell r="V75">
            <v>40521</v>
          </cell>
          <cell r="W75">
            <v>37406</v>
          </cell>
          <cell r="X75">
            <v>36377</v>
          </cell>
          <cell r="Y75">
            <v>38029</v>
          </cell>
          <cell r="Z75">
            <v>40003</v>
          </cell>
          <cell r="AA75">
            <v>41483</v>
          </cell>
          <cell r="AB75">
            <v>43588</v>
          </cell>
          <cell r="AC75">
            <v>44269</v>
          </cell>
          <cell r="AD75">
            <v>37338</v>
          </cell>
          <cell r="AE75">
            <v>36808</v>
          </cell>
        </row>
        <row r="76">
          <cell r="R76">
            <v>136196</v>
          </cell>
          <cell r="S76">
            <v>145117</v>
          </cell>
          <cell r="T76">
            <v>133689</v>
          </cell>
          <cell r="U76">
            <v>120895</v>
          </cell>
          <cell r="V76">
            <v>116259</v>
          </cell>
          <cell r="W76">
            <v>103705</v>
          </cell>
          <cell r="X76">
            <v>94377</v>
          </cell>
          <cell r="Y76">
            <v>92283</v>
          </cell>
          <cell r="Z76">
            <v>99083</v>
          </cell>
          <cell r="AA76">
            <v>109159</v>
          </cell>
          <cell r="AB76">
            <v>114018</v>
          </cell>
          <cell r="AC76">
            <v>113610</v>
          </cell>
          <cell r="AD76">
            <v>104792</v>
          </cell>
          <cell r="AE76">
            <v>102399</v>
          </cell>
        </row>
        <row r="77">
          <cell r="R77">
            <v>4522</v>
          </cell>
          <cell r="S77">
            <v>4417</v>
          </cell>
          <cell r="T77">
            <v>4358</v>
          </cell>
          <cell r="U77">
            <v>4131</v>
          </cell>
          <cell r="V77">
            <v>4143</v>
          </cell>
          <cell r="W77">
            <v>4491</v>
          </cell>
          <cell r="X77">
            <v>4541</v>
          </cell>
          <cell r="Y77">
            <v>3992</v>
          </cell>
          <cell r="Z77">
            <v>3894</v>
          </cell>
          <cell r="AA77">
            <v>3842</v>
          </cell>
          <cell r="AB77">
            <v>3986</v>
          </cell>
          <cell r="AC77">
            <v>4010</v>
          </cell>
          <cell r="AD77">
            <v>3788</v>
          </cell>
          <cell r="AE77">
            <v>3799</v>
          </cell>
        </row>
        <row r="78">
          <cell r="R78">
            <v>7719</v>
          </cell>
          <cell r="S78">
            <v>8266</v>
          </cell>
          <cell r="T78">
            <v>8083</v>
          </cell>
          <cell r="U78">
            <v>6149</v>
          </cell>
          <cell r="V78">
            <v>7395</v>
          </cell>
          <cell r="W78">
            <v>7256</v>
          </cell>
          <cell r="X78">
            <v>3020</v>
          </cell>
          <cell r="Y78">
            <v>2667</v>
          </cell>
          <cell r="Z78">
            <v>3108</v>
          </cell>
          <cell r="AA78">
            <v>3455</v>
          </cell>
          <cell r="AB78">
            <v>3252</v>
          </cell>
          <cell r="AC78">
            <v>2718</v>
          </cell>
          <cell r="AD78">
            <v>2714</v>
          </cell>
          <cell r="AE78">
            <v>3162</v>
          </cell>
        </row>
        <row r="79">
          <cell r="R79">
            <v>415</v>
          </cell>
          <cell r="S79">
            <v>438</v>
          </cell>
          <cell r="T79">
            <v>392</v>
          </cell>
          <cell r="U79">
            <v>289</v>
          </cell>
          <cell r="V79">
            <v>493</v>
          </cell>
          <cell r="W79">
            <v>465</v>
          </cell>
          <cell r="X79">
            <v>484</v>
          </cell>
          <cell r="Y79">
            <v>457</v>
          </cell>
          <cell r="Z79">
            <v>477</v>
          </cell>
          <cell r="AA79">
            <v>441</v>
          </cell>
          <cell r="AB79">
            <v>439</v>
          </cell>
          <cell r="AC79">
            <v>321</v>
          </cell>
          <cell r="AD79">
            <v>363</v>
          </cell>
          <cell r="AE79">
            <v>338</v>
          </cell>
        </row>
        <row r="80">
          <cell r="R80">
            <v>10704</v>
          </cell>
          <cell r="S80">
            <v>11187</v>
          </cell>
          <cell r="T80">
            <v>10829</v>
          </cell>
          <cell r="U80">
            <v>11239</v>
          </cell>
          <cell r="V80">
            <v>10120</v>
          </cell>
          <cell r="W80">
            <v>9916</v>
          </cell>
          <cell r="X80">
            <v>10325</v>
          </cell>
          <cell r="Y80">
            <v>10128</v>
          </cell>
          <cell r="Z80">
            <v>10274</v>
          </cell>
          <cell r="AA80">
            <v>11333</v>
          </cell>
          <cell r="AB80">
            <v>11574</v>
          </cell>
          <cell r="AC80">
            <v>12133</v>
          </cell>
          <cell r="AD80">
            <v>11425</v>
          </cell>
          <cell r="AE80">
            <v>11543</v>
          </cell>
        </row>
        <row r="81">
          <cell r="R81">
            <v>15915</v>
          </cell>
          <cell r="S81">
            <v>16513</v>
          </cell>
          <cell r="T81">
            <v>16722</v>
          </cell>
          <cell r="U81">
            <v>17285</v>
          </cell>
          <cell r="V81">
            <v>16260</v>
          </cell>
          <cell r="W81">
            <v>15733</v>
          </cell>
          <cell r="X81">
            <v>16244</v>
          </cell>
          <cell r="Y81">
            <v>18165</v>
          </cell>
          <cell r="Z81">
            <v>18418</v>
          </cell>
          <cell r="AA81">
            <v>19210</v>
          </cell>
          <cell r="AB81">
            <v>19936</v>
          </cell>
          <cell r="AC81">
            <v>18985</v>
          </cell>
          <cell r="AD81">
            <v>16540</v>
          </cell>
          <cell r="AE81">
            <v>15951</v>
          </cell>
        </row>
        <row r="82">
          <cell r="R82">
            <v>179937</v>
          </cell>
          <cell r="S82">
            <v>182930</v>
          </cell>
          <cell r="T82">
            <v>165785</v>
          </cell>
          <cell r="U82">
            <v>166299</v>
          </cell>
          <cell r="V82">
            <v>158635</v>
          </cell>
          <cell r="W82">
            <v>148754</v>
          </cell>
          <cell r="X82">
            <v>144987</v>
          </cell>
          <cell r="Y82">
            <v>147412</v>
          </cell>
          <cell r="Z82">
            <v>150939</v>
          </cell>
          <cell r="AA82">
            <v>153451</v>
          </cell>
          <cell r="AB82">
            <v>153455</v>
          </cell>
          <cell r="AC82">
            <v>148403</v>
          </cell>
          <cell r="AD82">
            <v>125607</v>
          </cell>
          <cell r="AE82">
            <v>119972</v>
          </cell>
        </row>
        <row r="83">
          <cell r="R83">
            <v>666246</v>
          </cell>
          <cell r="S83">
            <v>679490</v>
          </cell>
          <cell r="T83">
            <v>659095</v>
          </cell>
          <cell r="U83">
            <v>647125</v>
          </cell>
          <cell r="V83">
            <v>623319</v>
          </cell>
          <cell r="W83">
            <v>575045</v>
          </cell>
          <cell r="X83">
            <v>544137</v>
          </cell>
          <cell r="Y83">
            <v>545744</v>
          </cell>
          <cell r="Z83">
            <v>560846</v>
          </cell>
          <cell r="AA83">
            <v>580907</v>
          </cell>
          <cell r="AB83">
            <v>584854</v>
          </cell>
          <cell r="AC83">
            <v>569360</v>
          </cell>
          <cell r="AD83">
            <v>505716</v>
          </cell>
          <cell r="AE83">
            <v>493238</v>
          </cell>
        </row>
        <row r="84">
          <cell r="R84">
            <v>0.99772524765448922</v>
          </cell>
          <cell r="S84">
            <v>0.99844537049554183</v>
          </cell>
          <cell r="T84">
            <v>0.99927377367816184</v>
          </cell>
          <cell r="U84">
            <v>0.99586036025638069</v>
          </cell>
          <cell r="V84">
            <v>1.0018821888039502</v>
          </cell>
          <cell r="W84">
            <v>1.0053533059548974</v>
          </cell>
          <cell r="X84">
            <v>1.0014170901066866</v>
          </cell>
          <cell r="Y84">
            <v>1.0013026710260278</v>
          </cell>
          <cell r="Z84">
            <v>1.0020618483022805</v>
          </cell>
          <cell r="AA84">
            <v>1.002312070908109</v>
          </cell>
          <cell r="AB84">
            <v>1.0015892424725052</v>
          </cell>
          <cell r="AC84">
            <v>1.0006326889279438</v>
          </cell>
          <cell r="AD84">
            <v>1.0019158036964908</v>
          </cell>
          <cell r="AE84">
            <v>1.0030075707816226</v>
          </cell>
        </row>
      </sheetData>
      <sheetData sheetId="10">
        <row r="20">
          <cell r="H20">
            <v>420.90410493345433</v>
          </cell>
          <cell r="I20">
            <v>423.13679518832237</v>
          </cell>
          <cell r="J20">
            <v>394.67431530947567</v>
          </cell>
          <cell r="K20">
            <v>468.25061854804272</v>
          </cell>
          <cell r="L20">
            <v>344.52373444721451</v>
          </cell>
          <cell r="M20">
            <v>445.49503488725964</v>
          </cell>
          <cell r="N20">
            <v>348.28403706589631</v>
          </cell>
          <cell r="O20">
            <v>362.3397594571631</v>
          </cell>
          <cell r="P20">
            <v>371.606224056516</v>
          </cell>
          <cell r="Q20">
            <v>312.50970489313931</v>
          </cell>
          <cell r="R20">
            <v>335.2975740310236</v>
          </cell>
          <cell r="S20">
            <v>342.2055640259951</v>
          </cell>
          <cell r="T20">
            <v>402.99180686349803</v>
          </cell>
          <cell r="U20">
            <v>414.03797570414213</v>
          </cell>
          <cell r="V20">
            <v>389.97709928167609</v>
          </cell>
          <cell r="W20">
            <v>391.37822136142915</v>
          </cell>
          <cell r="X20">
            <v>293.2540267496567</v>
          </cell>
          <cell r="Y20">
            <v>312.26727082893217</v>
          </cell>
          <cell r="Z20">
            <v>358.48883909919152</v>
          </cell>
          <cell r="AA20">
            <v>360.66110448832524</v>
          </cell>
          <cell r="AB20">
            <v>326.86508800620044</v>
          </cell>
          <cell r="AC20">
            <v>307.34855388727095</v>
          </cell>
          <cell r="AD20">
            <v>315.74630914426245</v>
          </cell>
          <cell r="AE20">
            <v>390.84711724540011</v>
          </cell>
        </row>
        <row r="21">
          <cell r="G21">
            <v>25.652573750057851</v>
          </cell>
          <cell r="H21">
            <v>25.562876348592489</v>
          </cell>
          <cell r="I21">
            <v>25.698333253680506</v>
          </cell>
          <cell r="J21">
            <v>13.848576325371898</v>
          </cell>
          <cell r="K21">
            <v>28.066991307719697</v>
          </cell>
          <cell r="L21">
            <v>16.117144199118059</v>
          </cell>
          <cell r="M21">
            <v>37.124640142297991</v>
          </cell>
          <cell r="N21">
            <v>24.163570975730682</v>
          </cell>
          <cell r="O21">
            <v>20.725655611245173</v>
          </cell>
          <cell r="P21">
            <v>16.890770559431886</v>
          </cell>
          <cell r="Q21">
            <v>14.204568678363051</v>
          </cell>
          <cell r="R21">
            <v>15.240536736838072</v>
          </cell>
          <cell r="S21">
            <v>43.601175474442854</v>
          </cell>
          <cell r="T21">
            <v>51.34627945462649</v>
          </cell>
          <cell r="U21">
            <v>52.753693876351583</v>
          </cell>
          <cell r="V21">
            <v>49.688014634735822</v>
          </cell>
          <cell r="W21">
            <v>47.389006316911576</v>
          </cell>
          <cell r="X21">
            <v>39.719600078948531</v>
          </cell>
          <cell r="Y21">
            <v>42.946811008193642</v>
          </cell>
          <cell r="Z21">
            <v>42.912847331836325</v>
          </cell>
          <cell r="AA21">
            <v>45.360843253028662</v>
          </cell>
          <cell r="AB21">
            <v>43.780346509804978</v>
          </cell>
          <cell r="AC21">
            <v>37.521853433522573</v>
          </cell>
          <cell r="AD21">
            <v>21.874406648760488</v>
          </cell>
          <cell r="AE21">
            <v>28.568841979826072</v>
          </cell>
        </row>
        <row r="22">
          <cell r="G22">
            <v>148.09067407337858</v>
          </cell>
          <cell r="H22">
            <v>147.57241187782651</v>
          </cell>
          <cell r="I22">
            <v>148.35520903287315</v>
          </cell>
          <cell r="J22">
            <v>165.79860767185517</v>
          </cell>
          <cell r="K22">
            <v>173.03383335582868</v>
          </cell>
          <cell r="L22">
            <v>144.04017279599154</v>
          </cell>
          <cell r="M22">
            <v>167.02077778073459</v>
          </cell>
          <cell r="N22">
            <v>156.95175264438686</v>
          </cell>
          <cell r="O22">
            <v>159.76203940526821</v>
          </cell>
          <cell r="P22">
            <v>160.37081910472003</v>
          </cell>
          <cell r="Q22">
            <v>134.84041862377427</v>
          </cell>
          <cell r="R22">
            <v>144.66695632902375</v>
          </cell>
          <cell r="S22">
            <v>123.14160260115491</v>
          </cell>
          <cell r="T22">
            <v>145.02256658050578</v>
          </cell>
          <cell r="U22">
            <v>148.98487297542223</v>
          </cell>
          <cell r="V22">
            <v>140.3064744760587</v>
          </cell>
          <cell r="W22">
            <v>145.5638815883764</v>
          </cell>
          <cell r="X22">
            <v>115.86372571929033</v>
          </cell>
          <cell r="Y22">
            <v>125.98853086440919</v>
          </cell>
          <cell r="Z22">
            <v>141.5697676064546</v>
          </cell>
          <cell r="AA22">
            <v>139.73676861475923</v>
          </cell>
          <cell r="AB22">
            <v>137.37429289745472</v>
          </cell>
          <cell r="AC22">
            <v>118.55546948593621</v>
          </cell>
          <cell r="AD22">
            <v>121.9097195623316</v>
          </cell>
          <cell r="AE22">
            <v>123.60453687075486</v>
          </cell>
        </row>
        <row r="23">
          <cell r="G23">
            <v>285.87082646496032</v>
          </cell>
          <cell r="H23">
            <v>284.87051536995608</v>
          </cell>
          <cell r="I23">
            <v>286.38156346652335</v>
          </cell>
          <cell r="J23">
            <v>292.12065892251803</v>
          </cell>
          <cell r="K23">
            <v>295.25657380571096</v>
          </cell>
          <cell r="L23">
            <v>273.72255952617945</v>
          </cell>
          <cell r="M23">
            <v>296.99142911960104</v>
          </cell>
          <cell r="N23">
            <v>303.2728886913564</v>
          </cell>
          <cell r="O23">
            <v>305.80805486181697</v>
          </cell>
          <cell r="P23">
            <v>304.02727286374443</v>
          </cell>
          <cell r="Q23">
            <v>255.67266336902762</v>
          </cell>
          <cell r="R23">
            <v>274.31306879249058</v>
          </cell>
          <cell r="S23">
            <v>295.74791991806399</v>
          </cell>
          <cell r="T23">
            <v>348.28133891832391</v>
          </cell>
          <cell r="U23">
            <v>357.82579254635169</v>
          </cell>
          <cell r="V23">
            <v>337.03000536087393</v>
          </cell>
          <cell r="W23">
            <v>341.86317827135667</v>
          </cell>
          <cell r="X23">
            <v>297.0016363582576</v>
          </cell>
          <cell r="Y23">
            <v>256.94850517252331</v>
          </cell>
          <cell r="Z23">
            <v>276.85700974362169</v>
          </cell>
          <cell r="AA23">
            <v>297.90433494381182</v>
          </cell>
          <cell r="AB23">
            <v>295.22513781900727</v>
          </cell>
          <cell r="AC23">
            <v>265.07383573829964</v>
          </cell>
          <cell r="AD23">
            <v>267.25903800414943</v>
          </cell>
          <cell r="AE23">
            <v>299.10375236482099</v>
          </cell>
        </row>
        <row r="24">
          <cell r="G24">
            <v>881.99616063500446</v>
          </cell>
          <cell r="H24">
            <v>878.90990852982929</v>
          </cell>
          <cell r="I24">
            <v>883.57190094139946</v>
          </cell>
          <cell r="J24">
            <v>866.44215822922081</v>
          </cell>
          <cell r="K24">
            <v>964.60788783349199</v>
          </cell>
          <cell r="L24">
            <v>778.40348106905492</v>
          </cell>
          <cell r="M24">
            <v>946.6318819298931</v>
          </cell>
          <cell r="N24">
            <v>832.67224937737035</v>
          </cell>
          <cell r="O24">
            <v>848.63549634990864</v>
          </cell>
          <cell r="P24">
            <v>852.89507384849344</v>
          </cell>
          <cell r="Q24">
            <v>717.22734293522569</v>
          </cell>
          <cell r="R24">
            <v>769.51812330024813</v>
          </cell>
          <cell r="S24">
            <v>804.69619959655552</v>
          </cell>
          <cell r="T24">
            <v>947.64197928500766</v>
          </cell>
          <cell r="U24">
            <v>973.60245291650426</v>
          </cell>
          <cell r="V24">
            <v>917.00158079266578</v>
          </cell>
          <cell r="W24">
            <v>926.19414624671435</v>
          </cell>
          <cell r="X24">
            <v>745.8391027960281</v>
          </cell>
          <cell r="Y24">
            <v>738.15110558736103</v>
          </cell>
          <cell r="Z24">
            <v>819.82857199685373</v>
          </cell>
          <cell r="AA24">
            <v>843.66301387825172</v>
          </cell>
          <cell r="AB24">
            <v>803.24492655162635</v>
          </cell>
          <cell r="AC24">
            <v>728.49965144856913</v>
          </cell>
          <cell r="AD24">
            <v>726.78953384067529</v>
          </cell>
          <cell r="AE24">
            <v>842.12418774695084</v>
          </cell>
        </row>
      </sheetData>
      <sheetData sheetId="11">
        <row r="20">
          <cell r="H20">
            <v>420.90410493345433</v>
          </cell>
          <cell r="I20">
            <v>423.13679518832231</v>
          </cell>
          <cell r="J20">
            <v>394.67431530947567</v>
          </cell>
          <cell r="K20">
            <v>468.25061854804272</v>
          </cell>
          <cell r="L20">
            <v>344.52373444721451</v>
          </cell>
          <cell r="M20">
            <v>445.49503488725958</v>
          </cell>
          <cell r="N20">
            <v>348.28403706589631</v>
          </cell>
          <cell r="O20">
            <v>362.3397594571631</v>
          </cell>
          <cell r="P20">
            <v>371.60622405651606</v>
          </cell>
          <cell r="Q20">
            <v>312.50970489313931</v>
          </cell>
          <cell r="R20">
            <v>335.29757403102366</v>
          </cell>
          <cell r="S20">
            <v>342.2055640259951</v>
          </cell>
          <cell r="T20">
            <v>402.99180686349797</v>
          </cell>
          <cell r="U20">
            <v>414.03797570414213</v>
          </cell>
          <cell r="V20">
            <v>389.97709928167603</v>
          </cell>
          <cell r="W20">
            <v>391.37822136142915</v>
          </cell>
          <cell r="X20">
            <v>293.2540267496567</v>
          </cell>
          <cell r="Y20">
            <v>312.26727082893217</v>
          </cell>
          <cell r="Z20">
            <v>358.48883909919152</v>
          </cell>
          <cell r="AA20">
            <v>360.66110448832524</v>
          </cell>
          <cell r="AB20">
            <v>326.86508800620044</v>
          </cell>
          <cell r="AC20">
            <v>307.34855388727095</v>
          </cell>
          <cell r="AD20">
            <v>315.74630914426245</v>
          </cell>
          <cell r="AE20">
            <v>390.84711724540011</v>
          </cell>
        </row>
        <row r="21">
          <cell r="G21">
            <v>25.652573750057851</v>
          </cell>
          <cell r="H21">
            <v>25.562876348592493</v>
          </cell>
          <cell r="I21">
            <v>25.698333253680506</v>
          </cell>
          <cell r="J21">
            <v>13.848576325371896</v>
          </cell>
          <cell r="K21">
            <v>28.066991307719693</v>
          </cell>
          <cell r="L21">
            <v>16.117144199118062</v>
          </cell>
          <cell r="M21">
            <v>37.124640142297984</v>
          </cell>
          <cell r="N21">
            <v>24.163570975730682</v>
          </cell>
          <cell r="O21">
            <v>20.725655611245173</v>
          </cell>
          <cell r="P21">
            <v>16.890770559431886</v>
          </cell>
          <cell r="Q21">
            <v>14.204568678363051</v>
          </cell>
          <cell r="R21">
            <v>15.240536736838074</v>
          </cell>
          <cell r="S21">
            <v>43.601175474442854</v>
          </cell>
          <cell r="T21">
            <v>51.34627945462649</v>
          </cell>
          <cell r="U21">
            <v>52.753693876351583</v>
          </cell>
          <cell r="V21">
            <v>49.688014634735815</v>
          </cell>
          <cell r="W21">
            <v>47.389006316911583</v>
          </cell>
          <cell r="X21">
            <v>39.719600078948538</v>
          </cell>
          <cell r="Y21">
            <v>42.946811008193649</v>
          </cell>
          <cell r="Z21">
            <v>42.912847331836332</v>
          </cell>
          <cell r="AA21">
            <v>45.360843253028669</v>
          </cell>
          <cell r="AB21">
            <v>43.780346509804978</v>
          </cell>
          <cell r="AC21">
            <v>37.521853433522573</v>
          </cell>
          <cell r="AD21">
            <v>21.874406648760488</v>
          </cell>
          <cell r="AE21">
            <v>28.568841979826072</v>
          </cell>
        </row>
        <row r="22">
          <cell r="G22">
            <v>148.09067407337858</v>
          </cell>
          <cell r="H22">
            <v>147.57241187782651</v>
          </cell>
          <cell r="I22">
            <v>148.35520903287318</v>
          </cell>
          <cell r="J22">
            <v>165.79860767185514</v>
          </cell>
          <cell r="K22">
            <v>173.03383335582868</v>
          </cell>
          <cell r="L22">
            <v>144.04017279599154</v>
          </cell>
          <cell r="M22">
            <v>167.02077778073456</v>
          </cell>
          <cell r="N22">
            <v>156.95175264438686</v>
          </cell>
          <cell r="O22">
            <v>159.76203940526821</v>
          </cell>
          <cell r="P22">
            <v>160.37081910472</v>
          </cell>
          <cell r="Q22">
            <v>134.84041862377427</v>
          </cell>
          <cell r="R22">
            <v>144.66695632902378</v>
          </cell>
          <cell r="S22">
            <v>123.14160260115491</v>
          </cell>
          <cell r="T22">
            <v>145.02256658050578</v>
          </cell>
          <cell r="U22">
            <v>148.98487297542223</v>
          </cell>
          <cell r="V22">
            <v>140.30647447605867</v>
          </cell>
          <cell r="W22">
            <v>145.56388158837643</v>
          </cell>
          <cell r="X22">
            <v>115.86372571929033</v>
          </cell>
          <cell r="Y22">
            <v>125.98853086440919</v>
          </cell>
          <cell r="Z22">
            <v>141.5697676064546</v>
          </cell>
          <cell r="AA22">
            <v>139.7367686147592</v>
          </cell>
          <cell r="AB22">
            <v>137.37429289745472</v>
          </cell>
          <cell r="AC22">
            <v>118.55546948593621</v>
          </cell>
          <cell r="AD22">
            <v>121.90971956233162</v>
          </cell>
          <cell r="AE22">
            <v>123.60453687075486</v>
          </cell>
        </row>
        <row r="23">
          <cell r="G23">
            <v>285.87082646496026</v>
          </cell>
          <cell r="H23">
            <v>284.87051536995608</v>
          </cell>
          <cell r="I23">
            <v>286.38156346652335</v>
          </cell>
          <cell r="J23">
            <v>292.12065892251798</v>
          </cell>
          <cell r="K23">
            <v>295.2565738057109</v>
          </cell>
          <cell r="L23">
            <v>273.72255952617945</v>
          </cell>
          <cell r="M23">
            <v>296.99142911960104</v>
          </cell>
          <cell r="N23">
            <v>303.27288869135646</v>
          </cell>
          <cell r="O23">
            <v>305.80805486181691</v>
          </cell>
          <cell r="P23">
            <v>304.02727286374443</v>
          </cell>
          <cell r="Q23">
            <v>255.67266336902762</v>
          </cell>
          <cell r="R23">
            <v>274.31306879249058</v>
          </cell>
          <cell r="S23">
            <v>295.74791991806393</v>
          </cell>
          <cell r="T23">
            <v>348.28133891832385</v>
          </cell>
          <cell r="U23">
            <v>357.82579254635169</v>
          </cell>
          <cell r="V23">
            <v>337.03000536087387</v>
          </cell>
          <cell r="W23">
            <v>341.86317827135667</v>
          </cell>
          <cell r="X23">
            <v>297.0016363582576</v>
          </cell>
          <cell r="Y23">
            <v>256.94850517252331</v>
          </cell>
          <cell r="Z23">
            <v>276.85700974362169</v>
          </cell>
          <cell r="AA23">
            <v>297.90433494381182</v>
          </cell>
          <cell r="AB23">
            <v>295.22513781900722</v>
          </cell>
          <cell r="AC23">
            <v>265.07383573829964</v>
          </cell>
          <cell r="AD23">
            <v>267.25903800414949</v>
          </cell>
          <cell r="AE23">
            <v>299.10375236482099</v>
          </cell>
        </row>
        <row r="24">
          <cell r="G24">
            <v>881.99616063500446</v>
          </cell>
          <cell r="H24">
            <v>878.90990852982941</v>
          </cell>
          <cell r="I24">
            <v>883.57190094139935</v>
          </cell>
          <cell r="J24">
            <v>866.44215822922069</v>
          </cell>
          <cell r="K24">
            <v>964.60788783349187</v>
          </cell>
          <cell r="L24">
            <v>778.40348106905492</v>
          </cell>
          <cell r="M24">
            <v>946.6318819298931</v>
          </cell>
          <cell r="N24">
            <v>832.67224937737035</v>
          </cell>
          <cell r="O24">
            <v>848.63549634990864</v>
          </cell>
          <cell r="P24">
            <v>852.89507384849344</v>
          </cell>
          <cell r="Q24">
            <v>717.22734293522569</v>
          </cell>
          <cell r="R24">
            <v>769.51812330024813</v>
          </cell>
          <cell r="S24">
            <v>804.69619959655552</v>
          </cell>
          <cell r="T24">
            <v>947.64197928500778</v>
          </cell>
          <cell r="U24">
            <v>973.60245291650426</v>
          </cell>
          <cell r="V24">
            <v>917.00158079266578</v>
          </cell>
          <cell r="W24">
            <v>926.19414624671447</v>
          </cell>
          <cell r="X24">
            <v>745.8391027960281</v>
          </cell>
          <cell r="Y24">
            <v>738.15110558736103</v>
          </cell>
          <cell r="Z24">
            <v>819.82857199685373</v>
          </cell>
          <cell r="AA24">
            <v>843.66301387825172</v>
          </cell>
          <cell r="AB24">
            <v>803.24492655162635</v>
          </cell>
          <cell r="AC24">
            <v>728.49965144856913</v>
          </cell>
          <cell r="AD24">
            <v>726.78953384067529</v>
          </cell>
          <cell r="AE24">
            <v>842.12418774695072</v>
          </cell>
        </row>
        <row r="50">
          <cell r="G50">
            <v>1988</v>
          </cell>
          <cell r="H50">
            <v>1989</v>
          </cell>
          <cell r="I50">
            <v>1990</v>
          </cell>
          <cell r="J50">
            <v>1991</v>
          </cell>
          <cell r="K50">
            <v>1992</v>
          </cell>
          <cell r="L50">
            <v>1993</v>
          </cell>
          <cell r="M50">
            <v>1994</v>
          </cell>
          <cell r="N50">
            <v>1995</v>
          </cell>
          <cell r="O50">
            <v>1996</v>
          </cell>
          <cell r="P50">
            <v>1997</v>
          </cell>
          <cell r="Q50">
            <v>1998</v>
          </cell>
          <cell r="R50">
            <v>1999</v>
          </cell>
          <cell r="S50">
            <v>2000</v>
          </cell>
          <cell r="T50">
            <v>2001</v>
          </cell>
          <cell r="U50">
            <v>2002</v>
          </cell>
          <cell r="V50">
            <v>2003</v>
          </cell>
          <cell r="W50">
            <v>2004</v>
          </cell>
          <cell r="X50">
            <v>2005</v>
          </cell>
          <cell r="Y50">
            <v>2006</v>
          </cell>
          <cell r="Z50">
            <v>2007</v>
          </cell>
          <cell r="AA50">
            <v>2008</v>
          </cell>
          <cell r="AB50">
            <v>2009</v>
          </cell>
          <cell r="AC50">
            <v>2010</v>
          </cell>
          <cell r="AD50">
            <v>2011</v>
          </cell>
          <cell r="AE50">
            <v>2012</v>
          </cell>
        </row>
        <row r="51">
          <cell r="G51">
            <v>422.38208634660771</v>
          </cell>
          <cell r="H51">
            <v>420.90410493345433</v>
          </cell>
          <cell r="I51">
            <v>423.13679518832231</v>
          </cell>
          <cell r="J51">
            <v>394.67431530947567</v>
          </cell>
          <cell r="K51">
            <v>468.25061854804272</v>
          </cell>
          <cell r="L51">
            <v>344.52373444721451</v>
          </cell>
          <cell r="M51">
            <v>445.49503488725958</v>
          </cell>
          <cell r="N51">
            <v>348.28403706589631</v>
          </cell>
          <cell r="O51">
            <v>362.3397594571631</v>
          </cell>
          <cell r="P51">
            <v>371.60622405651606</v>
          </cell>
          <cell r="Q51">
            <v>312.50970489313931</v>
          </cell>
          <cell r="R51">
            <v>335.29757403102366</v>
          </cell>
          <cell r="S51">
            <v>342.2055640259951</v>
          </cell>
          <cell r="T51">
            <v>402.99180686349797</v>
          </cell>
          <cell r="U51">
            <v>414.03797570414213</v>
          </cell>
          <cell r="V51">
            <v>389.97709928167603</v>
          </cell>
          <cell r="W51">
            <v>391.37822136142915</v>
          </cell>
          <cell r="X51">
            <v>293.2540267496567</v>
          </cell>
          <cell r="Y51">
            <v>312.26727082893217</v>
          </cell>
          <cell r="Z51">
            <v>358.48883909919152</v>
          </cell>
          <cell r="AA51">
            <v>360.66110448832524</v>
          </cell>
          <cell r="AB51">
            <v>326.86508800620044</v>
          </cell>
          <cell r="AC51">
            <v>307.34855388727095</v>
          </cell>
          <cell r="AD51">
            <v>315.74630914426245</v>
          </cell>
          <cell r="AE51">
            <v>390.84711724540011</v>
          </cell>
        </row>
        <row r="52">
          <cell r="G52">
            <v>25.652573750057851</v>
          </cell>
          <cell r="H52">
            <v>25.562876348592493</v>
          </cell>
          <cell r="I52">
            <v>25.698333253680506</v>
          </cell>
          <cell r="J52">
            <v>13.848576325371896</v>
          </cell>
          <cell r="K52">
            <v>28.066991307719693</v>
          </cell>
          <cell r="L52">
            <v>16.117144199118062</v>
          </cell>
          <cell r="M52">
            <v>37.124640142297984</v>
          </cell>
          <cell r="N52">
            <v>24.163570975730682</v>
          </cell>
          <cell r="O52">
            <v>20.725655611245173</v>
          </cell>
          <cell r="P52">
            <v>16.890770559431886</v>
          </cell>
          <cell r="Q52">
            <v>14.204568678363051</v>
          </cell>
          <cell r="R52">
            <v>15.240536736838074</v>
          </cell>
          <cell r="S52">
            <v>43.601175474442854</v>
          </cell>
          <cell r="T52">
            <v>51.34627945462649</v>
          </cell>
          <cell r="U52">
            <v>52.753693876351583</v>
          </cell>
          <cell r="V52">
            <v>49.688014634735815</v>
          </cell>
          <cell r="W52">
            <v>47.389006316911583</v>
          </cell>
          <cell r="X52">
            <v>39.719600078948538</v>
          </cell>
          <cell r="Y52">
            <v>42.946811008193649</v>
          </cell>
          <cell r="Z52">
            <v>42.912847331836332</v>
          </cell>
          <cell r="AA52">
            <v>45.360843253028669</v>
          </cell>
          <cell r="AB52">
            <v>43.780346509804978</v>
          </cell>
          <cell r="AC52">
            <v>37.521853433522573</v>
          </cell>
          <cell r="AD52">
            <v>21.874406648760488</v>
          </cell>
          <cell r="AE52">
            <v>28.568841979826072</v>
          </cell>
        </row>
        <row r="53">
          <cell r="G53">
            <v>148.09067407337858</v>
          </cell>
          <cell r="H53">
            <v>147.57241187782651</v>
          </cell>
          <cell r="I53">
            <v>148.35520903287318</v>
          </cell>
          <cell r="J53">
            <v>165.79860767185514</v>
          </cell>
          <cell r="K53">
            <v>173.03383335582868</v>
          </cell>
          <cell r="L53">
            <v>144.04017279599154</v>
          </cell>
          <cell r="M53">
            <v>167.02077778073456</v>
          </cell>
          <cell r="N53">
            <v>156.95175264438686</v>
          </cell>
          <cell r="O53">
            <v>159.76203940526821</v>
          </cell>
          <cell r="P53">
            <v>160.37081910472</v>
          </cell>
          <cell r="Q53">
            <v>134.84041862377427</v>
          </cell>
          <cell r="R53">
            <v>144.66695632902378</v>
          </cell>
          <cell r="S53">
            <v>123.14160260115491</v>
          </cell>
          <cell r="T53">
            <v>145.02256658050578</v>
          </cell>
          <cell r="U53">
            <v>148.98487297542223</v>
          </cell>
          <cell r="V53">
            <v>140.30647447605867</v>
          </cell>
          <cell r="W53">
            <v>145.56388158837643</v>
          </cell>
          <cell r="X53">
            <v>115.86372571929033</v>
          </cell>
          <cell r="Y53">
            <v>125.98853086440919</v>
          </cell>
          <cell r="Z53">
            <v>141.5697676064546</v>
          </cell>
          <cell r="AA53">
            <v>139.7367686147592</v>
          </cell>
          <cell r="AB53">
            <v>137.37429289745472</v>
          </cell>
          <cell r="AC53">
            <v>118.55546948593621</v>
          </cell>
          <cell r="AD53">
            <v>121.90971956233162</v>
          </cell>
          <cell r="AE53">
            <v>123.60453687075486</v>
          </cell>
        </row>
        <row r="54">
          <cell r="G54">
            <v>285.87082646496026</v>
          </cell>
          <cell r="H54">
            <v>284.87051536995608</v>
          </cell>
          <cell r="I54">
            <v>286.38156346652335</v>
          </cell>
          <cell r="J54">
            <v>292.12065892251798</v>
          </cell>
          <cell r="K54">
            <v>295.2565738057109</v>
          </cell>
          <cell r="L54">
            <v>273.72255952617945</v>
          </cell>
          <cell r="M54">
            <v>296.99142911960104</v>
          </cell>
          <cell r="N54">
            <v>303.27288869135646</v>
          </cell>
          <cell r="O54">
            <v>305.80805486181691</v>
          </cell>
          <cell r="P54">
            <v>304.02727286374443</v>
          </cell>
          <cell r="Q54">
            <v>255.67266336902762</v>
          </cell>
          <cell r="R54">
            <v>274.31306879249058</v>
          </cell>
          <cell r="S54">
            <v>295.74791991806393</v>
          </cell>
          <cell r="T54">
            <v>348.28133891832385</v>
          </cell>
          <cell r="U54">
            <v>357.82579254635169</v>
          </cell>
          <cell r="V54">
            <v>337.03000536087387</v>
          </cell>
          <cell r="W54">
            <v>341.86317827135667</v>
          </cell>
          <cell r="X54">
            <v>297.0016363582576</v>
          </cell>
          <cell r="Y54">
            <v>256.94850517252331</v>
          </cell>
          <cell r="Z54">
            <v>276.85700974362169</v>
          </cell>
          <cell r="AA54">
            <v>297.90433494381182</v>
          </cell>
          <cell r="AB54">
            <v>295.22513781900722</v>
          </cell>
          <cell r="AC54">
            <v>265.07383573829964</v>
          </cell>
          <cell r="AD54">
            <v>267.25903800414949</v>
          </cell>
          <cell r="AE54">
            <v>299.10375236482099</v>
          </cell>
        </row>
        <row r="55">
          <cell r="G55">
            <v>881.99616063500446</v>
          </cell>
          <cell r="H55">
            <v>878.90990852982941</v>
          </cell>
          <cell r="I55">
            <v>883.57190094139935</v>
          </cell>
          <cell r="J55">
            <v>866.44215822922069</v>
          </cell>
          <cell r="K55">
            <v>964.60788783349187</v>
          </cell>
          <cell r="L55">
            <v>778.40348106905492</v>
          </cell>
          <cell r="M55">
            <v>946.6318819298931</v>
          </cell>
          <cell r="N55">
            <v>832.67224937737035</v>
          </cell>
          <cell r="O55">
            <v>848.63549634990864</v>
          </cell>
          <cell r="P55">
            <v>852.89507384849344</v>
          </cell>
          <cell r="Q55">
            <v>717.22734293522569</v>
          </cell>
          <cell r="R55">
            <v>769.51812330024813</v>
          </cell>
          <cell r="S55">
            <v>804.69619959655552</v>
          </cell>
          <cell r="T55">
            <v>947.64197928500778</v>
          </cell>
          <cell r="U55">
            <v>973.60245291650426</v>
          </cell>
          <cell r="V55">
            <v>917.00158079266578</v>
          </cell>
          <cell r="W55">
            <v>926.19414624671447</v>
          </cell>
          <cell r="X55">
            <v>745.8391027960281</v>
          </cell>
          <cell r="Y55">
            <v>738.15110558736103</v>
          </cell>
          <cell r="Z55">
            <v>819.82857199685373</v>
          </cell>
          <cell r="AA55">
            <v>843.66301387825172</v>
          </cell>
          <cell r="AB55">
            <v>803.24492655162635</v>
          </cell>
          <cell r="AC55">
            <v>728.49965144856913</v>
          </cell>
          <cell r="AD55">
            <v>726.78953384067529</v>
          </cell>
          <cell r="AE55">
            <v>842.12418774695072</v>
          </cell>
        </row>
      </sheetData>
      <sheetData sheetId="12">
        <row r="20">
          <cell r="H20">
            <v>420.90410493345433</v>
          </cell>
          <cell r="I20">
            <v>423.13679518832231</v>
          </cell>
          <cell r="J20">
            <v>394.67431530947567</v>
          </cell>
          <cell r="K20">
            <v>468.25061854804272</v>
          </cell>
          <cell r="L20">
            <v>344.52373444721451</v>
          </cell>
          <cell r="M20">
            <v>445.49503488725958</v>
          </cell>
          <cell r="N20">
            <v>348.28403706589631</v>
          </cell>
          <cell r="O20">
            <v>362.3397594571631</v>
          </cell>
          <cell r="P20">
            <v>371.60622405651606</v>
          </cell>
          <cell r="Q20">
            <v>312.50970489313931</v>
          </cell>
          <cell r="R20">
            <v>335.29757403102366</v>
          </cell>
          <cell r="S20">
            <v>342.2055640259951</v>
          </cell>
          <cell r="T20">
            <v>402.99180686349797</v>
          </cell>
          <cell r="U20">
            <v>414.03797570414213</v>
          </cell>
          <cell r="V20">
            <v>389.97709928167603</v>
          </cell>
          <cell r="W20">
            <v>391.37822136142915</v>
          </cell>
          <cell r="X20">
            <v>293.2540267496567</v>
          </cell>
          <cell r="Y20">
            <v>312.26727082893217</v>
          </cell>
          <cell r="Z20">
            <v>358.48883909919152</v>
          </cell>
          <cell r="AA20">
            <v>360.66110448832524</v>
          </cell>
          <cell r="AB20">
            <v>326.86508800620044</v>
          </cell>
          <cell r="AC20">
            <v>307.34855388727095</v>
          </cell>
          <cell r="AD20">
            <v>315.74630914426245</v>
          </cell>
          <cell r="AE20">
            <v>390.84711724540011</v>
          </cell>
        </row>
        <row r="21">
          <cell r="G21">
            <v>25.652573750057851</v>
          </cell>
          <cell r="H21">
            <v>25.562876348592493</v>
          </cell>
          <cell r="I21">
            <v>25.698333253680506</v>
          </cell>
          <cell r="J21">
            <v>13.848576325371896</v>
          </cell>
          <cell r="K21">
            <v>28.066991307719693</v>
          </cell>
          <cell r="L21">
            <v>16.117144199118062</v>
          </cell>
          <cell r="M21">
            <v>37.124640142297984</v>
          </cell>
          <cell r="N21">
            <v>24.163570975730682</v>
          </cell>
          <cell r="O21">
            <v>20.725655611245173</v>
          </cell>
          <cell r="P21">
            <v>16.890770559431886</v>
          </cell>
          <cell r="Q21">
            <v>14.204568678363051</v>
          </cell>
          <cell r="R21">
            <v>15.240536736838074</v>
          </cell>
          <cell r="S21">
            <v>43.601175474442854</v>
          </cell>
          <cell r="T21">
            <v>51.34627945462649</v>
          </cell>
          <cell r="U21">
            <v>52.753693876351583</v>
          </cell>
          <cell r="V21">
            <v>49.688014634735815</v>
          </cell>
          <cell r="W21">
            <v>47.389006316911583</v>
          </cell>
          <cell r="X21">
            <v>39.719600078948538</v>
          </cell>
          <cell r="Y21">
            <v>42.946811008193649</v>
          </cell>
          <cell r="Z21">
            <v>42.912847331836332</v>
          </cell>
          <cell r="AA21">
            <v>45.360843253028669</v>
          </cell>
          <cell r="AB21">
            <v>43.780346509804978</v>
          </cell>
          <cell r="AC21">
            <v>37.521853433522573</v>
          </cell>
          <cell r="AD21">
            <v>21.874406648760488</v>
          </cell>
          <cell r="AE21">
            <v>28.568841979826072</v>
          </cell>
        </row>
        <row r="22">
          <cell r="G22">
            <v>148.09067407337858</v>
          </cell>
          <cell r="H22">
            <v>147.57241187782651</v>
          </cell>
          <cell r="I22">
            <v>148.35520903287318</v>
          </cell>
          <cell r="J22">
            <v>165.79860767185514</v>
          </cell>
          <cell r="K22">
            <v>173.03383335582868</v>
          </cell>
          <cell r="L22">
            <v>144.04017279599154</v>
          </cell>
          <cell r="M22">
            <v>167.02077778073456</v>
          </cell>
          <cell r="N22">
            <v>156.95175264438686</v>
          </cell>
          <cell r="O22">
            <v>159.76203940526821</v>
          </cell>
          <cell r="P22">
            <v>160.37081910472</v>
          </cell>
          <cell r="Q22">
            <v>134.84041862377427</v>
          </cell>
          <cell r="R22">
            <v>144.66695632902378</v>
          </cell>
          <cell r="S22">
            <v>123.14160260115491</v>
          </cell>
          <cell r="T22">
            <v>145.02256658050578</v>
          </cell>
          <cell r="U22">
            <v>148.98487297542223</v>
          </cell>
          <cell r="V22">
            <v>140.30647447605867</v>
          </cell>
          <cell r="W22">
            <v>145.56388158837643</v>
          </cell>
          <cell r="X22">
            <v>115.86372571929033</v>
          </cell>
          <cell r="Y22">
            <v>125.98853086440919</v>
          </cell>
          <cell r="Z22">
            <v>141.5697676064546</v>
          </cell>
          <cell r="AA22">
            <v>139.7367686147592</v>
          </cell>
          <cell r="AB22">
            <v>137.37429289745472</v>
          </cell>
          <cell r="AC22">
            <v>118.55546948593621</v>
          </cell>
          <cell r="AD22">
            <v>121.90971956233162</v>
          </cell>
          <cell r="AE22">
            <v>123.60453687075486</v>
          </cell>
        </row>
        <row r="23">
          <cell r="G23">
            <v>285.87082646496026</v>
          </cell>
          <cell r="H23">
            <v>284.87051536995608</v>
          </cell>
          <cell r="I23">
            <v>286.38156346652335</v>
          </cell>
          <cell r="J23">
            <v>292.12065892251798</v>
          </cell>
          <cell r="K23">
            <v>295.2565738057109</v>
          </cell>
          <cell r="L23">
            <v>273.72255952617945</v>
          </cell>
          <cell r="M23">
            <v>296.99142911960104</v>
          </cell>
          <cell r="N23">
            <v>303.27288869135646</v>
          </cell>
          <cell r="O23">
            <v>305.80805486181691</v>
          </cell>
          <cell r="P23">
            <v>304.02727286374443</v>
          </cell>
          <cell r="Q23">
            <v>255.67266336902762</v>
          </cell>
          <cell r="R23">
            <v>274.31306879249058</v>
          </cell>
          <cell r="S23">
            <v>295.74791991806393</v>
          </cell>
          <cell r="T23">
            <v>348.28133891832385</v>
          </cell>
          <cell r="U23">
            <v>357.82579254635169</v>
          </cell>
          <cell r="V23">
            <v>337.03000536087387</v>
          </cell>
          <cell r="W23">
            <v>341.86317827135667</v>
          </cell>
          <cell r="X23">
            <v>297.0016363582576</v>
          </cell>
          <cell r="Y23">
            <v>256.94850517252331</v>
          </cell>
          <cell r="Z23">
            <v>276.85700974362169</v>
          </cell>
          <cell r="AA23">
            <v>297.90433494381182</v>
          </cell>
          <cell r="AB23">
            <v>295.22513781900722</v>
          </cell>
          <cell r="AC23">
            <v>265.07383573829964</v>
          </cell>
          <cell r="AD23">
            <v>267.25903800414949</v>
          </cell>
          <cell r="AE23">
            <v>299.10375236482099</v>
          </cell>
        </row>
        <row r="24">
          <cell r="G24">
            <v>881.99616063500446</v>
          </cell>
          <cell r="H24">
            <v>878.90990852982941</v>
          </cell>
          <cell r="I24">
            <v>883.57190094139935</v>
          </cell>
          <cell r="J24">
            <v>866.44215822922069</v>
          </cell>
          <cell r="K24">
            <v>964.60788783349187</v>
          </cell>
          <cell r="L24">
            <v>778.40348106905492</v>
          </cell>
          <cell r="M24">
            <v>946.6318819298931</v>
          </cell>
          <cell r="N24">
            <v>832.67224937737035</v>
          </cell>
          <cell r="O24">
            <v>848.63549634990864</v>
          </cell>
          <cell r="P24">
            <v>852.89507384849344</v>
          </cell>
          <cell r="Q24">
            <v>717.22734293522569</v>
          </cell>
          <cell r="R24">
            <v>769.51812330024813</v>
          </cell>
          <cell r="S24">
            <v>804.69619959655552</v>
          </cell>
          <cell r="T24">
            <v>947.64197928500778</v>
          </cell>
          <cell r="U24">
            <v>973.60245291650426</v>
          </cell>
          <cell r="V24">
            <v>917.00158079266578</v>
          </cell>
          <cell r="W24">
            <v>926.19414624671447</v>
          </cell>
          <cell r="X24">
            <v>745.8391027960281</v>
          </cell>
          <cell r="Y24">
            <v>738.15110558736103</v>
          </cell>
          <cell r="Z24">
            <v>819.82857199685373</v>
          </cell>
          <cell r="AA24">
            <v>843.66301387825172</v>
          </cell>
          <cell r="AB24">
            <v>803.24492655162635</v>
          </cell>
          <cell r="AC24">
            <v>728.49965144856913</v>
          </cell>
          <cell r="AD24">
            <v>726.78953384067529</v>
          </cell>
          <cell r="AE24">
            <v>842.12418774695072</v>
          </cell>
        </row>
      </sheetData>
      <sheetData sheetId="13"/>
      <sheetData sheetId="14"/>
      <sheetData sheetId="15"/>
      <sheetData sheetId="16">
        <row r="21">
          <cell r="G21" t="str">
            <v>Number_of_Circuits</v>
          </cell>
          <cell r="H21" t="str">
            <v>Pos_Rel</v>
          </cell>
          <cell r="I21" t="str">
            <v>ID</v>
          </cell>
        </row>
        <row r="22">
          <cell r="G22">
            <v>2</v>
          </cell>
          <cell r="H22" t="str">
            <v>Within 1 mile</v>
          </cell>
          <cell r="I22">
            <v>3337427414</v>
          </cell>
        </row>
        <row r="23">
          <cell r="G23">
            <v>1</v>
          </cell>
          <cell r="H23" t="str">
            <v>Within 1 mile</v>
          </cell>
          <cell r="I23">
            <v>3342618410</v>
          </cell>
        </row>
        <row r="24">
          <cell r="G24">
            <v>2</v>
          </cell>
          <cell r="H24" t="str">
            <v>Within 1 mile</v>
          </cell>
          <cell r="I24">
            <v>3352749805</v>
          </cell>
        </row>
        <row r="25">
          <cell r="G25">
            <v>2</v>
          </cell>
          <cell r="H25" t="str">
            <v>Not verified to be within 1 mile</v>
          </cell>
          <cell r="I25">
            <v>3349560210</v>
          </cell>
        </row>
        <row r="26">
          <cell r="G26">
            <v>1</v>
          </cell>
          <cell r="H26" t="str">
            <v>Not verified to be within 1 mile</v>
          </cell>
          <cell r="I26">
            <v>3349560228</v>
          </cell>
        </row>
        <row r="27">
          <cell r="G27">
            <v>2</v>
          </cell>
          <cell r="H27" t="str">
            <v>Not verified to be within 1 mile</v>
          </cell>
          <cell r="I27">
            <v>3349560223</v>
          </cell>
        </row>
        <row r="28">
          <cell r="G28">
            <v>1</v>
          </cell>
          <cell r="H28" t="str">
            <v>Within 165 feet</v>
          </cell>
          <cell r="I28">
            <v>3342618062</v>
          </cell>
        </row>
        <row r="29">
          <cell r="G29">
            <v>5</v>
          </cell>
          <cell r="H29" t="str">
            <v>Within 165 feet</v>
          </cell>
          <cell r="I29">
            <v>3349559673</v>
          </cell>
        </row>
        <row r="30">
          <cell r="G30">
            <v>7</v>
          </cell>
          <cell r="H30" t="str">
            <v>Within 165 feet</v>
          </cell>
          <cell r="I30">
            <v>3337405809</v>
          </cell>
        </row>
        <row r="31">
          <cell r="G31">
            <v>4</v>
          </cell>
          <cell r="H31" t="str">
            <v>Within 40 feet</v>
          </cell>
          <cell r="I31">
            <v>3337405811</v>
          </cell>
        </row>
        <row r="32">
          <cell r="G32">
            <v>4</v>
          </cell>
          <cell r="H32" t="str">
            <v>Within 1 mile</v>
          </cell>
          <cell r="I32">
            <v>3337405841</v>
          </cell>
        </row>
        <row r="33">
          <cell r="G33">
            <v>3</v>
          </cell>
          <cell r="H33" t="str">
            <v>Within 165 feet</v>
          </cell>
          <cell r="I33">
            <v>3337405851</v>
          </cell>
        </row>
        <row r="34">
          <cell r="G34">
            <v>1</v>
          </cell>
          <cell r="H34" t="str">
            <v>Within 1 mile</v>
          </cell>
          <cell r="I34">
            <v>3352750258</v>
          </cell>
        </row>
        <row r="35">
          <cell r="G35">
            <v>8</v>
          </cell>
          <cell r="H35" t="str">
            <v>Within 165 feet</v>
          </cell>
          <cell r="I35">
            <v>3337405875</v>
          </cell>
        </row>
        <row r="36">
          <cell r="G36">
            <v>6</v>
          </cell>
          <cell r="H36" t="str">
            <v>Within 165 feet</v>
          </cell>
          <cell r="I36">
            <v>3337405876</v>
          </cell>
        </row>
        <row r="37">
          <cell r="G37">
            <v>2</v>
          </cell>
          <cell r="H37" t="str">
            <v>Within 165 feet</v>
          </cell>
          <cell r="I37">
            <v>3342618042</v>
          </cell>
        </row>
        <row r="38">
          <cell r="G38">
            <v>4</v>
          </cell>
          <cell r="H38" t="str">
            <v>Within 1 mile</v>
          </cell>
          <cell r="I38">
            <v>3365669816</v>
          </cell>
        </row>
        <row r="39">
          <cell r="G39">
            <v>3</v>
          </cell>
          <cell r="H39" t="str">
            <v>Within 40 feet</v>
          </cell>
          <cell r="I39">
            <v>3337405945</v>
          </cell>
        </row>
        <row r="40">
          <cell r="G40">
            <v>2</v>
          </cell>
          <cell r="H40" t="str">
            <v>Within 1 mile</v>
          </cell>
          <cell r="I40">
            <v>3337428205</v>
          </cell>
        </row>
        <row r="41">
          <cell r="G41">
            <v>2</v>
          </cell>
          <cell r="H41" t="str">
            <v>Not Verified to be within 1 mile</v>
          </cell>
          <cell r="I41">
            <v>3342618238</v>
          </cell>
        </row>
        <row r="42">
          <cell r="G42">
            <v>2</v>
          </cell>
          <cell r="H42" t="str">
            <v>Not Verified to be within 1 mile</v>
          </cell>
          <cell r="I42">
            <v>3342618215</v>
          </cell>
        </row>
        <row r="43">
          <cell r="G43">
            <v>3</v>
          </cell>
          <cell r="H43" t="str">
            <v>Within 1 mile</v>
          </cell>
          <cell r="I43">
            <v>3337405994</v>
          </cell>
        </row>
        <row r="44">
          <cell r="G44">
            <v>1</v>
          </cell>
          <cell r="H44" t="str">
            <v>Within 40 feet</v>
          </cell>
          <cell r="I44">
            <v>3349559578</v>
          </cell>
        </row>
        <row r="45">
          <cell r="G45">
            <v>3</v>
          </cell>
          <cell r="H45" t="str">
            <v>Not Verified to be within 1 mile</v>
          </cell>
          <cell r="I45">
            <v>3342618203</v>
          </cell>
        </row>
        <row r="46">
          <cell r="G46">
            <v>8</v>
          </cell>
          <cell r="H46" t="str">
            <v>Within 165 feet</v>
          </cell>
          <cell r="I46">
            <v>3337406029</v>
          </cell>
        </row>
        <row r="47">
          <cell r="G47">
            <v>6</v>
          </cell>
          <cell r="H47" t="str">
            <v>Within 40 feet</v>
          </cell>
          <cell r="I47">
            <v>3337406039</v>
          </cell>
        </row>
        <row r="48">
          <cell r="G48">
            <v>5</v>
          </cell>
          <cell r="H48" t="str">
            <v>Within 40 feet</v>
          </cell>
          <cell r="I48">
            <v>3337427457</v>
          </cell>
        </row>
        <row r="49">
          <cell r="G49">
            <v>3</v>
          </cell>
          <cell r="H49" t="str">
            <v>Within 40 feet</v>
          </cell>
          <cell r="I49">
            <v>3352750139</v>
          </cell>
        </row>
        <row r="50">
          <cell r="G50">
            <v>1</v>
          </cell>
          <cell r="H50" t="str">
            <v>Within 40 feet</v>
          </cell>
          <cell r="I50">
            <v>3352750138</v>
          </cell>
        </row>
        <row r="51">
          <cell r="G51">
            <v>1</v>
          </cell>
          <cell r="H51" t="str">
            <v>Not Verified to be within 1 mile</v>
          </cell>
          <cell r="I51">
            <v>3342618050</v>
          </cell>
        </row>
        <row r="52">
          <cell r="G52">
            <v>5</v>
          </cell>
          <cell r="H52" t="str">
            <v>Within 165 feet</v>
          </cell>
          <cell r="I52">
            <v>3337406065</v>
          </cell>
        </row>
        <row r="53">
          <cell r="G53">
            <v>1</v>
          </cell>
          <cell r="H53" t="str">
            <v>Within 1 mile</v>
          </cell>
          <cell r="I53">
            <v>3337406075</v>
          </cell>
        </row>
        <row r="54">
          <cell r="G54">
            <v>4</v>
          </cell>
          <cell r="H54" t="str">
            <v>Within 40 feet</v>
          </cell>
          <cell r="I54">
            <v>3353097876</v>
          </cell>
        </row>
        <row r="55">
          <cell r="G55">
            <v>2</v>
          </cell>
          <cell r="H55" t="str">
            <v>Not Verified to be within 1 mile</v>
          </cell>
          <cell r="I55">
            <v>3342618108</v>
          </cell>
        </row>
        <row r="56">
          <cell r="G56">
            <v>5</v>
          </cell>
          <cell r="H56" t="str">
            <v>Within 1 mile</v>
          </cell>
          <cell r="I56">
            <v>3337406092</v>
          </cell>
        </row>
        <row r="57">
          <cell r="G57">
            <v>4</v>
          </cell>
          <cell r="H57" t="str">
            <v>Within 40 feet</v>
          </cell>
          <cell r="I57">
            <v>3349559515</v>
          </cell>
        </row>
        <row r="58">
          <cell r="G58">
            <v>3</v>
          </cell>
          <cell r="H58" t="str">
            <v>Within 40 feet</v>
          </cell>
          <cell r="I58">
            <v>3337406222</v>
          </cell>
        </row>
        <row r="59">
          <cell r="G59">
            <v>1</v>
          </cell>
          <cell r="H59" t="str">
            <v>Within 40 feet</v>
          </cell>
          <cell r="I59">
            <v>3349559567</v>
          </cell>
        </row>
        <row r="60">
          <cell r="G60">
            <v>3</v>
          </cell>
          <cell r="H60" t="str">
            <v>Not verified to be within 1 mile</v>
          </cell>
          <cell r="I60">
            <v>3337406235</v>
          </cell>
        </row>
        <row r="61">
          <cell r="G61">
            <v>3</v>
          </cell>
          <cell r="H61" t="str">
            <v>Not Verified to be within 1 mile</v>
          </cell>
          <cell r="I61">
            <v>3337406236</v>
          </cell>
        </row>
        <row r="62">
          <cell r="G62">
            <v>1</v>
          </cell>
          <cell r="H62" t="str">
            <v>Within 1 mile</v>
          </cell>
          <cell r="I62">
            <v>3337427508</v>
          </cell>
        </row>
        <row r="63">
          <cell r="G63">
            <v>9</v>
          </cell>
          <cell r="H63" t="str">
            <v>Within 40 feet</v>
          </cell>
          <cell r="I63">
            <v>3337406253</v>
          </cell>
        </row>
        <row r="64">
          <cell r="G64">
            <v>1</v>
          </cell>
          <cell r="H64" t="str">
            <v>Not Verified to be within 1 mile</v>
          </cell>
          <cell r="I64">
            <v>3342618167</v>
          </cell>
        </row>
        <row r="65">
          <cell r="G65">
            <v>1</v>
          </cell>
          <cell r="H65" t="str">
            <v>Not Verified to be within 1 mile</v>
          </cell>
          <cell r="I65">
            <v>3342618232</v>
          </cell>
        </row>
        <row r="66">
          <cell r="G66">
            <v>2</v>
          </cell>
          <cell r="H66" t="str">
            <v>Within 40 feet</v>
          </cell>
          <cell r="I66">
            <v>3349559646</v>
          </cell>
        </row>
        <row r="67">
          <cell r="G67">
            <v>2</v>
          </cell>
          <cell r="H67" t="str">
            <v>Within 1 mile</v>
          </cell>
          <cell r="I67">
            <v>3342618182</v>
          </cell>
        </row>
        <row r="68">
          <cell r="G68">
            <v>2</v>
          </cell>
          <cell r="H68" t="str">
            <v>Not Verified to be within 1 mile</v>
          </cell>
          <cell r="I68">
            <v>3337406279</v>
          </cell>
        </row>
        <row r="69">
          <cell r="G69">
            <v>1</v>
          </cell>
          <cell r="H69" t="str">
            <v>Within 40 feet</v>
          </cell>
          <cell r="I69">
            <v>3349559565</v>
          </cell>
        </row>
        <row r="70">
          <cell r="G70">
            <v>3</v>
          </cell>
          <cell r="H70" t="str">
            <v>Within 165 feet</v>
          </cell>
          <cell r="I70">
            <v>3337406291</v>
          </cell>
        </row>
        <row r="71">
          <cell r="G71">
            <v>1</v>
          </cell>
          <cell r="H71" t="str">
            <v>Not Verified to be within 1 mile</v>
          </cell>
          <cell r="I71">
            <v>3342618333</v>
          </cell>
        </row>
        <row r="72">
          <cell r="G72">
            <v>1</v>
          </cell>
          <cell r="H72" t="str">
            <v>Not verified to be within 1 mile</v>
          </cell>
          <cell r="I72">
            <v>3349560041</v>
          </cell>
        </row>
        <row r="73">
          <cell r="G73">
            <v>1</v>
          </cell>
          <cell r="H73" t="str">
            <v>Not verified to be within 1 mile</v>
          </cell>
          <cell r="I73">
            <v>3349560331</v>
          </cell>
        </row>
        <row r="74">
          <cell r="G74">
            <v>2</v>
          </cell>
          <cell r="H74" t="str">
            <v>Within 1 mile</v>
          </cell>
          <cell r="I74">
            <v>3342618130</v>
          </cell>
        </row>
        <row r="75">
          <cell r="G75">
            <v>4</v>
          </cell>
          <cell r="H75" t="str">
            <v>Within 165 feet</v>
          </cell>
          <cell r="I75">
            <v>3353098108</v>
          </cell>
        </row>
        <row r="76">
          <cell r="G76">
            <v>2</v>
          </cell>
          <cell r="H76" t="str">
            <v>Within 40 feet</v>
          </cell>
          <cell r="I76">
            <v>3337406325</v>
          </cell>
        </row>
        <row r="77">
          <cell r="G77">
            <v>2</v>
          </cell>
          <cell r="H77" t="str">
            <v>Within 165 feet</v>
          </cell>
          <cell r="I77">
            <v>3337406328</v>
          </cell>
        </row>
        <row r="78">
          <cell r="G78">
            <v>4</v>
          </cell>
          <cell r="H78" t="str">
            <v>Within 165 feet</v>
          </cell>
          <cell r="I78">
            <v>3349559676</v>
          </cell>
        </row>
        <row r="79">
          <cell r="G79">
            <v>5</v>
          </cell>
          <cell r="H79" t="str">
            <v>Not verified to be within 1 mile</v>
          </cell>
          <cell r="I79">
            <v>3349560178</v>
          </cell>
        </row>
        <row r="80">
          <cell r="G80">
            <v>6</v>
          </cell>
          <cell r="H80" t="str">
            <v>Within 165 feet</v>
          </cell>
          <cell r="I80">
            <v>3337406371</v>
          </cell>
        </row>
        <row r="81">
          <cell r="G81">
            <v>2</v>
          </cell>
          <cell r="H81" t="str">
            <v>Within 1 mile</v>
          </cell>
          <cell r="I81">
            <v>3342617827</v>
          </cell>
        </row>
        <row r="82">
          <cell r="G82">
            <v>2</v>
          </cell>
          <cell r="H82" t="str">
            <v>Within 1 mile</v>
          </cell>
          <cell r="I82">
            <v>3337406374</v>
          </cell>
        </row>
        <row r="83">
          <cell r="G83">
            <v>3</v>
          </cell>
          <cell r="H83" t="str">
            <v>Within 1 mile</v>
          </cell>
          <cell r="I83">
            <v>3337428236</v>
          </cell>
        </row>
        <row r="84">
          <cell r="G84">
            <v>2</v>
          </cell>
          <cell r="H84" t="str">
            <v>Within 165 feet</v>
          </cell>
          <cell r="I84">
            <v>3337406412</v>
          </cell>
        </row>
        <row r="85">
          <cell r="G85">
            <v>1</v>
          </cell>
          <cell r="H85" t="str">
            <v>Not verified to be within 1 mile</v>
          </cell>
          <cell r="I85">
            <v>3349560076</v>
          </cell>
        </row>
        <row r="86">
          <cell r="G86">
            <v>2</v>
          </cell>
          <cell r="H86" t="str">
            <v>Not Verified to be within 1 mile</v>
          </cell>
          <cell r="I86">
            <v>3342618126</v>
          </cell>
        </row>
        <row r="87">
          <cell r="G87">
            <v>1</v>
          </cell>
          <cell r="H87" t="str">
            <v>Not Verified to be within 1 mile</v>
          </cell>
          <cell r="I87">
            <v>3342618089</v>
          </cell>
        </row>
        <row r="88">
          <cell r="G88">
            <v>2</v>
          </cell>
          <cell r="H88" t="str">
            <v>Within 165 feet</v>
          </cell>
          <cell r="I88">
            <v>3352749992</v>
          </cell>
        </row>
        <row r="89">
          <cell r="G89">
            <v>1</v>
          </cell>
          <cell r="H89" t="str">
            <v>Within 165 feet</v>
          </cell>
          <cell r="I89">
            <v>3338290484</v>
          </cell>
        </row>
        <row r="90">
          <cell r="G90">
            <v>1</v>
          </cell>
          <cell r="H90" t="str">
            <v>Not Verified to be within 1 mile</v>
          </cell>
          <cell r="I90">
            <v>3342618281</v>
          </cell>
        </row>
        <row r="91">
          <cell r="G91">
            <v>3</v>
          </cell>
          <cell r="H91" t="str">
            <v>Within 40 feet</v>
          </cell>
          <cell r="I91">
            <v>3337406568</v>
          </cell>
        </row>
        <row r="92">
          <cell r="G92">
            <v>2</v>
          </cell>
          <cell r="H92" t="str">
            <v>Within 1 mile</v>
          </cell>
          <cell r="I92">
            <v>3352749896</v>
          </cell>
        </row>
        <row r="93">
          <cell r="G93">
            <v>4</v>
          </cell>
          <cell r="H93" t="str">
            <v>Within 165 feet</v>
          </cell>
          <cell r="I93">
            <v>3337406590</v>
          </cell>
        </row>
        <row r="94">
          <cell r="G94">
            <v>4</v>
          </cell>
          <cell r="H94" t="str">
            <v>Within 40 feet</v>
          </cell>
          <cell r="I94">
            <v>3337406602</v>
          </cell>
        </row>
        <row r="95">
          <cell r="G95">
            <v>2</v>
          </cell>
          <cell r="H95" t="str">
            <v>Within 1 mile</v>
          </cell>
          <cell r="I95">
            <v>3352749982</v>
          </cell>
        </row>
        <row r="96">
          <cell r="G96">
            <v>1</v>
          </cell>
          <cell r="H96" t="str">
            <v>Not Verified to be within 1 mile</v>
          </cell>
          <cell r="I96">
            <v>3337406632</v>
          </cell>
        </row>
        <row r="97">
          <cell r="G97">
            <v>3</v>
          </cell>
          <cell r="H97" t="str">
            <v>Within 165 feet</v>
          </cell>
          <cell r="I97">
            <v>3337406649</v>
          </cell>
        </row>
        <row r="98">
          <cell r="G98">
            <v>2</v>
          </cell>
          <cell r="H98" t="str">
            <v>Not verified to be within 1 mile</v>
          </cell>
          <cell r="I98">
            <v>3349559693</v>
          </cell>
        </row>
        <row r="99">
          <cell r="G99">
            <v>2</v>
          </cell>
          <cell r="H99" t="str">
            <v>Within 1 mile</v>
          </cell>
          <cell r="I99">
            <v>3353097619</v>
          </cell>
        </row>
        <row r="100">
          <cell r="G100">
            <v>2</v>
          </cell>
          <cell r="H100" t="str">
            <v>Not verified to be within 1 mile</v>
          </cell>
          <cell r="I100">
            <v>3349559868</v>
          </cell>
        </row>
        <row r="101">
          <cell r="G101">
            <v>1</v>
          </cell>
          <cell r="H101" t="str">
            <v>Within 1 mile</v>
          </cell>
          <cell r="I101">
            <v>3342618366</v>
          </cell>
        </row>
        <row r="102">
          <cell r="G102">
            <v>3</v>
          </cell>
          <cell r="H102" t="str">
            <v>Not verified to be within 1 mile</v>
          </cell>
          <cell r="I102">
            <v>3349560078</v>
          </cell>
        </row>
        <row r="103">
          <cell r="G103">
            <v>4</v>
          </cell>
          <cell r="H103" t="str">
            <v>Within 1 mile</v>
          </cell>
          <cell r="I103">
            <v>3337406789</v>
          </cell>
        </row>
        <row r="104">
          <cell r="G104">
            <v>3</v>
          </cell>
          <cell r="H104" t="str">
            <v>Within 1 mile</v>
          </cell>
          <cell r="I104">
            <v>3337406795</v>
          </cell>
        </row>
        <row r="105">
          <cell r="G105">
            <v>2</v>
          </cell>
          <cell r="H105" t="str">
            <v>Within 1 mile</v>
          </cell>
          <cell r="I105">
            <v>3337406808</v>
          </cell>
        </row>
        <row r="106">
          <cell r="G106">
            <v>4</v>
          </cell>
          <cell r="H106" t="str">
            <v>Within 1 mile</v>
          </cell>
          <cell r="I106">
            <v>3337406818</v>
          </cell>
        </row>
        <row r="107">
          <cell r="G107">
            <v>0</v>
          </cell>
          <cell r="H107" t="str">
            <v>Within 165 feet</v>
          </cell>
          <cell r="I107">
            <v>3337406821</v>
          </cell>
        </row>
        <row r="108">
          <cell r="G108">
            <v>0</v>
          </cell>
          <cell r="H108" t="str">
            <v>Within 1 mile</v>
          </cell>
          <cell r="I108">
            <v>3337406822</v>
          </cell>
        </row>
        <row r="109">
          <cell r="G109">
            <v>2</v>
          </cell>
          <cell r="H109" t="str">
            <v>Within 1 mile</v>
          </cell>
          <cell r="I109">
            <v>3352749976</v>
          </cell>
        </row>
        <row r="110">
          <cell r="G110">
            <v>7</v>
          </cell>
          <cell r="H110" t="str">
            <v>Within 40 feet</v>
          </cell>
          <cell r="I110">
            <v>3337406824</v>
          </cell>
        </row>
        <row r="111">
          <cell r="G111">
            <v>5</v>
          </cell>
          <cell r="H111" t="str">
            <v>Within 1 mile</v>
          </cell>
          <cell r="I111">
            <v>3337406842</v>
          </cell>
        </row>
        <row r="112">
          <cell r="G112">
            <v>3</v>
          </cell>
          <cell r="H112" t="str">
            <v>Within 1 mile</v>
          </cell>
          <cell r="I112">
            <v>3341136911</v>
          </cell>
        </row>
        <row r="113">
          <cell r="G113">
            <v>1</v>
          </cell>
          <cell r="H113" t="str">
            <v>Not Verified to be within 1 mile</v>
          </cell>
          <cell r="I113">
            <v>3342618111</v>
          </cell>
        </row>
        <row r="114">
          <cell r="G114">
            <v>3</v>
          </cell>
          <cell r="H114" t="str">
            <v>Not Verified to be within 1 mile</v>
          </cell>
          <cell r="I114">
            <v>3342618095</v>
          </cell>
        </row>
        <row r="115">
          <cell r="G115">
            <v>5</v>
          </cell>
          <cell r="H115" t="str">
            <v>Within 1 mile</v>
          </cell>
          <cell r="I115">
            <v>3337406867</v>
          </cell>
        </row>
        <row r="116">
          <cell r="G116">
            <v>2</v>
          </cell>
          <cell r="H116" t="str">
            <v>Within 1 mile</v>
          </cell>
          <cell r="I116">
            <v>3337406868</v>
          </cell>
        </row>
        <row r="117">
          <cell r="G117">
            <v>2</v>
          </cell>
          <cell r="H117" t="str">
            <v>Not Verified to be within 1 mile</v>
          </cell>
          <cell r="I117">
            <v>3342618197</v>
          </cell>
        </row>
        <row r="118">
          <cell r="G118">
            <v>2</v>
          </cell>
          <cell r="H118" t="str">
            <v>Within 165 feet</v>
          </cell>
          <cell r="I118">
            <v>3337406880</v>
          </cell>
        </row>
        <row r="119">
          <cell r="G119">
            <v>2</v>
          </cell>
          <cell r="H119" t="str">
            <v>Within 165 feet</v>
          </cell>
          <cell r="I119">
            <v>3349560088</v>
          </cell>
        </row>
        <row r="120">
          <cell r="G120">
            <v>2</v>
          </cell>
          <cell r="H120" t="str">
            <v>Within 1 mile</v>
          </cell>
          <cell r="I120">
            <v>3352750254</v>
          </cell>
        </row>
        <row r="121">
          <cell r="G121">
            <v>2</v>
          </cell>
          <cell r="H121" t="str">
            <v>Within 165 feet</v>
          </cell>
          <cell r="I121">
            <v>3337406994</v>
          </cell>
        </row>
        <row r="122">
          <cell r="G122">
            <v>2</v>
          </cell>
          <cell r="H122" t="str">
            <v>Within 165 feet</v>
          </cell>
          <cell r="I122">
            <v>3337406995</v>
          </cell>
        </row>
        <row r="123">
          <cell r="G123">
            <v>2</v>
          </cell>
          <cell r="H123" t="str">
            <v>Within 165 feet</v>
          </cell>
          <cell r="I123">
            <v>3337407000</v>
          </cell>
        </row>
        <row r="124">
          <cell r="G124">
            <v>1</v>
          </cell>
          <cell r="H124" t="str">
            <v>Within 165 feet</v>
          </cell>
          <cell r="I124">
            <v>3337407041</v>
          </cell>
        </row>
        <row r="125">
          <cell r="G125">
            <v>1</v>
          </cell>
          <cell r="H125" t="str">
            <v>Within 165 feet</v>
          </cell>
          <cell r="I125">
            <v>3349560137</v>
          </cell>
        </row>
        <row r="126">
          <cell r="G126">
            <v>1</v>
          </cell>
          <cell r="H126" t="str">
            <v>Within 1 mile</v>
          </cell>
          <cell r="I126">
            <v>3337428131</v>
          </cell>
        </row>
        <row r="127">
          <cell r="G127">
            <v>15</v>
          </cell>
          <cell r="H127" t="str">
            <v>Within 165 feet</v>
          </cell>
          <cell r="I127">
            <v>3337407067</v>
          </cell>
        </row>
        <row r="128">
          <cell r="G128">
            <v>3</v>
          </cell>
          <cell r="H128" t="str">
            <v>Not verified to be within 1 mile</v>
          </cell>
          <cell r="I128">
            <v>3349559961</v>
          </cell>
        </row>
        <row r="129">
          <cell r="G129">
            <v>2</v>
          </cell>
          <cell r="H129" t="str">
            <v>Within 1 mile</v>
          </cell>
          <cell r="I129">
            <v>3352749859</v>
          </cell>
        </row>
        <row r="130">
          <cell r="G130">
            <v>2</v>
          </cell>
          <cell r="H130" t="str">
            <v>Not verified to be within 1 mile</v>
          </cell>
          <cell r="I130">
            <v>3337407118</v>
          </cell>
        </row>
        <row r="131">
          <cell r="G131">
            <v>1</v>
          </cell>
          <cell r="H131" t="str">
            <v>Within 1 mile</v>
          </cell>
          <cell r="I131">
            <v>3337407116</v>
          </cell>
        </row>
        <row r="132">
          <cell r="G132">
            <v>2</v>
          </cell>
          <cell r="H132" t="str">
            <v>Within 1 mile</v>
          </cell>
          <cell r="I132">
            <v>3352750273</v>
          </cell>
        </row>
        <row r="133">
          <cell r="G133">
            <v>1</v>
          </cell>
          <cell r="H133" t="str">
            <v>Not verified to be within 1 mile</v>
          </cell>
          <cell r="I133">
            <v>3349560072</v>
          </cell>
        </row>
        <row r="134">
          <cell r="G134">
            <v>2</v>
          </cell>
          <cell r="H134" t="str">
            <v>Not verified to be within 1 mile</v>
          </cell>
          <cell r="I134">
            <v>3349559794</v>
          </cell>
        </row>
        <row r="135">
          <cell r="G135">
            <v>4</v>
          </cell>
          <cell r="H135" t="str">
            <v>Within 40 feet</v>
          </cell>
          <cell r="I135">
            <v>3337407138</v>
          </cell>
        </row>
        <row r="136">
          <cell r="G136">
            <v>0</v>
          </cell>
          <cell r="H136" t="str">
            <v>Within 1 mile</v>
          </cell>
          <cell r="I136">
            <v>3352750212</v>
          </cell>
        </row>
        <row r="137">
          <cell r="G137">
            <v>1</v>
          </cell>
          <cell r="H137" t="str">
            <v>Not Verified to be within 1 mile</v>
          </cell>
          <cell r="I137">
            <v>3342618103</v>
          </cell>
        </row>
        <row r="138">
          <cell r="G138">
            <v>6</v>
          </cell>
          <cell r="H138" t="str">
            <v>Within 1 mile</v>
          </cell>
          <cell r="I138">
            <v>3337407183</v>
          </cell>
        </row>
        <row r="139">
          <cell r="G139">
            <v>1</v>
          </cell>
          <cell r="H139" t="str">
            <v>Within 1 mile</v>
          </cell>
          <cell r="I139">
            <v>3337428299</v>
          </cell>
        </row>
        <row r="140">
          <cell r="G140">
            <v>1</v>
          </cell>
          <cell r="H140" t="str">
            <v>Within 165 feet</v>
          </cell>
          <cell r="I140">
            <v>3337407204</v>
          </cell>
        </row>
        <row r="141">
          <cell r="G141">
            <v>4</v>
          </cell>
          <cell r="H141" t="str">
            <v>Within 40 feet</v>
          </cell>
          <cell r="I141">
            <v>3337407237</v>
          </cell>
        </row>
        <row r="142">
          <cell r="G142">
            <v>2</v>
          </cell>
          <cell r="H142" t="str">
            <v>Within 1 mile</v>
          </cell>
          <cell r="I142">
            <v>3337407254</v>
          </cell>
        </row>
        <row r="143">
          <cell r="G143">
            <v>1</v>
          </cell>
          <cell r="H143" t="str">
            <v>Not Verified to be within 1 mile</v>
          </cell>
          <cell r="I143">
            <v>3342618135</v>
          </cell>
        </row>
        <row r="144">
          <cell r="G144">
            <v>17</v>
          </cell>
          <cell r="H144" t="str">
            <v>Within 165 feet</v>
          </cell>
          <cell r="I144">
            <v>3337407277</v>
          </cell>
        </row>
        <row r="145">
          <cell r="G145">
            <v>3</v>
          </cell>
          <cell r="H145" t="str">
            <v>Within 1 mile</v>
          </cell>
          <cell r="I145">
            <v>3337428017</v>
          </cell>
        </row>
        <row r="146">
          <cell r="G146">
            <v>6</v>
          </cell>
          <cell r="H146" t="str">
            <v>Within 165 feet</v>
          </cell>
          <cell r="I146">
            <v>3337407283</v>
          </cell>
        </row>
        <row r="147">
          <cell r="G147">
            <v>2</v>
          </cell>
          <cell r="H147" t="str">
            <v>Not verified to be within 1 mile</v>
          </cell>
          <cell r="I147">
            <v>3349560031</v>
          </cell>
        </row>
        <row r="148">
          <cell r="G148">
            <v>1</v>
          </cell>
          <cell r="H148" t="str">
            <v>Within 1 mile</v>
          </cell>
          <cell r="I148">
            <v>3342617843</v>
          </cell>
        </row>
        <row r="149">
          <cell r="G149">
            <v>8</v>
          </cell>
          <cell r="H149" t="str">
            <v>Within 165 feet</v>
          </cell>
          <cell r="I149">
            <v>3337407300</v>
          </cell>
        </row>
        <row r="150">
          <cell r="G150">
            <v>2</v>
          </cell>
          <cell r="H150" t="str">
            <v>Within 165 feet</v>
          </cell>
          <cell r="I150">
            <v>3337407303</v>
          </cell>
        </row>
        <row r="151">
          <cell r="G151">
            <v>1</v>
          </cell>
          <cell r="H151" t="str">
            <v>Within 165 feet</v>
          </cell>
          <cell r="I151">
            <v>3342618041</v>
          </cell>
        </row>
        <row r="152">
          <cell r="G152">
            <v>1</v>
          </cell>
          <cell r="H152" t="str">
            <v>Within 1 mile</v>
          </cell>
          <cell r="I152">
            <v>3353098092</v>
          </cell>
        </row>
        <row r="153">
          <cell r="G153">
            <v>5</v>
          </cell>
          <cell r="H153" t="str">
            <v>Within 40 feet</v>
          </cell>
          <cell r="I153">
            <v>3353097805</v>
          </cell>
        </row>
        <row r="154">
          <cell r="G154">
            <v>8</v>
          </cell>
          <cell r="H154" t="str">
            <v>Within 40 feet</v>
          </cell>
          <cell r="I154">
            <v>3337430122</v>
          </cell>
        </row>
        <row r="155">
          <cell r="G155">
            <v>2</v>
          </cell>
          <cell r="H155" t="str">
            <v>Within 1 mile</v>
          </cell>
          <cell r="I155">
            <v>3342618390</v>
          </cell>
        </row>
        <row r="156">
          <cell r="G156">
            <v>2</v>
          </cell>
          <cell r="H156" t="str">
            <v>Within 165 feet</v>
          </cell>
          <cell r="I156">
            <v>3342618358</v>
          </cell>
        </row>
        <row r="157">
          <cell r="G157">
            <v>2</v>
          </cell>
          <cell r="H157" t="str">
            <v>Within 165 feet</v>
          </cell>
          <cell r="I157">
            <v>3342618316</v>
          </cell>
        </row>
        <row r="158">
          <cell r="G158">
            <v>1</v>
          </cell>
          <cell r="H158" t="str">
            <v>Within 165 feet</v>
          </cell>
          <cell r="I158">
            <v>3337407432</v>
          </cell>
        </row>
        <row r="159">
          <cell r="G159">
            <v>2</v>
          </cell>
          <cell r="H159" t="str">
            <v>Within 165 feet</v>
          </cell>
          <cell r="I159">
            <v>3342617461</v>
          </cell>
        </row>
        <row r="160">
          <cell r="G160">
            <v>1</v>
          </cell>
          <cell r="H160" t="str">
            <v>Not Verified to be within 1 mile</v>
          </cell>
          <cell r="I160">
            <v>3342618150</v>
          </cell>
        </row>
        <row r="161">
          <cell r="G161">
            <v>3</v>
          </cell>
          <cell r="H161" t="str">
            <v>Not Verified to be within 1 mile</v>
          </cell>
          <cell r="I161">
            <v>3342617892</v>
          </cell>
        </row>
        <row r="162">
          <cell r="G162">
            <v>2</v>
          </cell>
          <cell r="H162" t="str">
            <v>Within 165 feet</v>
          </cell>
          <cell r="I162">
            <v>3337407446</v>
          </cell>
        </row>
        <row r="163">
          <cell r="G163">
            <v>1</v>
          </cell>
          <cell r="H163" t="str">
            <v>Within 1 mile</v>
          </cell>
          <cell r="I163">
            <v>3337407462</v>
          </cell>
        </row>
        <row r="164">
          <cell r="G164">
            <v>10</v>
          </cell>
          <cell r="H164" t="str">
            <v>Within 165 feet</v>
          </cell>
          <cell r="I164">
            <v>3337407478</v>
          </cell>
        </row>
        <row r="165">
          <cell r="G165">
            <v>15</v>
          </cell>
          <cell r="H165" t="str">
            <v>Within 40 feet</v>
          </cell>
          <cell r="I165">
            <v>3337407492</v>
          </cell>
        </row>
        <row r="166">
          <cell r="G166">
            <v>2</v>
          </cell>
          <cell r="H166" t="str">
            <v>Within 1 mile</v>
          </cell>
          <cell r="I166">
            <v>3337407495</v>
          </cell>
        </row>
        <row r="167">
          <cell r="G167">
            <v>4</v>
          </cell>
          <cell r="H167" t="str">
            <v>Within 40 feet</v>
          </cell>
          <cell r="I167">
            <v>3349559549</v>
          </cell>
        </row>
        <row r="168">
          <cell r="G168">
            <v>5</v>
          </cell>
          <cell r="H168" t="str">
            <v>Within 165 feet</v>
          </cell>
          <cell r="I168">
            <v>3337407512</v>
          </cell>
        </row>
        <row r="169">
          <cell r="G169">
            <v>2</v>
          </cell>
          <cell r="H169" t="str">
            <v>Not Verified to be within 1 mile</v>
          </cell>
          <cell r="I169">
            <v>3342618415</v>
          </cell>
        </row>
        <row r="170">
          <cell r="G170">
            <v>3</v>
          </cell>
          <cell r="H170" t="str">
            <v>Within 40 feet</v>
          </cell>
          <cell r="I170">
            <v>3337407551</v>
          </cell>
        </row>
        <row r="171">
          <cell r="G171">
            <v>2</v>
          </cell>
          <cell r="H171" t="str">
            <v>Within 40 feet</v>
          </cell>
          <cell r="I171">
            <v>3353097803</v>
          </cell>
        </row>
        <row r="172">
          <cell r="G172">
            <v>1</v>
          </cell>
          <cell r="H172" t="str">
            <v>Within 165 feet</v>
          </cell>
          <cell r="I172">
            <v>3342618045</v>
          </cell>
        </row>
        <row r="173">
          <cell r="G173">
            <v>3</v>
          </cell>
          <cell r="H173" t="str">
            <v>Within 1 mile</v>
          </cell>
          <cell r="I173">
            <v>3342618189</v>
          </cell>
        </row>
        <row r="174">
          <cell r="G174">
            <v>3</v>
          </cell>
          <cell r="H174" t="str">
            <v>Within 165 feet</v>
          </cell>
          <cell r="I174">
            <v>3349559930</v>
          </cell>
        </row>
        <row r="175">
          <cell r="G175">
            <v>6</v>
          </cell>
          <cell r="H175" t="str">
            <v>Within 1 mile</v>
          </cell>
          <cell r="I175">
            <v>3337407591</v>
          </cell>
        </row>
        <row r="176">
          <cell r="G176">
            <v>2</v>
          </cell>
          <cell r="H176" t="str">
            <v>Within 165 feet</v>
          </cell>
          <cell r="I176">
            <v>3337407592</v>
          </cell>
        </row>
        <row r="177">
          <cell r="G177">
            <v>2</v>
          </cell>
          <cell r="H177" t="str">
            <v>Not Verified to be within 1 mile</v>
          </cell>
          <cell r="I177">
            <v>3342618257</v>
          </cell>
        </row>
        <row r="178">
          <cell r="G178">
            <v>1</v>
          </cell>
          <cell r="H178" t="str">
            <v>Within 1 mile</v>
          </cell>
          <cell r="I178">
            <v>3353097518</v>
          </cell>
        </row>
        <row r="179">
          <cell r="G179">
            <v>2</v>
          </cell>
          <cell r="H179" t="str">
            <v>Within 165 feet</v>
          </cell>
          <cell r="I179">
            <v>3352750017</v>
          </cell>
        </row>
        <row r="180">
          <cell r="G180">
            <v>1</v>
          </cell>
          <cell r="H180" t="str">
            <v>Within 1 mile</v>
          </cell>
          <cell r="I180">
            <v>3337407624</v>
          </cell>
        </row>
        <row r="181">
          <cell r="G181">
            <v>2</v>
          </cell>
          <cell r="H181" t="str">
            <v>Within 165 feet</v>
          </cell>
          <cell r="I181">
            <v>3349559689</v>
          </cell>
        </row>
        <row r="182">
          <cell r="G182">
            <v>1</v>
          </cell>
          <cell r="H182" t="str">
            <v>Not Verified to be within 1 mile</v>
          </cell>
          <cell r="I182">
            <v>3337407636</v>
          </cell>
        </row>
        <row r="183">
          <cell r="G183">
            <v>2</v>
          </cell>
          <cell r="H183" t="str">
            <v>Within 40 feet</v>
          </cell>
          <cell r="I183">
            <v>3352750117</v>
          </cell>
        </row>
        <row r="184">
          <cell r="G184">
            <v>1</v>
          </cell>
          <cell r="H184" t="str">
            <v>Not verified to be within 1 mile</v>
          </cell>
          <cell r="I184">
            <v>3349559951</v>
          </cell>
        </row>
        <row r="185">
          <cell r="G185">
            <v>2</v>
          </cell>
          <cell r="H185" t="str">
            <v>Within 165 feet</v>
          </cell>
          <cell r="I185">
            <v>3337407673</v>
          </cell>
        </row>
        <row r="186">
          <cell r="G186">
            <v>2</v>
          </cell>
          <cell r="H186" t="str">
            <v>Within 165 feet</v>
          </cell>
          <cell r="I186">
            <v>3342618421</v>
          </cell>
        </row>
        <row r="187">
          <cell r="G187">
            <v>3</v>
          </cell>
          <cell r="H187" t="str">
            <v>Within 1 mile</v>
          </cell>
          <cell r="I187">
            <v>3337407696</v>
          </cell>
        </row>
        <row r="188">
          <cell r="G188">
            <v>1</v>
          </cell>
          <cell r="H188" t="str">
            <v>Within 1 mile</v>
          </cell>
          <cell r="I188">
            <v>3337407698</v>
          </cell>
        </row>
        <row r="189">
          <cell r="G189">
            <v>2</v>
          </cell>
          <cell r="H189" t="str">
            <v>Within 165 feet</v>
          </cell>
          <cell r="I189">
            <v>3349559674</v>
          </cell>
        </row>
        <row r="190">
          <cell r="G190">
            <v>1</v>
          </cell>
          <cell r="H190" t="str">
            <v>Within 40 feet</v>
          </cell>
          <cell r="I190">
            <v>3349559551</v>
          </cell>
        </row>
        <row r="191">
          <cell r="G191">
            <v>2</v>
          </cell>
          <cell r="H191" t="str">
            <v>Not verified to be within 1 mile</v>
          </cell>
          <cell r="I191">
            <v>3337407717</v>
          </cell>
        </row>
        <row r="192">
          <cell r="G192">
            <v>2</v>
          </cell>
          <cell r="H192" t="str">
            <v>Within 1 mile</v>
          </cell>
          <cell r="I192">
            <v>3352749858</v>
          </cell>
        </row>
        <row r="193">
          <cell r="G193">
            <v>1</v>
          </cell>
          <cell r="H193" t="str">
            <v>Within 1 mile</v>
          </cell>
          <cell r="I193">
            <v>3337428694</v>
          </cell>
        </row>
        <row r="194">
          <cell r="G194">
            <v>34</v>
          </cell>
          <cell r="H194" t="str">
            <v>Within 40 feet</v>
          </cell>
          <cell r="I194">
            <v>3337407745</v>
          </cell>
        </row>
        <row r="195">
          <cell r="G195">
            <v>8</v>
          </cell>
          <cell r="H195" t="str">
            <v>Within 40 feet</v>
          </cell>
          <cell r="I195">
            <v>3352750349</v>
          </cell>
        </row>
        <row r="196">
          <cell r="G196">
            <v>2</v>
          </cell>
          <cell r="H196" t="str">
            <v>Within 165 feet</v>
          </cell>
          <cell r="I196">
            <v>3337428160</v>
          </cell>
        </row>
        <row r="197">
          <cell r="G197">
            <v>1</v>
          </cell>
          <cell r="H197" t="str">
            <v>Not Verified to be within 1 mile</v>
          </cell>
          <cell r="I197">
            <v>3337407749</v>
          </cell>
        </row>
        <row r="198">
          <cell r="G198">
            <v>2</v>
          </cell>
          <cell r="H198" t="str">
            <v>Not Verified to be within 1 mile</v>
          </cell>
          <cell r="I198">
            <v>3337407750</v>
          </cell>
        </row>
        <row r="199">
          <cell r="G199">
            <v>1</v>
          </cell>
          <cell r="H199" t="str">
            <v>Not Verified to be within 1 mile</v>
          </cell>
          <cell r="I199">
            <v>3342618313</v>
          </cell>
        </row>
        <row r="200">
          <cell r="G200">
            <v>1</v>
          </cell>
          <cell r="H200" t="str">
            <v>Within 1 mile</v>
          </cell>
          <cell r="I200">
            <v>3337428335</v>
          </cell>
        </row>
        <row r="201">
          <cell r="G201">
            <v>1</v>
          </cell>
          <cell r="H201" t="str">
            <v>Within 1 mile</v>
          </cell>
          <cell r="I201">
            <v>3342618000</v>
          </cell>
        </row>
        <row r="202">
          <cell r="G202">
            <v>4</v>
          </cell>
          <cell r="H202" t="str">
            <v>Within 165 feet</v>
          </cell>
          <cell r="I202">
            <v>3337407783</v>
          </cell>
        </row>
        <row r="203">
          <cell r="G203">
            <v>3</v>
          </cell>
          <cell r="H203" t="str">
            <v>Within 165 feet</v>
          </cell>
          <cell r="I203">
            <v>3337407785</v>
          </cell>
        </row>
        <row r="204">
          <cell r="G204">
            <v>4</v>
          </cell>
          <cell r="H204" t="str">
            <v>Not Verified to be within 1 mile</v>
          </cell>
          <cell r="I204">
            <v>3342618139</v>
          </cell>
        </row>
        <row r="205">
          <cell r="G205">
            <v>2</v>
          </cell>
          <cell r="H205" t="str">
            <v>Within 1 mile</v>
          </cell>
          <cell r="I205">
            <v>3342618180</v>
          </cell>
        </row>
        <row r="206">
          <cell r="G206">
            <v>4</v>
          </cell>
          <cell r="H206" t="str">
            <v>Not verified to be within 1 mile</v>
          </cell>
          <cell r="I206">
            <v>3349559718</v>
          </cell>
        </row>
        <row r="207">
          <cell r="G207">
            <v>2</v>
          </cell>
          <cell r="H207" t="str">
            <v>Within 1 mile</v>
          </cell>
          <cell r="I207">
            <v>3352750215</v>
          </cell>
        </row>
        <row r="208">
          <cell r="G208">
            <v>1</v>
          </cell>
          <cell r="H208" t="str">
            <v>Within 165 feet</v>
          </cell>
          <cell r="I208">
            <v>3342618263</v>
          </cell>
        </row>
        <row r="209">
          <cell r="G209">
            <v>23</v>
          </cell>
          <cell r="H209" t="str">
            <v>Within 40 feet</v>
          </cell>
          <cell r="I209">
            <v>3337407825</v>
          </cell>
        </row>
        <row r="210">
          <cell r="G210">
            <v>1</v>
          </cell>
          <cell r="H210" t="str">
            <v>Not verified to be within 1 mile</v>
          </cell>
          <cell r="I210">
            <v>3349559962</v>
          </cell>
        </row>
        <row r="211">
          <cell r="G211">
            <v>1</v>
          </cell>
          <cell r="H211" t="str">
            <v>Within 1 mile</v>
          </cell>
          <cell r="I211">
            <v>3337407830</v>
          </cell>
        </row>
        <row r="212">
          <cell r="G212">
            <v>5</v>
          </cell>
          <cell r="H212" t="str">
            <v>Within 40 feet</v>
          </cell>
          <cell r="I212">
            <v>3337407839</v>
          </cell>
        </row>
        <row r="213">
          <cell r="G213">
            <v>1</v>
          </cell>
          <cell r="H213" t="str">
            <v>Not verified to be within 1 mile</v>
          </cell>
          <cell r="I213">
            <v>3349560338</v>
          </cell>
        </row>
        <row r="214">
          <cell r="G214">
            <v>2</v>
          </cell>
          <cell r="H214" t="str">
            <v>Within 165 feet</v>
          </cell>
          <cell r="I214">
            <v>3337407856</v>
          </cell>
        </row>
        <row r="215">
          <cell r="G215">
            <v>3</v>
          </cell>
          <cell r="H215" t="str">
            <v>Within 1 mile</v>
          </cell>
          <cell r="I215">
            <v>3337407871</v>
          </cell>
        </row>
        <row r="216">
          <cell r="G216">
            <v>4</v>
          </cell>
          <cell r="H216" t="str">
            <v>Within 1 mile</v>
          </cell>
          <cell r="I216">
            <v>3337427710</v>
          </cell>
        </row>
        <row r="217">
          <cell r="G217">
            <v>3</v>
          </cell>
          <cell r="H217" t="str">
            <v>Within 165 feet</v>
          </cell>
          <cell r="I217">
            <v>3337407876</v>
          </cell>
        </row>
        <row r="218">
          <cell r="G218">
            <v>2</v>
          </cell>
          <cell r="H218" t="str">
            <v>Within 40 feet</v>
          </cell>
          <cell r="I218">
            <v>3337407878</v>
          </cell>
        </row>
        <row r="219">
          <cell r="G219">
            <v>2</v>
          </cell>
          <cell r="H219" t="str">
            <v>Within 165 feet</v>
          </cell>
          <cell r="I219">
            <v>3349560168</v>
          </cell>
        </row>
        <row r="220">
          <cell r="G220">
            <v>4</v>
          </cell>
          <cell r="H220" t="str">
            <v>Within 165 feet</v>
          </cell>
          <cell r="I220">
            <v>3352750222</v>
          </cell>
        </row>
        <row r="221">
          <cell r="G221">
            <v>3</v>
          </cell>
          <cell r="H221" t="str">
            <v>Within 40 feet</v>
          </cell>
          <cell r="I221">
            <v>3337407899</v>
          </cell>
        </row>
        <row r="222">
          <cell r="G222">
            <v>2</v>
          </cell>
          <cell r="H222" t="str">
            <v>Within 165 feet</v>
          </cell>
          <cell r="I222">
            <v>3338290448</v>
          </cell>
        </row>
        <row r="223">
          <cell r="G223">
            <v>0</v>
          </cell>
          <cell r="H223" t="str">
            <v>Within 40 feet</v>
          </cell>
          <cell r="I223">
            <v>3337407919</v>
          </cell>
        </row>
        <row r="224">
          <cell r="G224">
            <v>2</v>
          </cell>
          <cell r="H224" t="str">
            <v>Within 165 feet</v>
          </cell>
          <cell r="I224">
            <v>3342617952</v>
          </cell>
        </row>
        <row r="225">
          <cell r="G225">
            <v>3</v>
          </cell>
          <cell r="H225" t="str">
            <v>Within 1 mile</v>
          </cell>
          <cell r="I225">
            <v>3337407968</v>
          </cell>
        </row>
        <row r="226">
          <cell r="G226">
            <v>2</v>
          </cell>
          <cell r="H226" t="str">
            <v>Within 165 feet</v>
          </cell>
          <cell r="I226">
            <v>3337407977</v>
          </cell>
        </row>
        <row r="227">
          <cell r="G227">
            <v>1</v>
          </cell>
          <cell r="H227" t="str">
            <v>Not verified to be within 1 mile</v>
          </cell>
          <cell r="I227">
            <v>3349560205</v>
          </cell>
        </row>
        <row r="228">
          <cell r="G228">
            <v>3</v>
          </cell>
          <cell r="H228" t="str">
            <v>Within 165 feet</v>
          </cell>
          <cell r="I228">
            <v>3337407984</v>
          </cell>
        </row>
        <row r="229">
          <cell r="G229">
            <v>11</v>
          </cell>
          <cell r="H229" t="str">
            <v>Within 40 feet</v>
          </cell>
          <cell r="I229">
            <v>3337408001</v>
          </cell>
        </row>
        <row r="230">
          <cell r="G230">
            <v>1</v>
          </cell>
          <cell r="H230" t="str">
            <v>Within 1 mile</v>
          </cell>
          <cell r="I230">
            <v>3337408003</v>
          </cell>
        </row>
        <row r="231">
          <cell r="G231">
            <v>2</v>
          </cell>
          <cell r="H231" t="str">
            <v>Within 40 feet</v>
          </cell>
          <cell r="I231">
            <v>3353097874</v>
          </cell>
        </row>
        <row r="232">
          <cell r="G232">
            <v>6</v>
          </cell>
          <cell r="H232" t="str">
            <v>Within 165 feet</v>
          </cell>
          <cell r="I232">
            <v>3349559970</v>
          </cell>
        </row>
        <row r="233">
          <cell r="G233">
            <v>1</v>
          </cell>
          <cell r="H233" t="str">
            <v>Not verified to be within 1 mile</v>
          </cell>
          <cell r="I233">
            <v>3349559998</v>
          </cell>
        </row>
        <row r="234">
          <cell r="G234">
            <v>2</v>
          </cell>
          <cell r="H234" t="str">
            <v>Within 1 mile</v>
          </cell>
          <cell r="I234">
            <v>3337408026</v>
          </cell>
        </row>
        <row r="235">
          <cell r="G235">
            <v>4</v>
          </cell>
          <cell r="H235" t="str">
            <v>Within 40 feet</v>
          </cell>
          <cell r="I235">
            <v>3337408044</v>
          </cell>
        </row>
        <row r="236">
          <cell r="G236">
            <v>2</v>
          </cell>
          <cell r="H236" t="str">
            <v>Within 165 feet</v>
          </cell>
          <cell r="I236">
            <v>3338155032</v>
          </cell>
        </row>
        <row r="237">
          <cell r="G237">
            <v>2</v>
          </cell>
          <cell r="H237" t="str">
            <v>Within 1 mile</v>
          </cell>
          <cell r="I237">
            <v>3342617832</v>
          </cell>
        </row>
        <row r="238">
          <cell r="G238">
            <v>2</v>
          </cell>
          <cell r="H238" t="str">
            <v>Within 1 mile</v>
          </cell>
          <cell r="I238">
            <v>3352749888</v>
          </cell>
        </row>
        <row r="239">
          <cell r="G239">
            <v>1</v>
          </cell>
          <cell r="H239" t="str">
            <v>Within 1 mile</v>
          </cell>
          <cell r="I239">
            <v>3337428031</v>
          </cell>
        </row>
        <row r="240">
          <cell r="G240">
            <v>12</v>
          </cell>
          <cell r="H240" t="str">
            <v>Within 40 feet</v>
          </cell>
          <cell r="I240">
            <v>3337408135</v>
          </cell>
        </row>
        <row r="241">
          <cell r="G241">
            <v>3</v>
          </cell>
          <cell r="H241" t="str">
            <v>Within 1 mile</v>
          </cell>
          <cell r="I241">
            <v>3337427407</v>
          </cell>
        </row>
        <row r="242">
          <cell r="G242">
            <v>1</v>
          </cell>
          <cell r="H242" t="str">
            <v>Within 165 feet</v>
          </cell>
          <cell r="I242">
            <v>3337408146</v>
          </cell>
        </row>
        <row r="243">
          <cell r="G243">
            <v>1</v>
          </cell>
          <cell r="H243" t="str">
            <v>Within 40 feet</v>
          </cell>
          <cell r="I243">
            <v>3349559641</v>
          </cell>
        </row>
        <row r="244">
          <cell r="G244">
            <v>1</v>
          </cell>
          <cell r="H244" t="str">
            <v>Within 40 feet</v>
          </cell>
          <cell r="I244">
            <v>3337408167</v>
          </cell>
        </row>
        <row r="245">
          <cell r="G245">
            <v>1</v>
          </cell>
          <cell r="H245" t="str">
            <v>Not verified to be within 1 mile</v>
          </cell>
          <cell r="I245">
            <v>3349559856</v>
          </cell>
        </row>
        <row r="246">
          <cell r="G246">
            <v>2</v>
          </cell>
          <cell r="H246" t="str">
            <v>Within 1 mile</v>
          </cell>
          <cell r="I246">
            <v>3342617895</v>
          </cell>
        </row>
        <row r="247">
          <cell r="G247">
            <v>3</v>
          </cell>
          <cell r="H247" t="str">
            <v>Within 1 mile</v>
          </cell>
          <cell r="I247">
            <v>3337428310</v>
          </cell>
        </row>
        <row r="248">
          <cell r="G248">
            <v>1</v>
          </cell>
          <cell r="H248" t="str">
            <v>Not Verified to be within 1 mile</v>
          </cell>
          <cell r="I248">
            <v>3342618279</v>
          </cell>
        </row>
        <row r="249">
          <cell r="G249">
            <v>3</v>
          </cell>
          <cell r="H249" t="str">
            <v>Not Verified to be within 1 mile</v>
          </cell>
          <cell r="I249">
            <v>3342618204</v>
          </cell>
        </row>
        <row r="250">
          <cell r="G250">
            <v>4</v>
          </cell>
          <cell r="H250" t="str">
            <v>Within 165 feet</v>
          </cell>
          <cell r="I250">
            <v>3337408230</v>
          </cell>
        </row>
        <row r="251">
          <cell r="G251">
            <v>2</v>
          </cell>
          <cell r="H251" t="str">
            <v>Within 1 mile</v>
          </cell>
          <cell r="I251">
            <v>3337428233</v>
          </cell>
        </row>
        <row r="252">
          <cell r="G252">
            <v>1</v>
          </cell>
          <cell r="H252" t="str">
            <v>Within 1 mile</v>
          </cell>
          <cell r="I252">
            <v>3337408235</v>
          </cell>
        </row>
        <row r="253">
          <cell r="G253">
            <v>2</v>
          </cell>
          <cell r="H253" t="str">
            <v>Within 1 mile</v>
          </cell>
          <cell r="I253">
            <v>3342617817</v>
          </cell>
        </row>
        <row r="254">
          <cell r="G254">
            <v>2</v>
          </cell>
          <cell r="H254" t="str">
            <v>Not Verified to be within 1 mile</v>
          </cell>
          <cell r="I254">
            <v>3342618337</v>
          </cell>
        </row>
        <row r="255">
          <cell r="G255">
            <v>1</v>
          </cell>
          <cell r="H255" t="str">
            <v>Within 1 mile</v>
          </cell>
          <cell r="I255">
            <v>3353097795</v>
          </cell>
        </row>
        <row r="256">
          <cell r="G256">
            <v>1</v>
          </cell>
          <cell r="H256" t="str">
            <v>Within 1 mile</v>
          </cell>
          <cell r="I256">
            <v>3337408270</v>
          </cell>
        </row>
        <row r="257">
          <cell r="G257">
            <v>1</v>
          </cell>
          <cell r="H257" t="str">
            <v>Within 1 mile</v>
          </cell>
          <cell r="I257">
            <v>3337408281</v>
          </cell>
        </row>
        <row r="258">
          <cell r="G258">
            <v>1</v>
          </cell>
          <cell r="H258" t="str">
            <v>Not verified to be within 1 mile</v>
          </cell>
          <cell r="I258">
            <v>3349560015</v>
          </cell>
        </row>
        <row r="259">
          <cell r="G259">
            <v>8</v>
          </cell>
          <cell r="H259" t="str">
            <v>Not Verified to be within 1 mile</v>
          </cell>
          <cell r="I259">
            <v>3337408287</v>
          </cell>
        </row>
        <row r="260">
          <cell r="G260">
            <v>2</v>
          </cell>
          <cell r="H260" t="str">
            <v>Not Verified to be within 1 mile</v>
          </cell>
          <cell r="I260">
            <v>3337408295</v>
          </cell>
        </row>
        <row r="261">
          <cell r="G261">
            <v>4</v>
          </cell>
          <cell r="H261" t="str">
            <v>Within 1 mile</v>
          </cell>
          <cell r="I261">
            <v>3337408315</v>
          </cell>
        </row>
        <row r="262">
          <cell r="G262">
            <v>2</v>
          </cell>
          <cell r="H262" t="str">
            <v>Within 1 mile</v>
          </cell>
          <cell r="I262">
            <v>3337408321</v>
          </cell>
        </row>
        <row r="263">
          <cell r="G263">
            <v>2</v>
          </cell>
          <cell r="H263" t="str">
            <v>Within 165 feet</v>
          </cell>
          <cell r="I263">
            <v>3349559761</v>
          </cell>
        </row>
        <row r="264">
          <cell r="G264">
            <v>1</v>
          </cell>
          <cell r="H264" t="str">
            <v>Not verified to be within 1 mile</v>
          </cell>
          <cell r="I264">
            <v>3349559960</v>
          </cell>
        </row>
        <row r="265">
          <cell r="G265">
            <v>2</v>
          </cell>
          <cell r="H265" t="str">
            <v>Not Verified to be within 1 mile</v>
          </cell>
          <cell r="I265">
            <v>3342618283</v>
          </cell>
        </row>
        <row r="266">
          <cell r="G266">
            <v>5</v>
          </cell>
          <cell r="H266" t="str">
            <v>Within 40 feet</v>
          </cell>
          <cell r="I266">
            <v>3349559511</v>
          </cell>
        </row>
        <row r="267">
          <cell r="G267">
            <v>1</v>
          </cell>
          <cell r="H267" t="str">
            <v>Within 1 mile</v>
          </cell>
          <cell r="I267">
            <v>3352749990</v>
          </cell>
        </row>
        <row r="268">
          <cell r="G268">
            <v>3</v>
          </cell>
          <cell r="H268" t="str">
            <v>Not verified to be within 1 mile</v>
          </cell>
          <cell r="I268">
            <v>3337408409</v>
          </cell>
        </row>
        <row r="269">
          <cell r="G269">
            <v>3</v>
          </cell>
          <cell r="H269" t="str">
            <v>Within 1 mile</v>
          </cell>
          <cell r="I269">
            <v>3337408420</v>
          </cell>
        </row>
        <row r="270">
          <cell r="G270">
            <v>4</v>
          </cell>
          <cell r="H270" t="str">
            <v>Within 40 feet</v>
          </cell>
          <cell r="I270">
            <v>3337408422</v>
          </cell>
        </row>
        <row r="271">
          <cell r="G271">
            <v>3</v>
          </cell>
          <cell r="H271" t="str">
            <v>Within 1 mile</v>
          </cell>
          <cell r="I271">
            <v>3337408462</v>
          </cell>
        </row>
        <row r="272">
          <cell r="G272">
            <v>2</v>
          </cell>
          <cell r="H272" t="str">
            <v>Within 1 mile</v>
          </cell>
          <cell r="I272">
            <v>3342618365</v>
          </cell>
        </row>
        <row r="273">
          <cell r="G273">
            <v>11</v>
          </cell>
          <cell r="H273" t="str">
            <v>Within 165 feet</v>
          </cell>
          <cell r="I273">
            <v>3337408470</v>
          </cell>
        </row>
        <row r="274">
          <cell r="G274">
            <v>2</v>
          </cell>
          <cell r="H274" t="str">
            <v>Not Verified to be within 1 mile</v>
          </cell>
          <cell r="I274">
            <v>3342618146</v>
          </cell>
        </row>
        <row r="275">
          <cell r="G275">
            <v>2</v>
          </cell>
          <cell r="H275" t="str">
            <v>Within 1 mile</v>
          </cell>
          <cell r="I275">
            <v>3342618380</v>
          </cell>
        </row>
        <row r="276">
          <cell r="G276">
            <v>4</v>
          </cell>
          <cell r="H276" t="str">
            <v>Within 165 feet</v>
          </cell>
          <cell r="I276">
            <v>3349559763</v>
          </cell>
        </row>
        <row r="277">
          <cell r="G277">
            <v>10</v>
          </cell>
          <cell r="H277" t="str">
            <v>Within 165 feet</v>
          </cell>
          <cell r="I277">
            <v>3337408558</v>
          </cell>
        </row>
        <row r="278">
          <cell r="G278">
            <v>1</v>
          </cell>
          <cell r="H278" t="str">
            <v>Within 1 mile</v>
          </cell>
          <cell r="I278">
            <v>3337428281</v>
          </cell>
        </row>
        <row r="279">
          <cell r="G279">
            <v>2</v>
          </cell>
          <cell r="H279" t="str">
            <v>Within 1 mile</v>
          </cell>
          <cell r="I279">
            <v>3337408594</v>
          </cell>
        </row>
        <row r="280">
          <cell r="G280">
            <v>4</v>
          </cell>
          <cell r="H280" t="str">
            <v>Within 40 feet</v>
          </cell>
          <cell r="I280">
            <v>3337408593</v>
          </cell>
        </row>
        <row r="281">
          <cell r="G281">
            <v>4</v>
          </cell>
          <cell r="H281" t="str">
            <v>Within 40 feet</v>
          </cell>
          <cell r="I281">
            <v>3337408606</v>
          </cell>
        </row>
        <row r="282">
          <cell r="G282">
            <v>2</v>
          </cell>
          <cell r="H282" t="str">
            <v>Not verified to be within 1 mile</v>
          </cell>
          <cell r="I282">
            <v>3349560085</v>
          </cell>
        </row>
        <row r="283">
          <cell r="G283">
            <v>1</v>
          </cell>
          <cell r="H283" t="str">
            <v>Within 1 mile</v>
          </cell>
          <cell r="I283">
            <v>3337428291</v>
          </cell>
        </row>
        <row r="284">
          <cell r="G284">
            <v>1</v>
          </cell>
          <cell r="H284" t="str">
            <v>Not Verified to be within 1 mile</v>
          </cell>
          <cell r="I284">
            <v>3342618164</v>
          </cell>
        </row>
        <row r="285">
          <cell r="G285">
            <v>3</v>
          </cell>
          <cell r="H285" t="str">
            <v>Within 165 feet</v>
          </cell>
          <cell r="I285">
            <v>3342618217</v>
          </cell>
        </row>
        <row r="286">
          <cell r="G286">
            <v>1</v>
          </cell>
          <cell r="H286" t="str">
            <v>Not verified to be within 1 mile</v>
          </cell>
          <cell r="I286">
            <v>3349559717</v>
          </cell>
        </row>
        <row r="287">
          <cell r="G287">
            <v>2</v>
          </cell>
          <cell r="H287" t="str">
            <v>Within 40 feet</v>
          </cell>
          <cell r="I287">
            <v>3353097902</v>
          </cell>
        </row>
        <row r="288">
          <cell r="G288">
            <v>2</v>
          </cell>
          <cell r="H288" t="str">
            <v>Within 40 feet</v>
          </cell>
          <cell r="I288">
            <v>3349559561</v>
          </cell>
        </row>
        <row r="289">
          <cell r="G289">
            <v>2</v>
          </cell>
          <cell r="H289" t="str">
            <v>Within 165 feet</v>
          </cell>
          <cell r="I289">
            <v>3349559712</v>
          </cell>
        </row>
        <row r="290">
          <cell r="G290">
            <v>7</v>
          </cell>
          <cell r="H290" t="str">
            <v>Within 165 feet</v>
          </cell>
          <cell r="I290">
            <v>3337408698</v>
          </cell>
        </row>
        <row r="291">
          <cell r="G291">
            <v>1</v>
          </cell>
          <cell r="H291" t="str">
            <v>Not verified to be within 1 mile</v>
          </cell>
          <cell r="I291">
            <v>3349559934</v>
          </cell>
        </row>
        <row r="292">
          <cell r="G292">
            <v>1</v>
          </cell>
          <cell r="H292" t="str">
            <v>Within 1 mile</v>
          </cell>
          <cell r="I292">
            <v>3337408707</v>
          </cell>
        </row>
        <row r="293">
          <cell r="G293">
            <v>1</v>
          </cell>
          <cell r="H293" t="str">
            <v>Not verified to be within 1 mile</v>
          </cell>
          <cell r="I293">
            <v>3349560238</v>
          </cell>
        </row>
        <row r="294">
          <cell r="G294">
            <v>4</v>
          </cell>
          <cell r="H294" t="str">
            <v>Within 165 feet</v>
          </cell>
          <cell r="I294">
            <v>3342618104</v>
          </cell>
        </row>
        <row r="295">
          <cell r="G295">
            <v>4</v>
          </cell>
          <cell r="H295" t="str">
            <v>Within 1 mile</v>
          </cell>
          <cell r="I295">
            <v>3337408757</v>
          </cell>
        </row>
        <row r="296">
          <cell r="G296">
            <v>3</v>
          </cell>
          <cell r="H296" t="str">
            <v>Within 1 mile</v>
          </cell>
          <cell r="I296">
            <v>3337428082</v>
          </cell>
        </row>
        <row r="297">
          <cell r="G297">
            <v>1</v>
          </cell>
          <cell r="H297" t="str">
            <v>Within 1 mile</v>
          </cell>
          <cell r="I297">
            <v>3337408809</v>
          </cell>
        </row>
        <row r="298">
          <cell r="G298">
            <v>1</v>
          </cell>
          <cell r="H298" t="str">
            <v>Not Verified to be within 1 mile</v>
          </cell>
          <cell r="I298">
            <v>3342618220</v>
          </cell>
        </row>
        <row r="299">
          <cell r="G299">
            <v>2</v>
          </cell>
          <cell r="H299" t="str">
            <v>Not Verified to be within 1 mile</v>
          </cell>
          <cell r="I299">
            <v>3337408817</v>
          </cell>
        </row>
        <row r="300">
          <cell r="G300">
            <v>6</v>
          </cell>
          <cell r="H300" t="str">
            <v>Within 40 feet</v>
          </cell>
          <cell r="I300">
            <v>3337408830</v>
          </cell>
        </row>
        <row r="301">
          <cell r="G301">
            <v>1</v>
          </cell>
          <cell r="H301" t="str">
            <v>Within 1 mile</v>
          </cell>
          <cell r="I301">
            <v>3342618377</v>
          </cell>
        </row>
        <row r="302">
          <cell r="G302">
            <v>2</v>
          </cell>
          <cell r="H302" t="str">
            <v>Within 1 mile</v>
          </cell>
          <cell r="I302">
            <v>3353098144</v>
          </cell>
        </row>
        <row r="303">
          <cell r="G303">
            <v>1</v>
          </cell>
          <cell r="H303" t="str">
            <v>Within 1 mile</v>
          </cell>
          <cell r="I303">
            <v>3337408846</v>
          </cell>
        </row>
        <row r="304">
          <cell r="G304">
            <v>2</v>
          </cell>
          <cell r="H304" t="str">
            <v>Within 165 feet</v>
          </cell>
          <cell r="I304">
            <v>3337408852</v>
          </cell>
        </row>
        <row r="305">
          <cell r="G305">
            <v>1</v>
          </cell>
          <cell r="H305" t="str">
            <v>Within 1 mile</v>
          </cell>
          <cell r="I305">
            <v>3352749880</v>
          </cell>
        </row>
        <row r="306">
          <cell r="G306">
            <v>11</v>
          </cell>
          <cell r="H306" t="str">
            <v>Within 165 feet</v>
          </cell>
          <cell r="I306">
            <v>3337408861</v>
          </cell>
        </row>
        <row r="307">
          <cell r="G307">
            <v>5</v>
          </cell>
          <cell r="H307" t="str">
            <v>Within 165 feet</v>
          </cell>
          <cell r="I307">
            <v>3342617938</v>
          </cell>
        </row>
        <row r="308">
          <cell r="G308">
            <v>1</v>
          </cell>
          <cell r="H308" t="str">
            <v>Within 165 feet</v>
          </cell>
          <cell r="I308">
            <v>3342617899</v>
          </cell>
        </row>
        <row r="309">
          <cell r="G309">
            <v>2</v>
          </cell>
          <cell r="H309" t="str">
            <v>Within 40 feet</v>
          </cell>
          <cell r="I309">
            <v>3337408868</v>
          </cell>
        </row>
        <row r="310">
          <cell r="G310">
            <v>3</v>
          </cell>
          <cell r="H310" t="str">
            <v>Within 1 mile</v>
          </cell>
          <cell r="I310">
            <v>3353097787</v>
          </cell>
        </row>
        <row r="311">
          <cell r="G311">
            <v>2</v>
          </cell>
          <cell r="H311" t="str">
            <v>Within 40 feet</v>
          </cell>
          <cell r="I311">
            <v>3349559512</v>
          </cell>
        </row>
        <row r="312">
          <cell r="G312">
            <v>3</v>
          </cell>
          <cell r="H312" t="str">
            <v>Within 165 feet</v>
          </cell>
          <cell r="I312">
            <v>3337408897</v>
          </cell>
        </row>
        <row r="313">
          <cell r="G313">
            <v>6</v>
          </cell>
          <cell r="H313" t="str">
            <v>Within 1 mile</v>
          </cell>
          <cell r="I313">
            <v>3337408908</v>
          </cell>
        </row>
        <row r="314">
          <cell r="G314">
            <v>2</v>
          </cell>
          <cell r="H314" t="str">
            <v>Within 1 mile</v>
          </cell>
          <cell r="I314">
            <v>3337428278</v>
          </cell>
        </row>
        <row r="315">
          <cell r="G315">
            <v>3</v>
          </cell>
          <cell r="H315" t="str">
            <v>Within 165 feet</v>
          </cell>
          <cell r="I315">
            <v>3337408917</v>
          </cell>
        </row>
        <row r="316">
          <cell r="G316">
            <v>3</v>
          </cell>
          <cell r="H316" t="str">
            <v>Within 165 feet</v>
          </cell>
          <cell r="I316">
            <v>3349559758</v>
          </cell>
        </row>
        <row r="317">
          <cell r="G317">
            <v>3</v>
          </cell>
          <cell r="H317" t="str">
            <v>Not verified to be within 1 mile</v>
          </cell>
          <cell r="I317">
            <v>3365669814</v>
          </cell>
        </row>
        <row r="318">
          <cell r="G318">
            <v>5</v>
          </cell>
          <cell r="H318" t="str">
            <v>Within 165 feet</v>
          </cell>
          <cell r="I318">
            <v>3337408977</v>
          </cell>
        </row>
        <row r="319">
          <cell r="G319">
            <v>2</v>
          </cell>
          <cell r="H319" t="str">
            <v>Within 1 mile</v>
          </cell>
          <cell r="I319">
            <v>3342617894</v>
          </cell>
        </row>
        <row r="320">
          <cell r="G320">
            <v>1</v>
          </cell>
          <cell r="H320" t="str">
            <v>Not verified to be within 1 mile</v>
          </cell>
          <cell r="I320">
            <v>3349560119</v>
          </cell>
        </row>
        <row r="321">
          <cell r="G321">
            <v>2</v>
          </cell>
          <cell r="H321" t="str">
            <v>Within 1 mile</v>
          </cell>
          <cell r="I321">
            <v>3337427747</v>
          </cell>
        </row>
        <row r="322">
          <cell r="G322">
            <v>2</v>
          </cell>
          <cell r="H322" t="str">
            <v>Within 1 mile</v>
          </cell>
          <cell r="I322">
            <v>3353097799</v>
          </cell>
        </row>
        <row r="323">
          <cell r="G323">
            <v>4</v>
          </cell>
          <cell r="H323" t="str">
            <v>Within 165 feet</v>
          </cell>
          <cell r="I323">
            <v>3337409045</v>
          </cell>
        </row>
        <row r="324">
          <cell r="G324">
            <v>8</v>
          </cell>
          <cell r="H324" t="str">
            <v>Within 1 mile</v>
          </cell>
          <cell r="I324">
            <v>3337409051</v>
          </cell>
        </row>
        <row r="325">
          <cell r="G325">
            <v>1</v>
          </cell>
          <cell r="H325" t="str">
            <v>Not verified to be within 1 mile</v>
          </cell>
          <cell r="I325">
            <v>3349560236</v>
          </cell>
        </row>
        <row r="326">
          <cell r="G326">
            <v>1</v>
          </cell>
          <cell r="H326" t="str">
            <v>Not verified to be within 1 mile</v>
          </cell>
          <cell r="I326">
            <v>3349559830</v>
          </cell>
        </row>
        <row r="327">
          <cell r="G327">
            <v>1</v>
          </cell>
          <cell r="H327" t="str">
            <v>Within 165 feet</v>
          </cell>
          <cell r="I327">
            <v>3337409095</v>
          </cell>
        </row>
        <row r="328">
          <cell r="G328">
            <v>2</v>
          </cell>
          <cell r="H328" t="str">
            <v>Not verified to be within 1 mile</v>
          </cell>
          <cell r="I328">
            <v>3342617948</v>
          </cell>
        </row>
        <row r="329">
          <cell r="G329">
            <v>4</v>
          </cell>
          <cell r="H329" t="str">
            <v>Not Verified to be within 1 mile</v>
          </cell>
          <cell r="I329">
            <v>3337409131</v>
          </cell>
        </row>
        <row r="330">
          <cell r="G330">
            <v>15</v>
          </cell>
          <cell r="H330" t="str">
            <v>Within 40 feet</v>
          </cell>
          <cell r="I330">
            <v>3337409201</v>
          </cell>
        </row>
        <row r="331">
          <cell r="G331">
            <v>1</v>
          </cell>
          <cell r="H331" t="str">
            <v>Not Verified to be within 1 mile</v>
          </cell>
          <cell r="I331">
            <v>3342618096</v>
          </cell>
        </row>
        <row r="332">
          <cell r="G332">
            <v>1</v>
          </cell>
          <cell r="H332" t="str">
            <v>Within 165 feet</v>
          </cell>
          <cell r="I332">
            <v>3337409218</v>
          </cell>
        </row>
        <row r="333">
          <cell r="G333">
            <v>6</v>
          </cell>
          <cell r="H333" t="str">
            <v>Within 165 feet</v>
          </cell>
          <cell r="I333">
            <v>3337409220</v>
          </cell>
        </row>
        <row r="334">
          <cell r="G334">
            <v>2</v>
          </cell>
          <cell r="H334" t="str">
            <v>Within 1 mile</v>
          </cell>
          <cell r="I334">
            <v>3342617951</v>
          </cell>
        </row>
        <row r="335">
          <cell r="G335">
            <v>1</v>
          </cell>
          <cell r="H335" t="str">
            <v>Not Verified to be within 1 mile</v>
          </cell>
          <cell r="I335">
            <v>3342618097</v>
          </cell>
        </row>
        <row r="336">
          <cell r="G336">
            <v>3</v>
          </cell>
          <cell r="H336" t="str">
            <v>Within 1 mile</v>
          </cell>
          <cell r="I336">
            <v>3337409263</v>
          </cell>
        </row>
        <row r="337">
          <cell r="G337">
            <v>1</v>
          </cell>
          <cell r="H337" t="str">
            <v>Not verified to be within 1 mile</v>
          </cell>
          <cell r="I337">
            <v>3349560084</v>
          </cell>
        </row>
        <row r="338">
          <cell r="G338">
            <v>12</v>
          </cell>
          <cell r="H338" t="str">
            <v>Within 165 feet</v>
          </cell>
          <cell r="I338">
            <v>3337409315</v>
          </cell>
        </row>
        <row r="339">
          <cell r="G339">
            <v>3</v>
          </cell>
          <cell r="H339" t="str">
            <v>Within 1 mile</v>
          </cell>
          <cell r="I339">
            <v>3337428172</v>
          </cell>
        </row>
        <row r="340">
          <cell r="G340">
            <v>1</v>
          </cell>
          <cell r="H340" t="str">
            <v>Within 1 mile</v>
          </cell>
          <cell r="I340">
            <v>3337428000</v>
          </cell>
        </row>
        <row r="341">
          <cell r="G341">
            <v>2</v>
          </cell>
          <cell r="H341" t="str">
            <v>Within 1 mile</v>
          </cell>
          <cell r="I341">
            <v>3337428232</v>
          </cell>
        </row>
        <row r="342">
          <cell r="G342">
            <v>1</v>
          </cell>
          <cell r="H342" t="str">
            <v>Not Verified to be within 1 mile</v>
          </cell>
          <cell r="I342">
            <v>3342618235</v>
          </cell>
        </row>
        <row r="343">
          <cell r="G343">
            <v>2</v>
          </cell>
          <cell r="H343" t="str">
            <v>Within 1 mile</v>
          </cell>
          <cell r="I343">
            <v>3352750159</v>
          </cell>
        </row>
        <row r="344">
          <cell r="G344">
            <v>1</v>
          </cell>
          <cell r="H344" t="str">
            <v>Not verified to be within 1 mile</v>
          </cell>
          <cell r="I344">
            <v>3349559787</v>
          </cell>
        </row>
        <row r="345">
          <cell r="G345">
            <v>2</v>
          </cell>
          <cell r="H345" t="str">
            <v>Within 1 mile</v>
          </cell>
          <cell r="I345">
            <v>3342618251</v>
          </cell>
        </row>
        <row r="346">
          <cell r="G346">
            <v>3</v>
          </cell>
          <cell r="H346" t="str">
            <v>Within 165 feet</v>
          </cell>
          <cell r="I346">
            <v>3337409531</v>
          </cell>
        </row>
        <row r="347">
          <cell r="G347">
            <v>7</v>
          </cell>
          <cell r="H347" t="str">
            <v>Within 1 mile</v>
          </cell>
          <cell r="I347">
            <v>3337409538</v>
          </cell>
        </row>
        <row r="348">
          <cell r="G348">
            <v>1</v>
          </cell>
          <cell r="H348" t="str">
            <v>Within 165 feet</v>
          </cell>
          <cell r="I348">
            <v>3337409542</v>
          </cell>
        </row>
        <row r="349">
          <cell r="G349">
            <v>3</v>
          </cell>
          <cell r="H349" t="str">
            <v>Within 1 mile</v>
          </cell>
          <cell r="I349">
            <v>3353098145</v>
          </cell>
        </row>
        <row r="350">
          <cell r="G350">
            <v>2</v>
          </cell>
          <cell r="H350" t="str">
            <v>Not verified to be within 1 mile</v>
          </cell>
          <cell r="I350">
            <v>3349559913</v>
          </cell>
        </row>
        <row r="351">
          <cell r="G351">
            <v>1</v>
          </cell>
          <cell r="H351" t="str">
            <v>Not verified to be within 1 mile</v>
          </cell>
          <cell r="I351">
            <v>3349559823</v>
          </cell>
        </row>
        <row r="352">
          <cell r="G352">
            <v>2</v>
          </cell>
          <cell r="H352" t="str">
            <v>Not Verified to be within 1 mile</v>
          </cell>
          <cell r="I352">
            <v>3337409573</v>
          </cell>
        </row>
        <row r="353">
          <cell r="G353">
            <v>2</v>
          </cell>
          <cell r="H353" t="str">
            <v>Not verified to be within 1 mile</v>
          </cell>
          <cell r="I353">
            <v>3349560177</v>
          </cell>
        </row>
        <row r="354">
          <cell r="G354">
            <v>2</v>
          </cell>
          <cell r="H354" t="str">
            <v>Not verified to be within 1 mile</v>
          </cell>
          <cell r="I354">
            <v>3349560192</v>
          </cell>
        </row>
        <row r="355">
          <cell r="G355">
            <v>1</v>
          </cell>
          <cell r="H355" t="str">
            <v>Not verified to be within 1 mile</v>
          </cell>
          <cell r="I355">
            <v>3349560188</v>
          </cell>
        </row>
        <row r="356">
          <cell r="G356">
            <v>1</v>
          </cell>
          <cell r="H356" t="str">
            <v>Not verified to be within 1 mile</v>
          </cell>
          <cell r="I356">
            <v>3349560173</v>
          </cell>
        </row>
        <row r="357">
          <cell r="G357">
            <v>2</v>
          </cell>
          <cell r="H357" t="str">
            <v>Within 40 feet</v>
          </cell>
          <cell r="I357">
            <v>3337409576</v>
          </cell>
        </row>
        <row r="358">
          <cell r="G358">
            <v>1</v>
          </cell>
          <cell r="H358" t="str">
            <v>Not Verified to be within 1 mile</v>
          </cell>
          <cell r="I358">
            <v>3337431214</v>
          </cell>
        </row>
        <row r="359">
          <cell r="G359">
            <v>4</v>
          </cell>
          <cell r="H359" t="str">
            <v>Within 1 mile</v>
          </cell>
          <cell r="I359">
            <v>3337428273</v>
          </cell>
        </row>
        <row r="360">
          <cell r="G360">
            <v>1</v>
          </cell>
          <cell r="H360" t="str">
            <v>Within 1 mile</v>
          </cell>
          <cell r="I360">
            <v>3337428276</v>
          </cell>
        </row>
        <row r="361">
          <cell r="G361">
            <v>1</v>
          </cell>
          <cell r="H361" t="str">
            <v>Not Verified to be within 1 mile</v>
          </cell>
          <cell r="I361">
            <v>3342618143</v>
          </cell>
        </row>
        <row r="362">
          <cell r="G362">
            <v>4</v>
          </cell>
          <cell r="H362" t="str">
            <v>Within 1 mile</v>
          </cell>
          <cell r="I362">
            <v>3337428023</v>
          </cell>
        </row>
        <row r="363">
          <cell r="G363">
            <v>1</v>
          </cell>
          <cell r="H363" t="str">
            <v>Within 1 mile</v>
          </cell>
          <cell r="I363">
            <v>3342618087</v>
          </cell>
        </row>
        <row r="364">
          <cell r="G364">
            <v>1</v>
          </cell>
          <cell r="H364" t="str">
            <v>Not verified to be within 1 mile</v>
          </cell>
          <cell r="I364">
            <v>3349560325</v>
          </cell>
        </row>
        <row r="365">
          <cell r="G365">
            <v>4</v>
          </cell>
          <cell r="H365" t="str">
            <v>Within 165 feet</v>
          </cell>
          <cell r="I365">
            <v>3349559862</v>
          </cell>
        </row>
        <row r="366">
          <cell r="G366">
            <v>2</v>
          </cell>
          <cell r="H366" t="str">
            <v>Within 1 mile</v>
          </cell>
          <cell r="I366">
            <v>3352749837</v>
          </cell>
        </row>
        <row r="367">
          <cell r="G367">
            <v>2</v>
          </cell>
          <cell r="H367" t="str">
            <v>Not Verified to be within 1 mile</v>
          </cell>
          <cell r="I367">
            <v>3342618334</v>
          </cell>
        </row>
        <row r="368">
          <cell r="G368">
            <v>12</v>
          </cell>
          <cell r="H368" t="str">
            <v>Within 40 feet</v>
          </cell>
          <cell r="I368">
            <v>3337409645</v>
          </cell>
        </row>
        <row r="369">
          <cell r="G369">
            <v>4</v>
          </cell>
          <cell r="H369" t="str">
            <v>Within 40 feet</v>
          </cell>
          <cell r="I369">
            <v>3340396311</v>
          </cell>
        </row>
        <row r="370">
          <cell r="G370">
            <v>6</v>
          </cell>
          <cell r="H370" t="str">
            <v>Within 40 feet</v>
          </cell>
          <cell r="I370">
            <v>3337426904</v>
          </cell>
        </row>
        <row r="371">
          <cell r="G371">
            <v>4</v>
          </cell>
          <cell r="H371" t="str">
            <v>Within 1 mile</v>
          </cell>
          <cell r="I371">
            <v>3337409656</v>
          </cell>
        </row>
        <row r="372">
          <cell r="G372">
            <v>6</v>
          </cell>
          <cell r="H372" t="str">
            <v>Within 165 feet</v>
          </cell>
          <cell r="I372">
            <v>3349559838</v>
          </cell>
        </row>
        <row r="373">
          <cell r="G373">
            <v>2</v>
          </cell>
          <cell r="H373" t="str">
            <v>Within 1 mile</v>
          </cell>
          <cell r="I373">
            <v>3342617828</v>
          </cell>
        </row>
        <row r="374">
          <cell r="G374">
            <v>2</v>
          </cell>
          <cell r="H374" t="str">
            <v>Within 165 feet</v>
          </cell>
          <cell r="I374">
            <v>3349560011</v>
          </cell>
        </row>
        <row r="375">
          <cell r="G375">
            <v>1</v>
          </cell>
          <cell r="H375" t="str">
            <v>Not verified to be within 1 mile</v>
          </cell>
          <cell r="I375">
            <v>3349559914</v>
          </cell>
        </row>
        <row r="376">
          <cell r="G376">
            <v>1</v>
          </cell>
          <cell r="H376" t="str">
            <v>Not verified to be within 1 mile</v>
          </cell>
          <cell r="I376">
            <v>3349559874</v>
          </cell>
        </row>
        <row r="377">
          <cell r="G377">
            <v>12</v>
          </cell>
          <cell r="H377" t="str">
            <v>Within 165 feet</v>
          </cell>
          <cell r="I377">
            <v>3341136828</v>
          </cell>
        </row>
        <row r="378">
          <cell r="G378">
            <v>2</v>
          </cell>
          <cell r="H378" t="str">
            <v>Within 1 mile</v>
          </cell>
          <cell r="I378">
            <v>3352749925</v>
          </cell>
        </row>
        <row r="379">
          <cell r="G379">
            <v>1</v>
          </cell>
          <cell r="H379" t="str">
            <v>Not Verified to be within 1 mile</v>
          </cell>
          <cell r="I379">
            <v>3337409743</v>
          </cell>
        </row>
        <row r="380">
          <cell r="G380">
            <v>1</v>
          </cell>
          <cell r="H380" t="str">
            <v>Within 1 mile</v>
          </cell>
          <cell r="I380">
            <v>3337409748</v>
          </cell>
        </row>
        <row r="381">
          <cell r="G381">
            <v>3</v>
          </cell>
          <cell r="H381" t="str">
            <v>Within 165 feet</v>
          </cell>
          <cell r="I381">
            <v>3337409756</v>
          </cell>
        </row>
        <row r="382">
          <cell r="G382">
            <v>2</v>
          </cell>
          <cell r="H382" t="str">
            <v>Within 1 mile</v>
          </cell>
          <cell r="I382">
            <v>3353097640</v>
          </cell>
        </row>
        <row r="383">
          <cell r="G383">
            <v>1</v>
          </cell>
          <cell r="H383" t="str">
            <v>Within 1 mile</v>
          </cell>
          <cell r="I383">
            <v>3353098104</v>
          </cell>
        </row>
        <row r="384">
          <cell r="G384">
            <v>4</v>
          </cell>
          <cell r="H384" t="str">
            <v>Not verified to be within 1 mile</v>
          </cell>
          <cell r="I384">
            <v>3349560217</v>
          </cell>
        </row>
        <row r="385">
          <cell r="G385">
            <v>1</v>
          </cell>
          <cell r="H385" t="str">
            <v>Not verified to be within 1 mile</v>
          </cell>
          <cell r="I385">
            <v>3349559919</v>
          </cell>
        </row>
        <row r="386">
          <cell r="G386">
            <v>5</v>
          </cell>
          <cell r="H386" t="str">
            <v>Within 165 feet</v>
          </cell>
          <cell r="I386">
            <v>3349559832</v>
          </cell>
        </row>
        <row r="387">
          <cell r="G387">
            <v>9</v>
          </cell>
          <cell r="H387" t="str">
            <v>Within 165 feet</v>
          </cell>
          <cell r="I387">
            <v>3337409874</v>
          </cell>
        </row>
        <row r="388">
          <cell r="G388">
            <v>1</v>
          </cell>
          <cell r="H388" t="str">
            <v>Within 1 mile</v>
          </cell>
          <cell r="I388">
            <v>3342617990</v>
          </cell>
        </row>
        <row r="389">
          <cell r="G389">
            <v>1</v>
          </cell>
          <cell r="H389" t="str">
            <v>Not verified to be within 1 mile</v>
          </cell>
          <cell r="I389">
            <v>3349560278</v>
          </cell>
        </row>
        <row r="390">
          <cell r="G390">
            <v>1</v>
          </cell>
          <cell r="H390" t="str">
            <v>Not verified to be within 1 mile</v>
          </cell>
          <cell r="I390">
            <v>3349560387</v>
          </cell>
        </row>
        <row r="391">
          <cell r="G391">
            <v>2</v>
          </cell>
          <cell r="H391" t="str">
            <v>Not Verified to be within 1 mile</v>
          </cell>
          <cell r="I391">
            <v>3342617929</v>
          </cell>
        </row>
        <row r="392">
          <cell r="G392">
            <v>3</v>
          </cell>
          <cell r="H392" t="str">
            <v>Within 165 feet</v>
          </cell>
          <cell r="I392">
            <v>3337409954</v>
          </cell>
        </row>
        <row r="393">
          <cell r="G393">
            <v>2</v>
          </cell>
          <cell r="H393" t="str">
            <v>Within 1 mile</v>
          </cell>
          <cell r="I393">
            <v>3342618113</v>
          </cell>
        </row>
        <row r="394">
          <cell r="G394">
            <v>1</v>
          </cell>
          <cell r="H394" t="str">
            <v>Within 165 feet</v>
          </cell>
          <cell r="I394">
            <v>3337409983</v>
          </cell>
        </row>
        <row r="395">
          <cell r="G395">
            <v>1</v>
          </cell>
          <cell r="H395" t="str">
            <v>Not verified to be within 1 mile</v>
          </cell>
          <cell r="I395">
            <v>3349559805</v>
          </cell>
        </row>
        <row r="396">
          <cell r="G396">
            <v>1</v>
          </cell>
          <cell r="H396" t="str">
            <v>Not verified to be within 1 mile</v>
          </cell>
          <cell r="I396">
            <v>3349559825</v>
          </cell>
        </row>
        <row r="397">
          <cell r="G397">
            <v>2</v>
          </cell>
          <cell r="H397" t="str">
            <v>Within 165 feet</v>
          </cell>
          <cell r="I397">
            <v>3337410057</v>
          </cell>
        </row>
        <row r="398">
          <cell r="G398">
            <v>12</v>
          </cell>
          <cell r="H398" t="str">
            <v>Within 165 feet</v>
          </cell>
          <cell r="I398">
            <v>3337410062</v>
          </cell>
        </row>
        <row r="399">
          <cell r="G399">
            <v>3</v>
          </cell>
          <cell r="H399" t="str">
            <v>Within 40 feet</v>
          </cell>
          <cell r="I399">
            <v>3341136831</v>
          </cell>
        </row>
        <row r="400">
          <cell r="G400">
            <v>3</v>
          </cell>
          <cell r="H400" t="str">
            <v>Within 165 feet</v>
          </cell>
          <cell r="I400">
            <v>3337428277</v>
          </cell>
        </row>
        <row r="401">
          <cell r="G401">
            <v>1</v>
          </cell>
          <cell r="H401" t="str">
            <v>Not verified to be within 1 mile</v>
          </cell>
          <cell r="I401">
            <v>3349559963</v>
          </cell>
        </row>
        <row r="402">
          <cell r="G402">
            <v>2</v>
          </cell>
          <cell r="H402" t="str">
            <v>Within 1 mile</v>
          </cell>
          <cell r="I402">
            <v>3353097790</v>
          </cell>
        </row>
        <row r="403">
          <cell r="G403">
            <v>1</v>
          </cell>
          <cell r="H403" t="str">
            <v>Not Verified to be within 1 mile</v>
          </cell>
          <cell r="I403">
            <v>3342618228</v>
          </cell>
        </row>
        <row r="404">
          <cell r="G404">
            <v>5</v>
          </cell>
          <cell r="H404" t="str">
            <v>Within 1 mile</v>
          </cell>
          <cell r="I404">
            <v>3337428285</v>
          </cell>
        </row>
        <row r="405">
          <cell r="G405">
            <v>4</v>
          </cell>
          <cell r="H405" t="str">
            <v>Within 40 feet</v>
          </cell>
          <cell r="I405">
            <v>3337410138</v>
          </cell>
        </row>
        <row r="406">
          <cell r="G406">
            <v>4</v>
          </cell>
          <cell r="H406" t="str">
            <v>Within 40 feet</v>
          </cell>
          <cell r="I406">
            <v>3337410151</v>
          </cell>
        </row>
        <row r="407">
          <cell r="G407">
            <v>1</v>
          </cell>
          <cell r="H407" t="str">
            <v>Within 1 mile</v>
          </cell>
          <cell r="I407">
            <v>3337410164</v>
          </cell>
        </row>
        <row r="408">
          <cell r="G408">
            <v>8</v>
          </cell>
          <cell r="H408" t="str">
            <v>Within 40 feet</v>
          </cell>
          <cell r="I408">
            <v>3349559508</v>
          </cell>
        </row>
        <row r="409">
          <cell r="G409">
            <v>1</v>
          </cell>
          <cell r="H409" t="str">
            <v>Within 1 mile</v>
          </cell>
          <cell r="I409">
            <v>3337410170</v>
          </cell>
        </row>
        <row r="410">
          <cell r="G410">
            <v>2</v>
          </cell>
          <cell r="H410" t="str">
            <v>Within 1 mile</v>
          </cell>
          <cell r="I410">
            <v>3342618381</v>
          </cell>
        </row>
        <row r="411">
          <cell r="G411">
            <v>2</v>
          </cell>
          <cell r="H411" t="str">
            <v>Within 1 mile</v>
          </cell>
          <cell r="I411">
            <v>3352749867</v>
          </cell>
        </row>
        <row r="412">
          <cell r="G412">
            <v>1</v>
          </cell>
          <cell r="H412" t="str">
            <v>Not Verified to be within 1 mile</v>
          </cell>
          <cell r="I412">
            <v>3337410194</v>
          </cell>
        </row>
        <row r="413">
          <cell r="G413">
            <v>2</v>
          </cell>
          <cell r="H413" t="str">
            <v>Not verified to be within 1 mile</v>
          </cell>
          <cell r="I413">
            <v>3349559800</v>
          </cell>
        </row>
        <row r="414">
          <cell r="G414">
            <v>23</v>
          </cell>
          <cell r="H414" t="str">
            <v>Within 40 feet</v>
          </cell>
          <cell r="I414">
            <v>3337410205</v>
          </cell>
        </row>
        <row r="415">
          <cell r="G415">
            <v>2</v>
          </cell>
          <cell r="H415" t="str">
            <v>Within 1 mile</v>
          </cell>
          <cell r="I415">
            <v>3352750256</v>
          </cell>
        </row>
        <row r="416">
          <cell r="G416">
            <v>2</v>
          </cell>
          <cell r="H416" t="str">
            <v>Within 1 mile</v>
          </cell>
          <cell r="I416">
            <v>3337410218</v>
          </cell>
        </row>
        <row r="417">
          <cell r="G417">
            <v>3</v>
          </cell>
          <cell r="H417" t="str">
            <v>Not verified to be within 1 mile</v>
          </cell>
          <cell r="I417">
            <v>3337410227</v>
          </cell>
        </row>
        <row r="418">
          <cell r="G418">
            <v>5</v>
          </cell>
          <cell r="H418" t="str">
            <v>Within 40 feet</v>
          </cell>
          <cell r="I418">
            <v>3337410261</v>
          </cell>
        </row>
        <row r="419">
          <cell r="G419">
            <v>3</v>
          </cell>
          <cell r="H419" t="str">
            <v>Within 1 mile</v>
          </cell>
          <cell r="I419">
            <v>3337410263</v>
          </cell>
        </row>
        <row r="420">
          <cell r="G420">
            <v>2</v>
          </cell>
          <cell r="H420" t="str">
            <v>Within 1 mile</v>
          </cell>
          <cell r="I420">
            <v>3342617812</v>
          </cell>
        </row>
        <row r="421">
          <cell r="G421">
            <v>1</v>
          </cell>
          <cell r="H421" t="str">
            <v>Within 1 mile</v>
          </cell>
          <cell r="I421">
            <v>3352749879</v>
          </cell>
        </row>
        <row r="422">
          <cell r="G422">
            <v>2</v>
          </cell>
          <cell r="H422" t="str">
            <v>Within 165 feet</v>
          </cell>
          <cell r="I422">
            <v>3342618338</v>
          </cell>
        </row>
        <row r="423">
          <cell r="G423">
            <v>1</v>
          </cell>
          <cell r="H423" t="str">
            <v>Not verified to be within 1 mile</v>
          </cell>
          <cell r="I423">
            <v>3349559719</v>
          </cell>
        </row>
        <row r="424">
          <cell r="G424">
            <v>6</v>
          </cell>
          <cell r="H424" t="str">
            <v>Within 1 mile</v>
          </cell>
          <cell r="I424">
            <v>3337410310</v>
          </cell>
        </row>
        <row r="425">
          <cell r="G425">
            <v>11</v>
          </cell>
          <cell r="H425" t="str">
            <v>Within 40 feet</v>
          </cell>
          <cell r="I425">
            <v>3337410309</v>
          </cell>
        </row>
        <row r="426">
          <cell r="G426">
            <v>4</v>
          </cell>
          <cell r="H426" t="str">
            <v>Within 1 mile</v>
          </cell>
          <cell r="I426">
            <v>3365669817</v>
          </cell>
        </row>
        <row r="427">
          <cell r="G427">
            <v>2</v>
          </cell>
          <cell r="H427" t="str">
            <v>Within 165 feet</v>
          </cell>
          <cell r="I427">
            <v>3349559822</v>
          </cell>
        </row>
        <row r="428">
          <cell r="G428">
            <v>2</v>
          </cell>
          <cell r="H428" t="str">
            <v>Within 1 mile</v>
          </cell>
          <cell r="I428">
            <v>3352749869</v>
          </cell>
        </row>
        <row r="429">
          <cell r="G429">
            <v>4</v>
          </cell>
          <cell r="H429" t="str">
            <v>Within 165 feet</v>
          </cell>
          <cell r="I429">
            <v>3337410366</v>
          </cell>
        </row>
        <row r="430">
          <cell r="G430">
            <v>1</v>
          </cell>
          <cell r="H430" t="str">
            <v>Not Verified to be within 1 mile</v>
          </cell>
          <cell r="I430">
            <v>3342617610</v>
          </cell>
        </row>
        <row r="431">
          <cell r="G431">
            <v>2</v>
          </cell>
          <cell r="H431" t="str">
            <v>Within 1 mile</v>
          </cell>
          <cell r="I431">
            <v>3352750163</v>
          </cell>
        </row>
        <row r="432">
          <cell r="G432">
            <v>1</v>
          </cell>
          <cell r="H432" t="str">
            <v>Not verified to be within 1 mile</v>
          </cell>
          <cell r="I432">
            <v>3349560300</v>
          </cell>
        </row>
        <row r="433">
          <cell r="G433">
            <v>1</v>
          </cell>
          <cell r="H433" t="str">
            <v>Not Verified to be within 1 mile</v>
          </cell>
          <cell r="I433">
            <v>3342618083</v>
          </cell>
        </row>
        <row r="434">
          <cell r="G434">
            <v>2</v>
          </cell>
          <cell r="H434" t="str">
            <v>Not verified to be within 1 mile</v>
          </cell>
          <cell r="I434">
            <v>3349560319</v>
          </cell>
        </row>
        <row r="435">
          <cell r="G435">
            <v>3</v>
          </cell>
          <cell r="H435" t="str">
            <v>Within 1 mile</v>
          </cell>
          <cell r="I435">
            <v>3342617815</v>
          </cell>
        </row>
        <row r="436">
          <cell r="G436">
            <v>3</v>
          </cell>
          <cell r="H436" t="str">
            <v>Within 40 feet</v>
          </cell>
          <cell r="I436">
            <v>3337427840</v>
          </cell>
        </row>
        <row r="437">
          <cell r="G437">
            <v>2</v>
          </cell>
          <cell r="H437" t="str">
            <v>Within 1 mile</v>
          </cell>
          <cell r="I437">
            <v>3352749868</v>
          </cell>
        </row>
        <row r="438">
          <cell r="G438">
            <v>2</v>
          </cell>
          <cell r="H438" t="str">
            <v>Within 1 mile</v>
          </cell>
          <cell r="I438">
            <v>3342617926</v>
          </cell>
        </row>
        <row r="439">
          <cell r="G439">
            <v>1</v>
          </cell>
          <cell r="H439" t="str">
            <v>Not verified to be within 1 mile</v>
          </cell>
          <cell r="I439">
            <v>3337410454</v>
          </cell>
        </row>
        <row r="440">
          <cell r="G440">
            <v>0</v>
          </cell>
          <cell r="H440" t="str">
            <v>Not Verified to be within 1 mile</v>
          </cell>
          <cell r="I440">
            <v>3342618404</v>
          </cell>
        </row>
        <row r="441">
          <cell r="G441">
            <v>4</v>
          </cell>
          <cell r="H441" t="str">
            <v>Within 40 feet</v>
          </cell>
          <cell r="I441">
            <v>3353097802</v>
          </cell>
        </row>
        <row r="442">
          <cell r="G442">
            <v>7</v>
          </cell>
          <cell r="H442" t="str">
            <v>Within 1 mile</v>
          </cell>
          <cell r="I442">
            <v>3337410466</v>
          </cell>
        </row>
        <row r="443">
          <cell r="G443">
            <v>2</v>
          </cell>
          <cell r="H443" t="str">
            <v>Within 1 mile</v>
          </cell>
          <cell r="I443">
            <v>3337410469</v>
          </cell>
        </row>
        <row r="444">
          <cell r="G444">
            <v>12</v>
          </cell>
          <cell r="H444" t="str">
            <v>Within 165 feet</v>
          </cell>
          <cell r="I444">
            <v>3337410472</v>
          </cell>
        </row>
        <row r="445">
          <cell r="G445">
            <v>1</v>
          </cell>
          <cell r="H445" t="str">
            <v>Not verified to be within 1 mile</v>
          </cell>
          <cell r="I445">
            <v>3349560209</v>
          </cell>
        </row>
        <row r="446">
          <cell r="G446">
            <v>2</v>
          </cell>
          <cell r="H446" t="str">
            <v>Within 1 mile</v>
          </cell>
          <cell r="I446">
            <v>3337410499</v>
          </cell>
        </row>
        <row r="447">
          <cell r="G447">
            <v>1</v>
          </cell>
          <cell r="H447" t="str">
            <v>Within 1 mile</v>
          </cell>
          <cell r="I447">
            <v>3342617830</v>
          </cell>
        </row>
        <row r="448">
          <cell r="G448">
            <v>2</v>
          </cell>
          <cell r="H448" t="str">
            <v>Within 1 mile</v>
          </cell>
          <cell r="I448">
            <v>3352749882</v>
          </cell>
        </row>
        <row r="449">
          <cell r="G449">
            <v>1</v>
          </cell>
          <cell r="H449" t="str">
            <v>Not verified to be within 1 mile</v>
          </cell>
          <cell r="I449">
            <v>3349559921</v>
          </cell>
        </row>
        <row r="450">
          <cell r="G450">
            <v>5</v>
          </cell>
          <cell r="H450" t="str">
            <v>Not Verified to be within 1 mile</v>
          </cell>
          <cell r="I450">
            <v>3342618330</v>
          </cell>
        </row>
        <row r="451">
          <cell r="G451">
            <v>8</v>
          </cell>
          <cell r="H451" t="str">
            <v>Within 40 feet</v>
          </cell>
          <cell r="I451">
            <v>3337410535</v>
          </cell>
        </row>
        <row r="452">
          <cell r="G452">
            <v>2</v>
          </cell>
          <cell r="H452" t="str">
            <v>Within 1 mile</v>
          </cell>
          <cell r="I452">
            <v>3337410539</v>
          </cell>
        </row>
        <row r="453">
          <cell r="G453">
            <v>2</v>
          </cell>
          <cell r="H453" t="str">
            <v>Not verified to be within 1 mile</v>
          </cell>
          <cell r="I453">
            <v>3349559748</v>
          </cell>
        </row>
        <row r="454">
          <cell r="G454">
            <v>1</v>
          </cell>
          <cell r="H454" t="str">
            <v>Within 1 mile</v>
          </cell>
          <cell r="I454">
            <v>3337410598</v>
          </cell>
        </row>
        <row r="455">
          <cell r="G455">
            <v>3</v>
          </cell>
          <cell r="H455" t="str">
            <v>Within 1 mile</v>
          </cell>
          <cell r="I455">
            <v>3337427581</v>
          </cell>
        </row>
        <row r="456">
          <cell r="G456">
            <v>1</v>
          </cell>
          <cell r="H456" t="str">
            <v>Within 1 mile</v>
          </cell>
          <cell r="I456">
            <v>3337410635</v>
          </cell>
        </row>
        <row r="457">
          <cell r="G457">
            <v>4</v>
          </cell>
          <cell r="H457" t="str">
            <v>Within 165 feet</v>
          </cell>
          <cell r="I457">
            <v>3337410647</v>
          </cell>
        </row>
        <row r="458">
          <cell r="G458">
            <v>1</v>
          </cell>
          <cell r="H458" t="str">
            <v>Not verified to be within 1 mile</v>
          </cell>
          <cell r="I458">
            <v>3349559767</v>
          </cell>
        </row>
        <row r="459">
          <cell r="G459">
            <v>1</v>
          </cell>
          <cell r="H459" t="str">
            <v>Within 1 mile</v>
          </cell>
          <cell r="I459">
            <v>3337410672</v>
          </cell>
        </row>
        <row r="460">
          <cell r="G460">
            <v>2</v>
          </cell>
          <cell r="H460" t="str">
            <v>Within 1 mile</v>
          </cell>
          <cell r="I460">
            <v>3342617609</v>
          </cell>
        </row>
        <row r="461">
          <cell r="G461">
            <v>2</v>
          </cell>
          <cell r="H461" t="str">
            <v>Within 40 feet</v>
          </cell>
          <cell r="I461">
            <v>3349559632</v>
          </cell>
        </row>
        <row r="462">
          <cell r="G462">
            <v>1</v>
          </cell>
          <cell r="H462" t="str">
            <v>Within 1 mile</v>
          </cell>
          <cell r="I462">
            <v>3352750020</v>
          </cell>
        </row>
        <row r="463">
          <cell r="G463">
            <v>1</v>
          </cell>
          <cell r="H463" t="str">
            <v>Not Verified to be within 1 mile</v>
          </cell>
          <cell r="I463">
            <v>3337410691</v>
          </cell>
        </row>
        <row r="464">
          <cell r="G464">
            <v>2</v>
          </cell>
          <cell r="H464" t="str">
            <v>Not Verified to be within 1 mile</v>
          </cell>
          <cell r="I464">
            <v>3342617891</v>
          </cell>
        </row>
        <row r="465">
          <cell r="G465">
            <v>1</v>
          </cell>
          <cell r="H465" t="str">
            <v>Within 1 mile</v>
          </cell>
          <cell r="I465">
            <v>3337410713</v>
          </cell>
        </row>
        <row r="466">
          <cell r="G466">
            <v>5</v>
          </cell>
          <cell r="H466" t="str">
            <v>Within 40 feet</v>
          </cell>
          <cell r="I466">
            <v>3337410744</v>
          </cell>
        </row>
        <row r="467">
          <cell r="G467">
            <v>1</v>
          </cell>
          <cell r="H467" t="str">
            <v>Within 1 mile</v>
          </cell>
          <cell r="I467">
            <v>3342618304</v>
          </cell>
        </row>
        <row r="468">
          <cell r="G468">
            <v>2</v>
          </cell>
          <cell r="H468" t="str">
            <v>Within 165 feet</v>
          </cell>
          <cell r="I468">
            <v>3353097786</v>
          </cell>
        </row>
        <row r="469">
          <cell r="G469">
            <v>2</v>
          </cell>
          <cell r="H469" t="str">
            <v>Within 1 mile</v>
          </cell>
          <cell r="I469">
            <v>3337430102</v>
          </cell>
        </row>
        <row r="470">
          <cell r="G470">
            <v>4</v>
          </cell>
          <cell r="H470" t="str">
            <v>Within 165 feet</v>
          </cell>
          <cell r="I470">
            <v>3349560046</v>
          </cell>
        </row>
        <row r="471">
          <cell r="G471">
            <v>4</v>
          </cell>
          <cell r="H471" t="str">
            <v>Within 40 feet</v>
          </cell>
          <cell r="I471">
            <v>3337410784</v>
          </cell>
        </row>
        <row r="472">
          <cell r="G472">
            <v>5</v>
          </cell>
          <cell r="H472" t="str">
            <v>Not verified to be within 1 mile</v>
          </cell>
          <cell r="I472">
            <v>3349560357</v>
          </cell>
        </row>
        <row r="473">
          <cell r="G473">
            <v>1</v>
          </cell>
          <cell r="H473" t="str">
            <v>Not verified to be within 1 mile</v>
          </cell>
          <cell r="I473">
            <v>3349559847</v>
          </cell>
        </row>
        <row r="474">
          <cell r="G474">
            <v>2</v>
          </cell>
          <cell r="H474" t="str">
            <v>Within 1 mile</v>
          </cell>
          <cell r="I474">
            <v>3353097532</v>
          </cell>
        </row>
        <row r="475">
          <cell r="G475">
            <v>2</v>
          </cell>
          <cell r="H475" t="str">
            <v>Within 1 mile</v>
          </cell>
          <cell r="I475">
            <v>3352749877</v>
          </cell>
        </row>
        <row r="476">
          <cell r="G476">
            <v>1</v>
          </cell>
          <cell r="H476" t="str">
            <v>Not verified to be within 1 mile</v>
          </cell>
          <cell r="I476">
            <v>3349559949</v>
          </cell>
        </row>
        <row r="477">
          <cell r="G477">
            <v>1</v>
          </cell>
          <cell r="H477" t="str">
            <v>Not verified to be within 1 mile</v>
          </cell>
          <cell r="I477">
            <v>3349559926</v>
          </cell>
        </row>
        <row r="478">
          <cell r="G478">
            <v>3</v>
          </cell>
          <cell r="H478" t="str">
            <v>Within 1 mile</v>
          </cell>
          <cell r="I478">
            <v>3337410875</v>
          </cell>
        </row>
        <row r="479">
          <cell r="G479">
            <v>5</v>
          </cell>
          <cell r="H479" t="str">
            <v>Within 1 mile</v>
          </cell>
          <cell r="I479">
            <v>3337410884</v>
          </cell>
        </row>
        <row r="480">
          <cell r="G480">
            <v>2</v>
          </cell>
          <cell r="H480" t="str">
            <v>Within 1 mile</v>
          </cell>
          <cell r="I480">
            <v>3337427325</v>
          </cell>
        </row>
        <row r="481">
          <cell r="G481">
            <v>5</v>
          </cell>
          <cell r="H481" t="str">
            <v>Not verified to be within 1 mile</v>
          </cell>
          <cell r="I481">
            <v>3349559940</v>
          </cell>
        </row>
        <row r="482">
          <cell r="G482">
            <v>2</v>
          </cell>
          <cell r="H482" t="str">
            <v>Not verified to be within 1 mile</v>
          </cell>
          <cell r="I482">
            <v>3337410893</v>
          </cell>
        </row>
        <row r="483">
          <cell r="G483">
            <v>1</v>
          </cell>
          <cell r="H483" t="str">
            <v>Within 1 mile</v>
          </cell>
          <cell r="I483">
            <v>3337410898</v>
          </cell>
        </row>
        <row r="484">
          <cell r="G484">
            <v>2</v>
          </cell>
          <cell r="H484" t="str">
            <v>Within 1 mile</v>
          </cell>
          <cell r="I484">
            <v>3337410924</v>
          </cell>
        </row>
        <row r="485">
          <cell r="G485">
            <v>4</v>
          </cell>
          <cell r="H485" t="str">
            <v>Within 1 mile</v>
          </cell>
          <cell r="I485">
            <v>3337427366</v>
          </cell>
        </row>
        <row r="486">
          <cell r="G486">
            <v>2</v>
          </cell>
          <cell r="H486" t="str">
            <v>Within 1 mile</v>
          </cell>
          <cell r="I486">
            <v>3337410952</v>
          </cell>
        </row>
        <row r="487">
          <cell r="G487">
            <v>3</v>
          </cell>
          <cell r="H487" t="str">
            <v>Within 165 feet</v>
          </cell>
          <cell r="I487">
            <v>3342617491</v>
          </cell>
        </row>
        <row r="488">
          <cell r="G488">
            <v>13</v>
          </cell>
          <cell r="H488" t="str">
            <v>Within 1 mile</v>
          </cell>
          <cell r="I488">
            <v>3337411001</v>
          </cell>
        </row>
        <row r="489">
          <cell r="G489">
            <v>2</v>
          </cell>
          <cell r="H489" t="str">
            <v>Within 1 mile</v>
          </cell>
          <cell r="I489">
            <v>3352749885</v>
          </cell>
        </row>
        <row r="490">
          <cell r="G490">
            <v>2</v>
          </cell>
          <cell r="H490" t="str">
            <v>Within 165 feet</v>
          </cell>
          <cell r="I490">
            <v>3337411020</v>
          </cell>
        </row>
        <row r="491">
          <cell r="G491">
            <v>1</v>
          </cell>
          <cell r="H491" t="str">
            <v>Within 1 mile</v>
          </cell>
          <cell r="I491">
            <v>3337411021</v>
          </cell>
        </row>
        <row r="492">
          <cell r="G492">
            <v>2</v>
          </cell>
          <cell r="H492" t="str">
            <v>Within 40 feet</v>
          </cell>
          <cell r="I492">
            <v>3337411027</v>
          </cell>
        </row>
        <row r="493">
          <cell r="G493">
            <v>5</v>
          </cell>
          <cell r="H493" t="str">
            <v>Within 1 mile</v>
          </cell>
          <cell r="I493">
            <v>3337411049</v>
          </cell>
        </row>
        <row r="494">
          <cell r="G494">
            <v>2</v>
          </cell>
          <cell r="H494" t="str">
            <v>Within 1 mile</v>
          </cell>
          <cell r="I494">
            <v>3342618370</v>
          </cell>
        </row>
        <row r="495">
          <cell r="G495">
            <v>1</v>
          </cell>
          <cell r="H495" t="str">
            <v>Within 1 mile</v>
          </cell>
          <cell r="I495">
            <v>3337411078</v>
          </cell>
        </row>
        <row r="496">
          <cell r="G496">
            <v>2</v>
          </cell>
          <cell r="H496" t="str">
            <v>Within 1 mile</v>
          </cell>
          <cell r="I496">
            <v>3341136760</v>
          </cell>
        </row>
        <row r="497">
          <cell r="G497">
            <v>3</v>
          </cell>
          <cell r="H497" t="str">
            <v>Within 1 mile</v>
          </cell>
          <cell r="I497">
            <v>3337411105</v>
          </cell>
        </row>
        <row r="498">
          <cell r="G498">
            <v>4</v>
          </cell>
          <cell r="H498" t="str">
            <v>Within 1 mile</v>
          </cell>
          <cell r="I498">
            <v>3337411112</v>
          </cell>
        </row>
        <row r="499">
          <cell r="G499">
            <v>2</v>
          </cell>
          <cell r="H499" t="str">
            <v>Within 1 mile</v>
          </cell>
          <cell r="I499">
            <v>3352749835</v>
          </cell>
        </row>
        <row r="500">
          <cell r="G500">
            <v>2</v>
          </cell>
          <cell r="H500" t="str">
            <v>Not verified to be within 1 mile</v>
          </cell>
          <cell r="I500">
            <v>3349560032</v>
          </cell>
        </row>
        <row r="501">
          <cell r="G501">
            <v>2</v>
          </cell>
          <cell r="H501" t="str">
            <v>Within 1 mile</v>
          </cell>
          <cell r="I501">
            <v>3342618088</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Overview"/>
      <sheetName val="Update Log"/>
      <sheetName val="MLIST"/>
      <sheetName val="FILES"/>
      <sheetName val="APPLIC"/>
      <sheetName val="FEAS"/>
      <sheetName val="BASE"/>
      <sheetName val="STOCK"/>
      <sheetName val="TURN"/>
      <sheetName val="ACHIEV"/>
      <sheetName val="CODE"/>
      <sheetName val="SATS"/>
      <sheetName val="Bldgs"/>
      <sheetName val="Vars"/>
      <sheetName val="taxonomy"/>
      <sheetName val="Lookup"/>
      <sheetName val="UEC"/>
      <sheetName val="Tracking Status"/>
      <sheetName val="Res_Master"/>
    </sheetNames>
    <definedNames>
      <definedName name="ResApplic" refersTo="='APPLIC'!$B$8:$F$119"/>
    </definedNames>
    <sheetDataSet>
      <sheetData sheetId="0"/>
      <sheetData sheetId="1"/>
      <sheetData sheetId="2">
        <row r="75">
          <cell r="B75" t="str">
            <v>Controls Commissioning and Sizing</v>
          </cell>
        </row>
        <row r="76">
          <cell r="B76" t="str">
            <v>Controls Commissioning and Sizing</v>
          </cell>
        </row>
      </sheetData>
      <sheetData sheetId="3">
        <row r="4">
          <cell r="H4">
            <v>2035</v>
          </cell>
        </row>
      </sheetData>
      <sheetData sheetId="4">
        <row r="8">
          <cell r="B8" t="str">
            <v>Measure Index Name</v>
          </cell>
          <cell r="C8" t="str">
            <v>Single Family</v>
          </cell>
          <cell r="D8" t="str">
            <v>Multifamily - Low Rise</v>
          </cell>
          <cell r="E8" t="str">
            <v>Multifamily - High Rise</v>
          </cell>
          <cell r="F8" t="str">
            <v>Manufactured</v>
          </cell>
        </row>
        <row r="9">
          <cell r="B9" t="str">
            <v>Lighting - New</v>
          </cell>
          <cell r="C9">
            <v>0.76500000000000001</v>
          </cell>
          <cell r="D9">
            <v>0.76500000000000001</v>
          </cell>
          <cell r="E9">
            <v>0.76500000000000001</v>
          </cell>
          <cell r="F9">
            <v>0.76500000000000001</v>
          </cell>
        </row>
        <row r="10">
          <cell r="B10" t="str">
            <v>Lighting - NR</v>
          </cell>
          <cell r="C10">
            <v>0.9</v>
          </cell>
          <cell r="D10">
            <v>0.9</v>
          </cell>
          <cell r="E10">
            <v>0.9</v>
          </cell>
          <cell r="F10">
            <v>0.9</v>
          </cell>
        </row>
        <row r="11">
          <cell r="B11" t="str">
            <v>Lighting - PPA</v>
          </cell>
          <cell r="C11">
            <v>0.9</v>
          </cell>
          <cell r="D11">
            <v>0.9</v>
          </cell>
          <cell r="E11">
            <v>0.9</v>
          </cell>
          <cell r="F11">
            <v>0.9</v>
          </cell>
        </row>
        <row r="12">
          <cell r="B12" t="str">
            <v>Dishwasher - New</v>
          </cell>
          <cell r="C12">
            <v>1</v>
          </cell>
          <cell r="D12">
            <v>1</v>
          </cell>
          <cell r="E12">
            <v>1</v>
          </cell>
          <cell r="F12">
            <v>1</v>
          </cell>
        </row>
        <row r="13">
          <cell r="B13" t="str">
            <v>Dishwasher - NR</v>
          </cell>
          <cell r="C13">
            <v>1</v>
          </cell>
          <cell r="D13">
            <v>1</v>
          </cell>
          <cell r="E13">
            <v>1</v>
          </cell>
          <cell r="F13">
            <v>1</v>
          </cell>
        </row>
        <row r="14">
          <cell r="B14" t="str">
            <v>Clothes Washer - New</v>
          </cell>
          <cell r="C14">
            <v>1</v>
          </cell>
          <cell r="D14">
            <v>0.75</v>
          </cell>
          <cell r="E14">
            <v>0.75</v>
          </cell>
          <cell r="F14">
            <v>1</v>
          </cell>
        </row>
        <row r="15">
          <cell r="B15" t="str">
            <v>Clothes Washer - NR</v>
          </cell>
          <cell r="C15">
            <v>1</v>
          </cell>
          <cell r="D15">
            <v>0.75</v>
          </cell>
          <cell r="E15">
            <v>0.75</v>
          </cell>
          <cell r="F15">
            <v>1</v>
          </cell>
        </row>
        <row r="16">
          <cell r="B16" t="str">
            <v>WasteWater Heat Recovery - New</v>
          </cell>
          <cell r="C16">
            <v>0.9</v>
          </cell>
          <cell r="D16">
            <v>0.5</v>
          </cell>
          <cell r="E16">
            <v>0.9</v>
          </cell>
          <cell r="F16">
            <v>0</v>
          </cell>
        </row>
        <row r="17">
          <cell r="B17" t="str">
            <v>Showerheads - New</v>
          </cell>
          <cell r="C17">
            <v>0.51600000000000001</v>
          </cell>
          <cell r="D17">
            <v>0.58000000000000007</v>
          </cell>
          <cell r="E17">
            <v>0.58000000000000007</v>
          </cell>
          <cell r="F17">
            <v>0.33999999999999997</v>
          </cell>
        </row>
        <row r="18">
          <cell r="B18" t="str">
            <v>Showerheads - Retro</v>
          </cell>
          <cell r="C18">
            <v>0.44247428657992416</v>
          </cell>
          <cell r="D18">
            <v>0.58000000000000007</v>
          </cell>
          <cell r="E18">
            <v>0.58000000000000007</v>
          </cell>
          <cell r="F18">
            <v>0.33999999999999997</v>
          </cell>
        </row>
        <row r="19">
          <cell r="B19" t="str">
            <v>HPWH - New</v>
          </cell>
          <cell r="C19">
            <v>0.94904999999999995</v>
          </cell>
          <cell r="D19">
            <v>0</v>
          </cell>
          <cell r="E19">
            <v>0</v>
          </cell>
          <cell r="F19">
            <v>0.95</v>
          </cell>
        </row>
        <row r="20">
          <cell r="B20" t="str">
            <v>HPWH - NR</v>
          </cell>
          <cell r="C20">
            <v>0.94904999999999995</v>
          </cell>
          <cell r="D20">
            <v>0</v>
          </cell>
          <cell r="E20">
            <v>0</v>
          </cell>
          <cell r="F20">
            <v>0.95</v>
          </cell>
        </row>
        <row r="21">
          <cell r="B21" t="str">
            <v>EV Supply Equip - NR</v>
          </cell>
          <cell r="C21">
            <v>0.89100000000000001</v>
          </cell>
          <cell r="D21">
            <v>0</v>
          </cell>
          <cell r="E21">
            <v>0</v>
          </cell>
          <cell r="F21">
            <v>0</v>
          </cell>
        </row>
        <row r="22">
          <cell r="B22" t="str">
            <v>Clothes Dryer - New</v>
          </cell>
          <cell r="C22">
            <v>0.9</v>
          </cell>
          <cell r="D22">
            <v>0.9</v>
          </cell>
          <cell r="E22">
            <v>0.9</v>
          </cell>
          <cell r="F22">
            <v>0.9</v>
          </cell>
        </row>
        <row r="23">
          <cell r="B23" t="str">
            <v>Clothes Dryer - NR</v>
          </cell>
          <cell r="C23">
            <v>0.9</v>
          </cell>
          <cell r="D23">
            <v>0.9</v>
          </cell>
          <cell r="E23">
            <v>0.9</v>
          </cell>
          <cell r="F23">
            <v>0.9</v>
          </cell>
        </row>
        <row r="24">
          <cell r="B24" t="str">
            <v>Refrigerator - New</v>
          </cell>
          <cell r="C24">
            <v>1</v>
          </cell>
          <cell r="D24">
            <v>1</v>
          </cell>
          <cell r="E24">
            <v>1</v>
          </cell>
          <cell r="F24">
            <v>1</v>
          </cell>
        </row>
        <row r="25">
          <cell r="B25" t="str">
            <v>Refrigerator - NR</v>
          </cell>
          <cell r="C25">
            <v>1</v>
          </cell>
          <cell r="D25">
            <v>1</v>
          </cell>
          <cell r="E25">
            <v>1</v>
          </cell>
          <cell r="F25">
            <v>1</v>
          </cell>
        </row>
        <row r="26">
          <cell r="B26" t="str">
            <v>Freezer - New</v>
          </cell>
          <cell r="C26">
            <v>1</v>
          </cell>
          <cell r="D26">
            <v>1</v>
          </cell>
          <cell r="E26">
            <v>1</v>
          </cell>
          <cell r="F26">
            <v>1</v>
          </cell>
        </row>
        <row r="27">
          <cell r="B27" t="str">
            <v>Freezer - NR</v>
          </cell>
          <cell r="C27">
            <v>1</v>
          </cell>
          <cell r="D27">
            <v>1</v>
          </cell>
          <cell r="E27">
            <v>1</v>
          </cell>
          <cell r="F27">
            <v>1</v>
          </cell>
        </row>
        <row r="28">
          <cell r="B28" t="str">
            <v>Solar Water Heater - New</v>
          </cell>
          <cell r="C28">
            <v>0.2475</v>
          </cell>
          <cell r="D28">
            <v>0.25</v>
          </cell>
          <cell r="E28">
            <v>0</v>
          </cell>
          <cell r="F28">
            <v>0</v>
          </cell>
        </row>
        <row r="29">
          <cell r="B29" t="str">
            <v>Solar Water Heater - NR</v>
          </cell>
          <cell r="C29">
            <v>0.2475</v>
          </cell>
          <cell r="D29">
            <v>0.25</v>
          </cell>
          <cell r="E29">
            <v>0</v>
          </cell>
          <cell r="F29">
            <v>0</v>
          </cell>
        </row>
        <row r="30">
          <cell r="B30" t="str">
            <v>Solar Water Heater - Retro</v>
          </cell>
          <cell r="C30">
            <v>0.2475</v>
          </cell>
          <cell r="D30">
            <v>0.25</v>
          </cell>
          <cell r="E30">
            <v>0</v>
          </cell>
          <cell r="F30">
            <v>0</v>
          </cell>
        </row>
        <row r="31">
          <cell r="B31">
            <v>0</v>
          </cell>
          <cell r="C31">
            <v>0</v>
          </cell>
          <cell r="D31">
            <v>0</v>
          </cell>
          <cell r="E31">
            <v>0</v>
          </cell>
          <cell r="F31">
            <v>0</v>
          </cell>
        </row>
        <row r="32">
          <cell r="B32">
            <v>0</v>
          </cell>
          <cell r="C32">
            <v>0</v>
          </cell>
          <cell r="D32">
            <v>0</v>
          </cell>
          <cell r="E32">
            <v>0</v>
          </cell>
          <cell r="F32">
            <v>0</v>
          </cell>
        </row>
        <row r="33">
          <cell r="B33" t="str">
            <v>Electric Oven - New</v>
          </cell>
          <cell r="C33">
            <v>0.9</v>
          </cell>
          <cell r="D33">
            <v>0.9</v>
          </cell>
          <cell r="E33">
            <v>0.9</v>
          </cell>
          <cell r="F33">
            <v>0.9</v>
          </cell>
        </row>
        <row r="34">
          <cell r="B34" t="str">
            <v>Electric Oven - NR</v>
          </cell>
          <cell r="C34">
            <v>0.9</v>
          </cell>
          <cell r="D34">
            <v>0.9</v>
          </cell>
          <cell r="E34">
            <v>0.9</v>
          </cell>
          <cell r="F34">
            <v>0.9</v>
          </cell>
        </row>
        <row r="35">
          <cell r="B35" t="str">
            <v>Microwave - New</v>
          </cell>
          <cell r="C35">
            <v>1</v>
          </cell>
          <cell r="D35">
            <v>1</v>
          </cell>
          <cell r="E35">
            <v>1</v>
          </cell>
          <cell r="F35">
            <v>1</v>
          </cell>
        </row>
        <row r="36">
          <cell r="B36" t="str">
            <v>Microwave - NR</v>
          </cell>
          <cell r="C36">
            <v>1</v>
          </cell>
          <cell r="D36">
            <v>1</v>
          </cell>
          <cell r="E36">
            <v>1</v>
          </cell>
          <cell r="F36">
            <v>1</v>
          </cell>
        </row>
        <row r="37">
          <cell r="B37" t="str">
            <v>Monitor - New</v>
          </cell>
          <cell r="C37">
            <v>0.44999999999999996</v>
          </cell>
          <cell r="D37">
            <v>0.44999999999999996</v>
          </cell>
          <cell r="E37">
            <v>0.44999999999999996</v>
          </cell>
          <cell r="F37">
            <v>0.44999999999999996</v>
          </cell>
        </row>
        <row r="38">
          <cell r="B38" t="str">
            <v>Monitor - NR</v>
          </cell>
          <cell r="C38">
            <v>0.44999999999999996</v>
          </cell>
          <cell r="D38">
            <v>0.44999999999999996</v>
          </cell>
          <cell r="E38">
            <v>0.44999999999999996</v>
          </cell>
          <cell r="F38">
            <v>0.44999999999999996</v>
          </cell>
        </row>
        <row r="39">
          <cell r="B39" t="str">
            <v>Desktop - New</v>
          </cell>
          <cell r="C39">
            <v>0.75</v>
          </cell>
          <cell r="D39">
            <v>0.75</v>
          </cell>
          <cell r="E39">
            <v>0.75</v>
          </cell>
          <cell r="F39">
            <v>0.75</v>
          </cell>
        </row>
        <row r="40">
          <cell r="B40" t="str">
            <v>Desktop - NR</v>
          </cell>
          <cell r="C40">
            <v>0.75</v>
          </cell>
          <cell r="D40">
            <v>0.75</v>
          </cell>
          <cell r="E40">
            <v>0.75</v>
          </cell>
          <cell r="F40">
            <v>0.75</v>
          </cell>
        </row>
        <row r="41">
          <cell r="B41" t="str">
            <v>Laptop - New</v>
          </cell>
          <cell r="C41">
            <v>0.26</v>
          </cell>
          <cell r="D41">
            <v>0.26</v>
          </cell>
          <cell r="E41">
            <v>0.26</v>
          </cell>
          <cell r="F41">
            <v>0.26</v>
          </cell>
        </row>
        <row r="42">
          <cell r="B42" t="str">
            <v>Laptop - NR</v>
          </cell>
          <cell r="C42">
            <v>0.26</v>
          </cell>
          <cell r="D42">
            <v>0.26</v>
          </cell>
          <cell r="E42">
            <v>0.26</v>
          </cell>
          <cell r="F42">
            <v>0.26</v>
          </cell>
        </row>
        <row r="43">
          <cell r="B43" t="str">
            <v>Computer - New</v>
          </cell>
          <cell r="C43"/>
          <cell r="D43"/>
          <cell r="E43"/>
          <cell r="F43"/>
        </row>
        <row r="44">
          <cell r="B44" t="str">
            <v>Computer - NR</v>
          </cell>
          <cell r="C44"/>
          <cell r="D44"/>
          <cell r="E44"/>
          <cell r="F44"/>
        </row>
        <row r="45">
          <cell r="B45" t="str">
            <v>ASHP - New</v>
          </cell>
          <cell r="C45">
            <v>0.88200000000000001</v>
          </cell>
          <cell r="D45">
            <v>0.5</v>
          </cell>
          <cell r="E45">
            <v>0</v>
          </cell>
          <cell r="F45">
            <v>0.9</v>
          </cell>
        </row>
        <row r="46">
          <cell r="B46" t="str">
            <v>ASHP - NR</v>
          </cell>
          <cell r="C46">
            <v>0.73499999999999999</v>
          </cell>
          <cell r="D46">
            <v>0.5</v>
          </cell>
          <cell r="E46">
            <v>0</v>
          </cell>
          <cell r="F46">
            <v>0.25</v>
          </cell>
        </row>
        <row r="47">
          <cell r="B47" t="str">
            <v>HP - Retro</v>
          </cell>
          <cell r="C47">
            <v>0</v>
          </cell>
          <cell r="D47">
            <v>0</v>
          </cell>
          <cell r="E47">
            <v>0</v>
          </cell>
          <cell r="F47">
            <v>0</v>
          </cell>
        </row>
        <row r="48">
          <cell r="B48" t="str">
            <v>DHP - New</v>
          </cell>
          <cell r="C48">
            <v>0.97019999999999995</v>
          </cell>
          <cell r="D48">
            <v>0.99</v>
          </cell>
          <cell r="E48">
            <v>0</v>
          </cell>
          <cell r="F48">
            <v>0.99</v>
          </cell>
        </row>
        <row r="49">
          <cell r="B49" t="str">
            <v>DHP - NR</v>
          </cell>
          <cell r="C49">
            <v>0.97019999999999995</v>
          </cell>
          <cell r="D49">
            <v>0.99</v>
          </cell>
          <cell r="E49">
            <v>0</v>
          </cell>
          <cell r="F49">
            <v>0.99</v>
          </cell>
        </row>
        <row r="50">
          <cell r="B50" t="str">
            <v>DHP - Retro</v>
          </cell>
          <cell r="C50">
            <v>0</v>
          </cell>
          <cell r="D50">
            <v>0</v>
          </cell>
          <cell r="E50">
            <v>0</v>
          </cell>
          <cell r="F50">
            <v>0</v>
          </cell>
        </row>
        <row r="51">
          <cell r="B51" t="str">
            <v>Duct Sealing - New</v>
          </cell>
          <cell r="C51">
            <v>0.4519771928174614</v>
          </cell>
          <cell r="D51">
            <v>0</v>
          </cell>
          <cell r="E51">
            <v>0</v>
          </cell>
          <cell r="F51">
            <v>0.54161498247447359</v>
          </cell>
        </row>
        <row r="52">
          <cell r="B52" t="str">
            <v>Duct Sealing - Retro</v>
          </cell>
          <cell r="C52">
            <v>0.4293783331765883</v>
          </cell>
          <cell r="D52">
            <v>0</v>
          </cell>
          <cell r="E52">
            <v>0</v>
          </cell>
          <cell r="F52">
            <v>0.51453423335074988</v>
          </cell>
        </row>
        <row r="53">
          <cell r="B53" t="str">
            <v>WIFI enabled tstats - New</v>
          </cell>
          <cell r="C53">
            <v>0.2</v>
          </cell>
          <cell r="D53">
            <v>0.2</v>
          </cell>
          <cell r="E53">
            <v>0</v>
          </cell>
          <cell r="F53">
            <v>0.2</v>
          </cell>
        </row>
        <row r="54">
          <cell r="B54" t="str">
            <v>WIFI enabled tstats - Retro</v>
          </cell>
          <cell r="C54">
            <v>0.19800000000000001</v>
          </cell>
          <cell r="D54">
            <v>0.19800000000000001</v>
          </cell>
          <cell r="E54">
            <v>0</v>
          </cell>
          <cell r="F54">
            <v>0.19800000000000001</v>
          </cell>
        </row>
        <row r="55">
          <cell r="B55" t="str">
            <v>Combo DHP/HPWH units - New</v>
          </cell>
          <cell r="C55">
            <v>0</v>
          </cell>
          <cell r="D55">
            <v>0</v>
          </cell>
          <cell r="E55">
            <v>0</v>
          </cell>
          <cell r="F55">
            <v>0</v>
          </cell>
        </row>
        <row r="56">
          <cell r="B56" t="str">
            <v>Combo DHP/HPWH units - NR</v>
          </cell>
          <cell r="C56">
            <v>0</v>
          </cell>
          <cell r="D56">
            <v>0</v>
          </cell>
          <cell r="E56">
            <v>0</v>
          </cell>
          <cell r="F56">
            <v>0</v>
          </cell>
        </row>
        <row r="57">
          <cell r="B57" t="str">
            <v>Combo DHP/HPWH units - Retro</v>
          </cell>
          <cell r="C57">
            <v>0</v>
          </cell>
          <cell r="D57">
            <v>0</v>
          </cell>
          <cell r="E57">
            <v>0</v>
          </cell>
          <cell r="F57">
            <v>0</v>
          </cell>
        </row>
        <row r="58">
          <cell r="B58" t="str">
            <v>Aerator - New</v>
          </cell>
          <cell r="C58">
            <v>0.315</v>
          </cell>
          <cell r="D58">
            <v>0.315</v>
          </cell>
          <cell r="E58">
            <v>0.315</v>
          </cell>
          <cell r="F58">
            <v>0.315</v>
          </cell>
        </row>
        <row r="59">
          <cell r="B59" t="str">
            <v>Aerator - Retro</v>
          </cell>
          <cell r="C59">
            <v>0.315</v>
          </cell>
          <cell r="D59">
            <v>0.315</v>
          </cell>
          <cell r="E59">
            <v>0.315</v>
          </cell>
          <cell r="F59">
            <v>0.315</v>
          </cell>
        </row>
        <row r="60">
          <cell r="B60" t="str">
            <v>Behavior - Retro</v>
          </cell>
          <cell r="C60">
            <v>0.48999999999999994</v>
          </cell>
          <cell r="D60">
            <v>0.48999999999999994</v>
          </cell>
          <cell r="E60">
            <v>0.48999999999999994</v>
          </cell>
          <cell r="F60">
            <v>0.48999999999999994</v>
          </cell>
        </row>
        <row r="61">
          <cell r="B61" t="str">
            <v>Behavior - New</v>
          </cell>
          <cell r="C61">
            <v>0.48999999999999994</v>
          </cell>
          <cell r="D61">
            <v>0.48999999999999994</v>
          </cell>
          <cell r="E61">
            <v>0.48999999999999994</v>
          </cell>
          <cell r="F61">
            <v>0.48999999999999994</v>
          </cell>
        </row>
        <row r="62">
          <cell r="B62">
            <v>0</v>
          </cell>
          <cell r="C62">
            <v>0</v>
          </cell>
          <cell r="D62">
            <v>0</v>
          </cell>
          <cell r="E62">
            <v>0</v>
          </cell>
          <cell r="F62">
            <v>0</v>
          </cell>
        </row>
        <row r="63">
          <cell r="B63" t="str">
            <v>Heat Recovery Ventilation - New</v>
          </cell>
          <cell r="C63">
            <v>0.89100000000000001</v>
          </cell>
          <cell r="D63">
            <v>0</v>
          </cell>
          <cell r="E63">
            <v>0</v>
          </cell>
          <cell r="F63">
            <v>0</v>
          </cell>
        </row>
        <row r="64">
          <cell r="B64" t="str">
            <v>GSHP - New</v>
          </cell>
          <cell r="C64">
            <v>0.12485156673907999</v>
          </cell>
          <cell r="D64">
            <v>0</v>
          </cell>
          <cell r="E64">
            <v>0</v>
          </cell>
          <cell r="F64">
            <v>0</v>
          </cell>
        </row>
        <row r="65">
          <cell r="B65" t="str">
            <v>GSHP - NR</v>
          </cell>
          <cell r="C65">
            <v>0.12485156673907999</v>
          </cell>
          <cell r="D65">
            <v>0</v>
          </cell>
          <cell r="E65">
            <v>0</v>
          </cell>
          <cell r="F65">
            <v>0</v>
          </cell>
        </row>
        <row r="66">
          <cell r="B66">
            <v>0</v>
          </cell>
          <cell r="C66">
            <v>0</v>
          </cell>
          <cell r="D66">
            <v>0</v>
          </cell>
          <cell r="E66">
            <v>0</v>
          </cell>
          <cell r="F66">
            <v>0</v>
          </cell>
        </row>
        <row r="67">
          <cell r="B67" t="str">
            <v>ECM for HVAC ventilation - New</v>
          </cell>
          <cell r="C67">
            <v>0</v>
          </cell>
          <cell r="D67">
            <v>0</v>
          </cell>
          <cell r="E67">
            <v>0</v>
          </cell>
          <cell r="F67">
            <v>0</v>
          </cell>
        </row>
        <row r="68">
          <cell r="B68" t="str">
            <v>ECM for HVAC ventilation - NR</v>
          </cell>
          <cell r="C68">
            <v>0</v>
          </cell>
          <cell r="D68">
            <v>0</v>
          </cell>
          <cell r="E68">
            <v>0</v>
          </cell>
          <cell r="F68">
            <v>0</v>
          </cell>
        </row>
        <row r="69">
          <cell r="B69" t="str">
            <v>Whole house/attic fan - New</v>
          </cell>
          <cell r="C69">
            <v>0</v>
          </cell>
          <cell r="D69">
            <v>0</v>
          </cell>
          <cell r="E69">
            <v>0</v>
          </cell>
          <cell r="F69">
            <v>0</v>
          </cell>
        </row>
        <row r="70">
          <cell r="B70" t="str">
            <v>Whole house/attic fan - Retro</v>
          </cell>
          <cell r="C70">
            <v>0</v>
          </cell>
          <cell r="D70">
            <v>0</v>
          </cell>
          <cell r="E70">
            <v>0</v>
          </cell>
          <cell r="F70">
            <v>0</v>
          </cell>
        </row>
        <row r="71">
          <cell r="B71" t="str">
            <v>WH Pipe insulation - Retro</v>
          </cell>
          <cell r="C71">
            <v>0</v>
          </cell>
          <cell r="D71">
            <v>0</v>
          </cell>
          <cell r="E71">
            <v>0</v>
          </cell>
          <cell r="F71">
            <v>0</v>
          </cell>
        </row>
        <row r="72">
          <cell r="B72" t="str">
            <v>DHP Ducted - NR</v>
          </cell>
          <cell r="C72">
            <v>0.2475</v>
          </cell>
          <cell r="D72">
            <v>0</v>
          </cell>
          <cell r="E72">
            <v>0</v>
          </cell>
          <cell r="F72">
            <v>0.74249999999999994</v>
          </cell>
        </row>
        <row r="73">
          <cell r="B73" t="str">
            <v>Advanced Power Strips - New</v>
          </cell>
          <cell r="C73">
            <v>0.33660000000000001</v>
          </cell>
          <cell r="D73">
            <v>0.2475</v>
          </cell>
          <cell r="E73">
            <v>0.2475</v>
          </cell>
          <cell r="F73">
            <v>0.2475</v>
          </cell>
        </row>
        <row r="74">
          <cell r="B74" t="str">
            <v>Advanced Power Strips - Retro</v>
          </cell>
          <cell r="C74">
            <v>0.33660000000000001</v>
          </cell>
          <cell r="D74">
            <v>0.2475</v>
          </cell>
          <cell r="E74">
            <v>0.2475</v>
          </cell>
          <cell r="F74">
            <v>0.2475</v>
          </cell>
        </row>
        <row r="75">
          <cell r="B75" t="str">
            <v>Controls Commissioning and Sizing - New</v>
          </cell>
          <cell r="C75">
            <v>0.76</v>
          </cell>
          <cell r="D75">
            <v>0</v>
          </cell>
          <cell r="E75">
            <v>0</v>
          </cell>
          <cell r="F75">
            <v>0.76</v>
          </cell>
        </row>
        <row r="76">
          <cell r="B76" t="str">
            <v>Controls Commissioning and Sizing - NR</v>
          </cell>
          <cell r="C76">
            <v>0.76</v>
          </cell>
          <cell r="D76">
            <v>0</v>
          </cell>
          <cell r="E76">
            <v>0</v>
          </cell>
          <cell r="F76">
            <v>0.76</v>
          </cell>
        </row>
        <row r="77">
          <cell r="B77" t="str">
            <v>ResWx - Retro</v>
          </cell>
          <cell r="C77">
            <v>0.95</v>
          </cell>
          <cell r="D77">
            <v>1</v>
          </cell>
          <cell r="E77">
            <v>0</v>
          </cell>
          <cell r="F77">
            <v>0.95</v>
          </cell>
        </row>
        <row r="78">
          <cell r="B78" t="str">
            <v>ATTIC R0 - R19 - Retro</v>
          </cell>
          <cell r="C78">
            <v>0</v>
          </cell>
          <cell r="D78">
            <v>5.4136342171710254E-2</v>
          </cell>
          <cell r="E78">
            <v>0</v>
          </cell>
          <cell r="F78">
            <v>0</v>
          </cell>
        </row>
        <row r="79">
          <cell r="B79" t="str">
            <v>ATTIC R0 - R22 - Retro</v>
          </cell>
          <cell r="C79">
            <v>0</v>
          </cell>
          <cell r="D79">
            <v>0</v>
          </cell>
          <cell r="E79">
            <v>0</v>
          </cell>
          <cell r="F79">
            <v>1.7654231774693385E-2</v>
          </cell>
        </row>
        <row r="80">
          <cell r="B80" t="str">
            <v>ATTIC R0 - R30 - Retro</v>
          </cell>
          <cell r="C80">
            <v>0</v>
          </cell>
          <cell r="D80">
            <v>0</v>
          </cell>
          <cell r="E80">
            <v>0</v>
          </cell>
          <cell r="F80">
            <v>5.370909487280473E-2</v>
          </cell>
        </row>
        <row r="81">
          <cell r="B81" t="str">
            <v>ATTIC R0 - R38 - Retro</v>
          </cell>
          <cell r="C81">
            <v>3.0150417138103489E-2</v>
          </cell>
          <cell r="D81">
            <v>1.0754159339533284E-2</v>
          </cell>
          <cell r="E81">
            <v>0</v>
          </cell>
          <cell r="F81">
            <v>0</v>
          </cell>
        </row>
        <row r="82">
          <cell r="B82" t="str">
            <v>ATTIC R0 - R49 - Retro</v>
          </cell>
          <cell r="C82">
            <v>1.6064798296574784E-2</v>
          </cell>
          <cell r="D82">
            <v>6.4148166587866887E-2</v>
          </cell>
          <cell r="E82">
            <v>0</v>
          </cell>
          <cell r="F82">
            <v>0</v>
          </cell>
        </row>
        <row r="83">
          <cell r="B83" t="str">
            <v>ATTIC R11 - R30 - Retro</v>
          </cell>
          <cell r="C83">
            <v>0</v>
          </cell>
          <cell r="D83">
            <v>0</v>
          </cell>
          <cell r="E83">
            <v>0</v>
          </cell>
          <cell r="F83">
            <v>1.0533305070999921E-3</v>
          </cell>
        </row>
        <row r="84">
          <cell r="B84" t="str">
            <v>ATTIC R11 - R38 - Retro</v>
          </cell>
          <cell r="C84">
            <v>2.4846271780712467E-2</v>
          </cell>
          <cell r="D84">
            <v>0</v>
          </cell>
          <cell r="E84">
            <v>0</v>
          </cell>
          <cell r="F84">
            <v>0</v>
          </cell>
        </row>
        <row r="85">
          <cell r="B85" t="str">
            <v>ATTIC R11 - R49 - Retro</v>
          </cell>
          <cell r="C85">
            <v>1.9498021140463982E-2</v>
          </cell>
          <cell r="D85">
            <v>0</v>
          </cell>
          <cell r="E85">
            <v>0</v>
          </cell>
          <cell r="F85">
            <v>0</v>
          </cell>
        </row>
        <row r="86">
          <cell r="B86" t="str">
            <v>ATTIC R19 - R30 - Retro</v>
          </cell>
          <cell r="C86">
            <v>0</v>
          </cell>
          <cell r="D86">
            <v>6.5125260012002723E-2</v>
          </cell>
          <cell r="E86">
            <v>0</v>
          </cell>
          <cell r="F86">
            <v>0</v>
          </cell>
        </row>
        <row r="87">
          <cell r="B87" t="str">
            <v>ATTIC R19 - R38 - Retro</v>
          </cell>
          <cell r="C87">
            <v>8.2033817107202978E-3</v>
          </cell>
          <cell r="D87">
            <v>1.0053116760243517E-2</v>
          </cell>
          <cell r="E87">
            <v>0</v>
          </cell>
          <cell r="F87">
            <v>0</v>
          </cell>
        </row>
        <row r="88">
          <cell r="B88" t="str">
            <v>ATTIC R19 - R49 - Retro</v>
          </cell>
          <cell r="C88">
            <v>1.7662848312546196E-2</v>
          </cell>
          <cell r="D88">
            <v>0.14766594591946242</v>
          </cell>
          <cell r="E88">
            <v>0</v>
          </cell>
          <cell r="F88">
            <v>0</v>
          </cell>
        </row>
        <row r="89">
          <cell r="B89" t="str">
            <v>WALL R0 - R11 - Retro</v>
          </cell>
          <cell r="C89">
            <v>8.46755457988283E-2</v>
          </cell>
          <cell r="D89">
            <v>8.6999999999999966E-2</v>
          </cell>
          <cell r="E89">
            <v>0</v>
          </cell>
          <cell r="F89">
            <v>0</v>
          </cell>
        </row>
        <row r="90">
          <cell r="B90" t="str">
            <v>FLOOR R0 - R19 - Retro</v>
          </cell>
          <cell r="C90">
            <v>7.8781984396844446E-2</v>
          </cell>
          <cell r="D90">
            <v>2.1455163910870823E-2</v>
          </cell>
          <cell r="E90">
            <v>0</v>
          </cell>
          <cell r="F90">
            <v>0</v>
          </cell>
        </row>
        <row r="91">
          <cell r="B91" t="str">
            <v>FLOOR R0 - R22 - Retro</v>
          </cell>
          <cell r="C91">
            <v>0</v>
          </cell>
          <cell r="D91">
            <v>0</v>
          </cell>
          <cell r="E91">
            <v>0</v>
          </cell>
          <cell r="F91">
            <v>1.0665247527328225E-2</v>
          </cell>
        </row>
        <row r="92">
          <cell r="B92" t="str">
            <v>FLOOR R0 - R25 - Retro</v>
          </cell>
          <cell r="C92">
            <v>4.555152699293441E-2</v>
          </cell>
          <cell r="D92">
            <v>0</v>
          </cell>
          <cell r="E92">
            <v>0</v>
          </cell>
          <cell r="F92">
            <v>0</v>
          </cell>
        </row>
        <row r="93">
          <cell r="B93" t="str">
            <v>FLOOR R0 - R30 - Retro</v>
          </cell>
          <cell r="C93">
            <v>0.10512619459663457</v>
          </cell>
          <cell r="D93">
            <v>0.23754483608912919</v>
          </cell>
          <cell r="E93">
            <v>0</v>
          </cell>
          <cell r="F93">
            <v>0</v>
          </cell>
        </row>
        <row r="94">
          <cell r="B94" t="str">
            <v>FLOOR R11 - R22 - Retro</v>
          </cell>
          <cell r="C94">
            <v>0</v>
          </cell>
          <cell r="D94">
            <v>0</v>
          </cell>
          <cell r="E94">
            <v>0</v>
          </cell>
          <cell r="F94">
            <v>1.6234206236719673E-2</v>
          </cell>
        </row>
        <row r="95">
          <cell r="B95" t="str">
            <v>WINDOW CL30 Prime Window Replacement of Single Pane Base - Retro</v>
          </cell>
          <cell r="C95">
            <v>3.5442601061513916E-2</v>
          </cell>
          <cell r="D95">
            <v>0.12758359544917094</v>
          </cell>
          <cell r="E95">
            <v>0</v>
          </cell>
          <cell r="F95">
            <v>1.3677383586228942E-2</v>
          </cell>
        </row>
        <row r="96">
          <cell r="B96" t="str">
            <v>WINDOW CL30 Prime Window Replacement of Double Pane Base - Retro</v>
          </cell>
          <cell r="C96">
            <v>0.74240695226153941</v>
          </cell>
          <cell r="D96">
            <v>0.66296155480151864</v>
          </cell>
          <cell r="E96">
            <v>0</v>
          </cell>
          <cell r="F96">
            <v>6.9568000974991058E-4</v>
          </cell>
        </row>
        <row r="97">
          <cell r="B97" t="str">
            <v>WINDOW CL22 Prime Window Replacement of Single Pane Base - Retro</v>
          </cell>
          <cell r="C97">
            <v>8.860650265378479E-3</v>
          </cell>
          <cell r="D97">
            <v>3.1895898862292736E-2</v>
          </cell>
          <cell r="E97">
            <v>0</v>
          </cell>
          <cell r="F97">
            <v>3.4193458965572354E-3</v>
          </cell>
        </row>
        <row r="98">
          <cell r="B98" t="str">
            <v>WINDOW CL22 Prime Window Replacement of Double Pane Base - Retro</v>
          </cell>
          <cell r="C98">
            <v>0.18560173806538485</v>
          </cell>
          <cell r="D98">
            <v>0.16574038870037966</v>
          </cell>
          <cell r="E98">
            <v>0</v>
          </cell>
          <cell r="F98">
            <v>1.7392000243747764E-4</v>
          </cell>
        </row>
        <row r="99">
          <cell r="B99" t="str">
            <v>CFM50 Infiltration Reduction - Retro</v>
          </cell>
          <cell r="C99">
            <v>0.3489194352936118</v>
          </cell>
          <cell r="D99">
            <v>0.5</v>
          </cell>
          <cell r="E99">
            <v>0</v>
          </cell>
          <cell r="F99">
            <v>8.366655018171143E-2</v>
          </cell>
        </row>
        <row r="100">
          <cell r="B100"/>
          <cell r="C100">
            <v>0</v>
          </cell>
          <cell r="D100">
            <v>0</v>
          </cell>
          <cell r="E100">
            <v>0</v>
          </cell>
          <cell r="F100">
            <v>0</v>
          </cell>
        </row>
        <row r="101">
          <cell r="B101"/>
        </row>
        <row r="102">
          <cell r="B102"/>
        </row>
        <row r="103">
          <cell r="B103"/>
        </row>
        <row r="104">
          <cell r="B104"/>
        </row>
        <row r="105">
          <cell r="B105"/>
        </row>
        <row r="106">
          <cell r="B106"/>
        </row>
        <row r="107">
          <cell r="B107"/>
        </row>
        <row r="108">
          <cell r="B108"/>
        </row>
        <row r="109">
          <cell r="B109"/>
        </row>
        <row r="110">
          <cell r="B110"/>
        </row>
        <row r="111">
          <cell r="B111"/>
        </row>
        <row r="112">
          <cell r="B112"/>
        </row>
        <row r="113">
          <cell r="B113"/>
        </row>
        <row r="114">
          <cell r="B114"/>
        </row>
        <row r="115">
          <cell r="B115"/>
        </row>
        <row r="116">
          <cell r="B116"/>
        </row>
        <row r="117">
          <cell r="B117"/>
        </row>
        <row r="118">
          <cell r="B118"/>
        </row>
        <row r="119">
          <cell r="B119"/>
        </row>
        <row r="120">
          <cell r="B120"/>
        </row>
      </sheetData>
      <sheetData sheetId="5"/>
      <sheetData sheetId="6"/>
      <sheetData sheetId="7"/>
      <sheetData sheetId="8">
        <row r="10">
          <cell r="B10" t="str">
            <v>Lighting - NR</v>
          </cell>
          <cell r="C10">
            <v>0.125</v>
          </cell>
          <cell r="D10">
            <v>0.125</v>
          </cell>
          <cell r="E10">
            <v>0.125</v>
          </cell>
          <cell r="F10">
            <v>0.125</v>
          </cell>
          <cell r="G10">
            <v>0.125</v>
          </cell>
        </row>
        <row r="11">
          <cell r="B11" t="str">
            <v>Lighting - PPA</v>
          </cell>
          <cell r="C11" t="str">
            <v/>
          </cell>
          <cell r="D11" t="str">
            <v/>
          </cell>
          <cell r="E11" t="str">
            <v/>
          </cell>
          <cell r="F11" t="str">
            <v/>
          </cell>
          <cell r="G11" t="str">
            <v/>
          </cell>
        </row>
        <row r="12">
          <cell r="B12" t="str">
            <v>Dishwasher - New</v>
          </cell>
          <cell r="C12">
            <v>1</v>
          </cell>
          <cell r="D12">
            <v>1</v>
          </cell>
          <cell r="E12">
            <v>1</v>
          </cell>
          <cell r="F12">
            <v>1</v>
          </cell>
          <cell r="G12">
            <v>1</v>
          </cell>
        </row>
        <row r="13">
          <cell r="B13" t="str">
            <v>Dishwasher - NR</v>
          </cell>
          <cell r="C13">
            <v>6.4935064935064929E-2</v>
          </cell>
          <cell r="D13">
            <v>6.4935064935064929E-2</v>
          </cell>
          <cell r="E13">
            <v>6.4935064935064929E-2</v>
          </cell>
          <cell r="F13">
            <v>6.4935064935064929E-2</v>
          </cell>
          <cell r="G13">
            <v>6.4935064935064929E-2</v>
          </cell>
        </row>
        <row r="14">
          <cell r="B14" t="str">
            <v>Clothes Washer - New</v>
          </cell>
          <cell r="C14">
            <v>1</v>
          </cell>
          <cell r="D14">
            <v>1</v>
          </cell>
          <cell r="E14">
            <v>1</v>
          </cell>
          <cell r="F14">
            <v>1</v>
          </cell>
          <cell r="G14">
            <v>1</v>
          </cell>
        </row>
        <row r="15">
          <cell r="B15" t="str">
            <v>Clothes Washer - NR</v>
          </cell>
          <cell r="C15">
            <v>7.1428571428571425E-2</v>
          </cell>
          <cell r="D15">
            <v>7.1428571428571425E-2</v>
          </cell>
          <cell r="E15">
            <v>7.1428571428571425E-2</v>
          </cell>
          <cell r="F15">
            <v>7.1428571428571425E-2</v>
          </cell>
          <cell r="G15">
            <v>7.1428571428571425E-2</v>
          </cell>
        </row>
        <row r="16">
          <cell r="B16" t="str">
            <v>WasteWater Heat Recovery - New</v>
          </cell>
          <cell r="C16">
            <v>1</v>
          </cell>
          <cell r="D16">
            <v>1</v>
          </cell>
          <cell r="E16">
            <v>1</v>
          </cell>
          <cell r="F16">
            <v>1</v>
          </cell>
          <cell r="G16">
            <v>1</v>
          </cell>
        </row>
        <row r="17">
          <cell r="B17" t="str">
            <v>Showerheads - New</v>
          </cell>
          <cell r="C17">
            <v>1</v>
          </cell>
          <cell r="D17">
            <v>1</v>
          </cell>
          <cell r="E17">
            <v>1</v>
          </cell>
          <cell r="F17">
            <v>1</v>
          </cell>
          <cell r="G17">
            <v>1</v>
          </cell>
        </row>
        <row r="18">
          <cell r="B18" t="str">
            <v>Showerheads - Retro</v>
          </cell>
          <cell r="C18" t="str">
            <v/>
          </cell>
          <cell r="D18" t="str">
            <v/>
          </cell>
          <cell r="E18" t="str">
            <v/>
          </cell>
          <cell r="F18" t="str">
            <v/>
          </cell>
          <cell r="G18" t="str">
            <v/>
          </cell>
        </row>
        <row r="19">
          <cell r="B19" t="str">
            <v>HPWH - New</v>
          </cell>
          <cell r="C19">
            <v>1</v>
          </cell>
          <cell r="D19">
            <v>1</v>
          </cell>
          <cell r="E19">
            <v>1</v>
          </cell>
          <cell r="F19">
            <v>1</v>
          </cell>
          <cell r="G19">
            <v>1</v>
          </cell>
        </row>
        <row r="20">
          <cell r="B20" t="str">
            <v>HPWH - NR</v>
          </cell>
          <cell r="C20">
            <v>7.6923076923076927E-2</v>
          </cell>
          <cell r="D20">
            <v>7.6923076923076927E-2</v>
          </cell>
          <cell r="E20">
            <v>7.6923076923076927E-2</v>
          </cell>
          <cell r="F20">
            <v>7.6923076923076927E-2</v>
          </cell>
          <cell r="G20">
            <v>7.6923076923076927E-2</v>
          </cell>
        </row>
        <row r="21">
          <cell r="B21" t="str">
            <v>EV Supply Equip - NR</v>
          </cell>
          <cell r="C21">
            <v>0.1</v>
          </cell>
          <cell r="D21">
            <v>0.1</v>
          </cell>
          <cell r="E21">
            <v>0.1</v>
          </cell>
          <cell r="F21">
            <v>0.1</v>
          </cell>
          <cell r="G21">
            <v>0.1</v>
          </cell>
        </row>
        <row r="22">
          <cell r="B22" t="str">
            <v>Clothes Dryer - New</v>
          </cell>
          <cell r="C22">
            <v>1</v>
          </cell>
          <cell r="D22">
            <v>1</v>
          </cell>
          <cell r="E22">
            <v>1</v>
          </cell>
          <cell r="F22">
            <v>1</v>
          </cell>
          <cell r="G22">
            <v>1</v>
          </cell>
        </row>
        <row r="23">
          <cell r="B23" t="str">
            <v>Clothes Dryer - NR</v>
          </cell>
          <cell r="C23">
            <v>6.25E-2</v>
          </cell>
          <cell r="D23">
            <v>6.25E-2</v>
          </cell>
          <cell r="E23">
            <v>6.25E-2</v>
          </cell>
          <cell r="F23">
            <v>6.25E-2</v>
          </cell>
          <cell r="G23">
            <v>6.25E-2</v>
          </cell>
        </row>
        <row r="24">
          <cell r="B24" t="str">
            <v>Refrigerator - New</v>
          </cell>
          <cell r="C24">
            <v>1</v>
          </cell>
          <cell r="D24">
            <v>1</v>
          </cell>
          <cell r="E24">
            <v>1</v>
          </cell>
          <cell r="F24">
            <v>1</v>
          </cell>
          <cell r="G24">
            <v>1</v>
          </cell>
        </row>
        <row r="25">
          <cell r="B25" t="str">
            <v>Refrigerator - NR</v>
          </cell>
          <cell r="C25">
            <v>6.5789473684210523E-2</v>
          </cell>
          <cell r="D25">
            <v>6.5789473684210523E-2</v>
          </cell>
          <cell r="E25">
            <v>6.5789473684210523E-2</v>
          </cell>
          <cell r="F25">
            <v>6.5789473684210523E-2</v>
          </cell>
          <cell r="G25">
            <v>6.5789473684210523E-2</v>
          </cell>
        </row>
        <row r="26">
          <cell r="B26" t="str">
            <v>Freezer - New</v>
          </cell>
          <cell r="C26">
            <v>1</v>
          </cell>
          <cell r="D26">
            <v>1</v>
          </cell>
          <cell r="E26">
            <v>1</v>
          </cell>
          <cell r="F26">
            <v>1</v>
          </cell>
          <cell r="G26">
            <v>1</v>
          </cell>
        </row>
        <row r="27">
          <cell r="B27" t="str">
            <v>Freezer - NR</v>
          </cell>
          <cell r="C27">
            <v>4.6082949308755762E-2</v>
          </cell>
          <cell r="D27">
            <v>4.6082949308755762E-2</v>
          </cell>
          <cell r="E27">
            <v>4.6082949308755762E-2</v>
          </cell>
          <cell r="F27">
            <v>4.6082949308755762E-2</v>
          </cell>
          <cell r="G27">
            <v>4.6082949308755762E-2</v>
          </cell>
        </row>
        <row r="28">
          <cell r="B28" t="str">
            <v>Solar Water Heater - New</v>
          </cell>
          <cell r="C28">
            <v>1</v>
          </cell>
          <cell r="D28">
            <v>1</v>
          </cell>
          <cell r="E28">
            <v>1</v>
          </cell>
          <cell r="F28">
            <v>1</v>
          </cell>
          <cell r="G28">
            <v>1</v>
          </cell>
        </row>
        <row r="29">
          <cell r="B29" t="str">
            <v>Solar Water Heater - NR</v>
          </cell>
          <cell r="C29" t="e">
            <v>#DIV/0!</v>
          </cell>
          <cell r="D29" t="e">
            <v>#DIV/0!</v>
          </cell>
          <cell r="E29" t="e">
            <v>#DIV/0!</v>
          </cell>
          <cell r="F29" t="e">
            <v>#DIV/0!</v>
          </cell>
          <cell r="G29" t="e">
            <v>#DIV/0!</v>
          </cell>
        </row>
        <row r="30">
          <cell r="B30" t="str">
            <v>Solar Water Heater - Retro</v>
          </cell>
          <cell r="C30" t="str">
            <v/>
          </cell>
          <cell r="D30" t="str">
            <v/>
          </cell>
          <cell r="E30" t="str">
            <v/>
          </cell>
          <cell r="F30" t="str">
            <v/>
          </cell>
          <cell r="G30" t="str">
            <v/>
          </cell>
        </row>
        <row r="31">
          <cell r="B31">
            <v>0</v>
          </cell>
          <cell r="C31" t="str">
            <v/>
          </cell>
          <cell r="D31" t="str">
            <v/>
          </cell>
          <cell r="E31" t="str">
            <v/>
          </cell>
          <cell r="F31" t="str">
            <v/>
          </cell>
          <cell r="G31" t="str">
            <v/>
          </cell>
        </row>
        <row r="32">
          <cell r="B32">
            <v>0</v>
          </cell>
          <cell r="C32" t="str">
            <v/>
          </cell>
          <cell r="D32" t="str">
            <v/>
          </cell>
          <cell r="E32" t="str">
            <v/>
          </cell>
          <cell r="F32" t="str">
            <v/>
          </cell>
          <cell r="G32" t="str">
            <v/>
          </cell>
        </row>
        <row r="33">
          <cell r="B33" t="str">
            <v>Electric Oven - New</v>
          </cell>
          <cell r="C33">
            <v>1</v>
          </cell>
          <cell r="D33">
            <v>1</v>
          </cell>
          <cell r="E33">
            <v>1</v>
          </cell>
          <cell r="F33">
            <v>1</v>
          </cell>
          <cell r="G33">
            <v>1</v>
          </cell>
        </row>
        <row r="34">
          <cell r="B34" t="str">
            <v>Electric Oven - NR</v>
          </cell>
          <cell r="C34">
            <v>0.05</v>
          </cell>
          <cell r="D34">
            <v>0.05</v>
          </cell>
          <cell r="E34">
            <v>0.05</v>
          </cell>
          <cell r="F34">
            <v>0.05</v>
          </cell>
          <cell r="G34">
            <v>0.05</v>
          </cell>
        </row>
        <row r="35">
          <cell r="B35" t="str">
            <v>Microwave - New</v>
          </cell>
          <cell r="C35">
            <v>1</v>
          </cell>
          <cell r="D35">
            <v>1</v>
          </cell>
          <cell r="E35">
            <v>1</v>
          </cell>
          <cell r="F35">
            <v>1</v>
          </cell>
          <cell r="G35">
            <v>1</v>
          </cell>
        </row>
        <row r="36">
          <cell r="B36" t="str">
            <v>Microwave - NR</v>
          </cell>
          <cell r="C36">
            <v>0.1111111111111111</v>
          </cell>
          <cell r="D36">
            <v>0.1111111111111111</v>
          </cell>
          <cell r="E36">
            <v>0.1111111111111111</v>
          </cell>
          <cell r="F36">
            <v>0.1111111111111111</v>
          </cell>
          <cell r="G36">
            <v>0.1111111111111111</v>
          </cell>
        </row>
        <row r="37">
          <cell r="B37" t="str">
            <v>Monitor - New</v>
          </cell>
          <cell r="C37">
            <v>1</v>
          </cell>
          <cell r="D37">
            <v>1</v>
          </cell>
          <cell r="E37">
            <v>1</v>
          </cell>
          <cell r="F37">
            <v>1</v>
          </cell>
          <cell r="G37">
            <v>1</v>
          </cell>
        </row>
        <row r="38">
          <cell r="B38" t="str">
            <v>Monitor - NR</v>
          </cell>
          <cell r="C38">
            <v>0.2</v>
          </cell>
          <cell r="D38">
            <v>0.2</v>
          </cell>
          <cell r="E38">
            <v>0.2</v>
          </cell>
          <cell r="F38">
            <v>0.2</v>
          </cell>
          <cell r="G38">
            <v>0.2</v>
          </cell>
        </row>
        <row r="39">
          <cell r="B39" t="str">
            <v>Desktop - New</v>
          </cell>
          <cell r="C39">
            <v>1</v>
          </cell>
          <cell r="D39">
            <v>1</v>
          </cell>
          <cell r="E39">
            <v>1</v>
          </cell>
          <cell r="F39">
            <v>1</v>
          </cell>
          <cell r="G39">
            <v>1</v>
          </cell>
        </row>
        <row r="40">
          <cell r="B40" t="str">
            <v>Desktop - NR</v>
          </cell>
          <cell r="C40">
            <v>0.25</v>
          </cell>
          <cell r="D40">
            <v>0.25</v>
          </cell>
          <cell r="E40">
            <v>0.25</v>
          </cell>
          <cell r="F40">
            <v>0.25</v>
          </cell>
          <cell r="G40">
            <v>0.25</v>
          </cell>
        </row>
        <row r="41">
          <cell r="B41" t="str">
            <v>Laptop - New</v>
          </cell>
          <cell r="C41">
            <v>1</v>
          </cell>
          <cell r="D41">
            <v>1</v>
          </cell>
          <cell r="E41">
            <v>1</v>
          </cell>
          <cell r="F41">
            <v>1</v>
          </cell>
          <cell r="G41">
            <v>1</v>
          </cell>
        </row>
        <row r="42">
          <cell r="B42" t="str">
            <v>Laptop - NR</v>
          </cell>
          <cell r="C42">
            <v>0.25</v>
          </cell>
          <cell r="D42">
            <v>0.25</v>
          </cell>
          <cell r="E42">
            <v>0.25</v>
          </cell>
          <cell r="F42">
            <v>0.25</v>
          </cell>
          <cell r="G42">
            <v>0.25</v>
          </cell>
        </row>
        <row r="43">
          <cell r="B43" t="str">
            <v>Computer - New</v>
          </cell>
          <cell r="C43">
            <v>1</v>
          </cell>
          <cell r="D43">
            <v>1</v>
          </cell>
          <cell r="E43">
            <v>1</v>
          </cell>
          <cell r="F43">
            <v>1</v>
          </cell>
          <cell r="G43">
            <v>1</v>
          </cell>
        </row>
        <row r="44">
          <cell r="B44" t="str">
            <v>Computer - NR</v>
          </cell>
          <cell r="C44">
            <v>0.25</v>
          </cell>
          <cell r="D44">
            <v>0.25</v>
          </cell>
          <cell r="E44">
            <v>0.25</v>
          </cell>
          <cell r="F44">
            <v>0.25</v>
          </cell>
          <cell r="G44">
            <v>0.25</v>
          </cell>
        </row>
        <row r="45">
          <cell r="B45" t="str">
            <v>ASHP - New</v>
          </cell>
          <cell r="C45">
            <v>1</v>
          </cell>
          <cell r="D45">
            <v>1</v>
          </cell>
          <cell r="E45">
            <v>1</v>
          </cell>
          <cell r="F45">
            <v>1</v>
          </cell>
          <cell r="G45">
            <v>1</v>
          </cell>
        </row>
        <row r="46">
          <cell r="B46" t="str">
            <v>ASHP - NR</v>
          </cell>
          <cell r="C46">
            <v>6.6666666666666666E-2</v>
          </cell>
          <cell r="D46">
            <v>6.6666666666666666E-2</v>
          </cell>
          <cell r="E46">
            <v>6.6666666666666666E-2</v>
          </cell>
          <cell r="F46">
            <v>6.6666666666666666E-2</v>
          </cell>
          <cell r="G46">
            <v>6.6666666666666666E-2</v>
          </cell>
        </row>
        <row r="47">
          <cell r="B47" t="str">
            <v>HP - Retro</v>
          </cell>
          <cell r="C47" t="str">
            <v/>
          </cell>
          <cell r="D47" t="str">
            <v/>
          </cell>
          <cell r="E47" t="str">
            <v/>
          </cell>
          <cell r="F47" t="str">
            <v/>
          </cell>
          <cell r="G47" t="str">
            <v/>
          </cell>
        </row>
        <row r="48">
          <cell r="B48" t="str">
            <v>DHP - New</v>
          </cell>
          <cell r="C48">
            <v>1</v>
          </cell>
          <cell r="D48">
            <v>1</v>
          </cell>
          <cell r="E48">
            <v>1</v>
          </cell>
          <cell r="F48">
            <v>1</v>
          </cell>
          <cell r="G48">
            <v>1</v>
          </cell>
        </row>
        <row r="49">
          <cell r="B49" t="str">
            <v>DHP - NR</v>
          </cell>
          <cell r="C49">
            <v>6.6666666666666666E-2</v>
          </cell>
          <cell r="D49">
            <v>6.6666666666666666E-2</v>
          </cell>
          <cell r="E49">
            <v>6.6666666666666666E-2</v>
          </cell>
          <cell r="F49">
            <v>6.6666666666666666E-2</v>
          </cell>
          <cell r="G49">
            <v>6.6666666666666666E-2</v>
          </cell>
        </row>
        <row r="50">
          <cell r="B50" t="str">
            <v>DHP - Retro</v>
          </cell>
          <cell r="C50" t="str">
            <v/>
          </cell>
          <cell r="D50" t="str">
            <v/>
          </cell>
          <cell r="E50" t="str">
            <v/>
          </cell>
          <cell r="F50" t="str">
            <v/>
          </cell>
          <cell r="G50" t="str">
            <v/>
          </cell>
        </row>
        <row r="51">
          <cell r="B51" t="str">
            <v>Duct Sealing - New</v>
          </cell>
          <cell r="C51">
            <v>1</v>
          </cell>
          <cell r="D51">
            <v>1</v>
          </cell>
          <cell r="E51">
            <v>1</v>
          </cell>
          <cell r="F51">
            <v>1</v>
          </cell>
          <cell r="G51">
            <v>1</v>
          </cell>
        </row>
        <row r="52">
          <cell r="B52" t="str">
            <v>Duct Sealing - Retro</v>
          </cell>
          <cell r="C52" t="str">
            <v/>
          </cell>
          <cell r="D52" t="str">
            <v/>
          </cell>
          <cell r="E52" t="str">
            <v/>
          </cell>
          <cell r="F52" t="str">
            <v/>
          </cell>
          <cell r="G52" t="str">
            <v/>
          </cell>
        </row>
        <row r="53">
          <cell r="B53" t="str">
            <v>WIFI enabled tstats - New</v>
          </cell>
          <cell r="C53">
            <v>1</v>
          </cell>
          <cell r="D53">
            <v>1</v>
          </cell>
          <cell r="E53">
            <v>1</v>
          </cell>
          <cell r="F53">
            <v>1</v>
          </cell>
          <cell r="G53">
            <v>1</v>
          </cell>
        </row>
        <row r="54">
          <cell r="B54" t="str">
            <v>WIFI enabled tstats - Retro</v>
          </cell>
          <cell r="C54" t="str">
            <v/>
          </cell>
          <cell r="D54" t="str">
            <v/>
          </cell>
          <cell r="E54" t="str">
            <v/>
          </cell>
          <cell r="F54" t="str">
            <v/>
          </cell>
          <cell r="G54" t="str">
            <v/>
          </cell>
        </row>
        <row r="55">
          <cell r="B55" t="str">
            <v>Combo DHP/HPWH units - New</v>
          </cell>
          <cell r="C55">
            <v>1</v>
          </cell>
          <cell r="D55">
            <v>1</v>
          </cell>
          <cell r="E55">
            <v>1</v>
          </cell>
          <cell r="F55">
            <v>1</v>
          </cell>
          <cell r="G55">
            <v>1</v>
          </cell>
        </row>
        <row r="56">
          <cell r="B56" t="str">
            <v>Combo DHP/HPWH units - NR</v>
          </cell>
          <cell r="C56" t="e">
            <v>#DIV/0!</v>
          </cell>
          <cell r="D56" t="e">
            <v>#DIV/0!</v>
          </cell>
          <cell r="E56" t="e">
            <v>#DIV/0!</v>
          </cell>
          <cell r="F56" t="e">
            <v>#DIV/0!</v>
          </cell>
          <cell r="G56" t="e">
            <v>#DIV/0!</v>
          </cell>
        </row>
        <row r="57">
          <cell r="B57" t="str">
            <v>Combo DHP/HPWH units - Retro</v>
          </cell>
          <cell r="C57" t="str">
            <v/>
          </cell>
          <cell r="D57" t="str">
            <v/>
          </cell>
          <cell r="E57" t="str">
            <v/>
          </cell>
          <cell r="F57" t="str">
            <v/>
          </cell>
          <cell r="G57" t="str">
            <v/>
          </cell>
        </row>
        <row r="58">
          <cell r="B58" t="str">
            <v>Aerator - New</v>
          </cell>
          <cell r="C58">
            <v>1</v>
          </cell>
          <cell r="D58">
            <v>1</v>
          </cell>
          <cell r="E58">
            <v>1</v>
          </cell>
          <cell r="F58">
            <v>1</v>
          </cell>
          <cell r="G58">
            <v>1</v>
          </cell>
        </row>
        <row r="59">
          <cell r="B59" t="str">
            <v>Aerator - Retro</v>
          </cell>
          <cell r="C59" t="str">
            <v/>
          </cell>
          <cell r="D59" t="str">
            <v/>
          </cell>
          <cell r="E59" t="str">
            <v/>
          </cell>
          <cell r="F59" t="str">
            <v/>
          </cell>
          <cell r="G59" t="str">
            <v/>
          </cell>
        </row>
        <row r="60">
          <cell r="B60" t="str">
            <v>Behavior - Retro</v>
          </cell>
          <cell r="C60" t="str">
            <v/>
          </cell>
          <cell r="D60" t="str">
            <v/>
          </cell>
          <cell r="E60" t="str">
            <v/>
          </cell>
          <cell r="F60" t="str">
            <v/>
          </cell>
          <cell r="G60" t="str">
            <v/>
          </cell>
        </row>
        <row r="61">
          <cell r="B61" t="str">
            <v>Behavior - New</v>
          </cell>
          <cell r="C61">
            <v>1</v>
          </cell>
          <cell r="D61">
            <v>1</v>
          </cell>
          <cell r="E61">
            <v>1</v>
          </cell>
          <cell r="F61">
            <v>1</v>
          </cell>
          <cell r="G61">
            <v>1</v>
          </cell>
        </row>
        <row r="62">
          <cell r="B62">
            <v>0</v>
          </cell>
          <cell r="C62" t="str">
            <v/>
          </cell>
          <cell r="D62" t="str">
            <v/>
          </cell>
          <cell r="E62" t="str">
            <v/>
          </cell>
          <cell r="F62" t="str">
            <v/>
          </cell>
          <cell r="G62" t="str">
            <v/>
          </cell>
        </row>
        <row r="63">
          <cell r="B63" t="str">
            <v>Heat Recovery Ventilation - New</v>
          </cell>
          <cell r="C63">
            <v>1</v>
          </cell>
          <cell r="D63">
            <v>1</v>
          </cell>
          <cell r="E63">
            <v>1</v>
          </cell>
          <cell r="F63">
            <v>1</v>
          </cell>
          <cell r="G63">
            <v>1</v>
          </cell>
        </row>
        <row r="64">
          <cell r="B64" t="str">
            <v>GSHP - New</v>
          </cell>
          <cell r="C64">
            <v>1</v>
          </cell>
          <cell r="D64">
            <v>1</v>
          </cell>
          <cell r="E64">
            <v>1</v>
          </cell>
          <cell r="F64">
            <v>1</v>
          </cell>
          <cell r="G64">
            <v>1</v>
          </cell>
        </row>
        <row r="65">
          <cell r="B65" t="str">
            <v>GSHP - NR</v>
          </cell>
          <cell r="C65">
            <v>6.6666666666666666E-2</v>
          </cell>
          <cell r="D65">
            <v>6.6666666666666666E-2</v>
          </cell>
          <cell r="E65">
            <v>6.6666666666666666E-2</v>
          </cell>
          <cell r="F65">
            <v>6.6666666666666666E-2</v>
          </cell>
          <cell r="G65">
            <v>6.6666666666666666E-2</v>
          </cell>
        </row>
        <row r="66">
          <cell r="B66">
            <v>0</v>
          </cell>
          <cell r="C66" t="str">
            <v/>
          </cell>
          <cell r="D66" t="str">
            <v/>
          </cell>
          <cell r="E66" t="str">
            <v/>
          </cell>
          <cell r="F66" t="str">
            <v/>
          </cell>
          <cell r="G66" t="str">
            <v/>
          </cell>
        </row>
        <row r="67">
          <cell r="B67" t="str">
            <v>ECM for HVAC ventilation - New</v>
          </cell>
          <cell r="C67">
            <v>1</v>
          </cell>
          <cell r="D67">
            <v>1</v>
          </cell>
          <cell r="E67">
            <v>1</v>
          </cell>
          <cell r="F67">
            <v>1</v>
          </cell>
          <cell r="G67">
            <v>1</v>
          </cell>
        </row>
        <row r="68">
          <cell r="B68" t="str">
            <v>ECM for HVAC ventilation - NR</v>
          </cell>
          <cell r="C68" t="e">
            <v>#DIV/0!</v>
          </cell>
          <cell r="D68" t="e">
            <v>#DIV/0!</v>
          </cell>
          <cell r="E68" t="e">
            <v>#DIV/0!</v>
          </cell>
          <cell r="F68" t="e">
            <v>#DIV/0!</v>
          </cell>
          <cell r="G68" t="e">
            <v>#DIV/0!</v>
          </cell>
        </row>
        <row r="69">
          <cell r="B69" t="str">
            <v>Whole house/attic fan - New</v>
          </cell>
          <cell r="C69">
            <v>1</v>
          </cell>
          <cell r="D69">
            <v>1</v>
          </cell>
          <cell r="E69">
            <v>1</v>
          </cell>
          <cell r="F69">
            <v>1</v>
          </cell>
          <cell r="G69">
            <v>1</v>
          </cell>
        </row>
        <row r="70">
          <cell r="B70" t="str">
            <v>Whole house/attic fan - Retro</v>
          </cell>
          <cell r="C70" t="str">
            <v/>
          </cell>
          <cell r="D70" t="str">
            <v/>
          </cell>
          <cell r="E70" t="str">
            <v/>
          </cell>
          <cell r="F70" t="str">
            <v/>
          </cell>
          <cell r="G70" t="str">
            <v/>
          </cell>
        </row>
        <row r="71">
          <cell r="B71" t="str">
            <v>WH Pipe insulation - Retro</v>
          </cell>
          <cell r="C71" t="str">
            <v/>
          </cell>
          <cell r="D71" t="str">
            <v/>
          </cell>
          <cell r="E71" t="str">
            <v/>
          </cell>
          <cell r="F71" t="str">
            <v/>
          </cell>
          <cell r="G71" t="str">
            <v/>
          </cell>
        </row>
        <row r="72">
          <cell r="B72" t="str">
            <v>DHP Ducted - NR</v>
          </cell>
          <cell r="C72">
            <v>6.6666666666666666E-2</v>
          </cell>
          <cell r="D72">
            <v>6.6666666666666666E-2</v>
          </cell>
          <cell r="E72">
            <v>6.6666666666666666E-2</v>
          </cell>
          <cell r="F72">
            <v>6.6666666666666666E-2</v>
          </cell>
          <cell r="G72">
            <v>6.6666666666666666E-2</v>
          </cell>
        </row>
        <row r="73">
          <cell r="B73" t="str">
            <v>Advanced Power Strips - New</v>
          </cell>
          <cell r="C73">
            <v>1</v>
          </cell>
          <cell r="D73">
            <v>1</v>
          </cell>
          <cell r="E73">
            <v>1</v>
          </cell>
          <cell r="F73">
            <v>1</v>
          </cell>
          <cell r="G73">
            <v>1</v>
          </cell>
        </row>
        <row r="74">
          <cell r="B74" t="str">
            <v>Advanced Power Strips - Retro</v>
          </cell>
          <cell r="C74" t="str">
            <v/>
          </cell>
          <cell r="D74" t="str">
            <v/>
          </cell>
          <cell r="E74" t="str">
            <v/>
          </cell>
          <cell r="F74" t="str">
            <v/>
          </cell>
          <cell r="G74" t="str">
            <v/>
          </cell>
        </row>
        <row r="75">
          <cell r="B75" t="str">
            <v>Controls Commissioning and Sizing - New</v>
          </cell>
          <cell r="C75">
            <v>1</v>
          </cell>
          <cell r="D75">
            <v>1</v>
          </cell>
          <cell r="E75">
            <v>1</v>
          </cell>
          <cell r="F75">
            <v>1</v>
          </cell>
          <cell r="G75">
            <v>1</v>
          </cell>
        </row>
        <row r="76">
          <cell r="B76" t="str">
            <v>Controls Commissioning and Sizing - NR</v>
          </cell>
          <cell r="C76">
            <v>6.6666666666666666E-2</v>
          </cell>
          <cell r="D76">
            <v>6.6666666666666666E-2</v>
          </cell>
          <cell r="E76">
            <v>6.6666666666666666E-2</v>
          </cell>
          <cell r="F76">
            <v>6.6666666666666666E-2</v>
          </cell>
          <cell r="G76">
            <v>6.6666666666666666E-2</v>
          </cell>
        </row>
        <row r="77">
          <cell r="B77" t="str">
            <v>ResWx - Retro</v>
          </cell>
          <cell r="C77" t="str">
            <v/>
          </cell>
          <cell r="D77" t="str">
            <v/>
          </cell>
          <cell r="E77" t="str">
            <v/>
          </cell>
          <cell r="F77" t="str">
            <v/>
          </cell>
          <cell r="G77" t="str">
            <v/>
          </cell>
        </row>
        <row r="78">
          <cell r="C78"/>
          <cell r="D78"/>
          <cell r="E78"/>
          <cell r="F78"/>
        </row>
        <row r="79">
          <cell r="C79"/>
          <cell r="D79"/>
          <cell r="E79"/>
          <cell r="F79"/>
        </row>
      </sheetData>
      <sheetData sheetId="9">
        <row r="9">
          <cell r="C9" t="str">
            <v>Retro12Med</v>
          </cell>
          <cell r="D9">
            <v>0.10937459468255628</v>
          </cell>
          <cell r="E9">
            <v>0.10937459468255628</v>
          </cell>
          <cell r="F9">
            <v>0.10937459468255628</v>
          </cell>
          <cell r="G9">
            <v>0.10937459468255628</v>
          </cell>
          <cell r="H9">
            <v>0.10937459468255628</v>
          </cell>
          <cell r="I9">
            <v>9.8437135214300656E-2</v>
          </cell>
          <cell r="J9">
            <v>7.874970817144053E-2</v>
          </cell>
          <cell r="K9">
            <v>6.2999766537152418E-2</v>
          </cell>
          <cell r="L9">
            <v>5.0399813229721938E-2</v>
          </cell>
          <cell r="M9">
            <v>4.0319850583777551E-2</v>
          </cell>
          <cell r="N9">
            <v>3.225588046702204E-2</v>
          </cell>
          <cell r="O9">
            <v>2.5804704373617631E-2</v>
          </cell>
          <cell r="P9">
            <v>2.0643763498894106E-2</v>
          </cell>
          <cell r="Q9">
            <v>1.6515010799115284E-2</v>
          </cell>
          <cell r="R9">
            <v>1.3212008639292228E-2</v>
          </cell>
          <cell r="S9">
            <v>1.0569606911433781E-2</v>
          </cell>
          <cell r="T9">
            <v>7.2092823794611682E-5</v>
          </cell>
          <cell r="U9">
            <v>2.5747437069512102E-5</v>
          </cell>
          <cell r="V9">
            <v>8.7775353646568632E-6</v>
          </cell>
          <cell r="W9">
            <v>2.8622397928446119E-6</v>
          </cell>
          <cell r="X9"/>
        </row>
        <row r="10">
          <cell r="C10" t="str">
            <v>Retro5Med</v>
          </cell>
          <cell r="D10">
            <v>4.2999999999999997E-2</v>
          </cell>
          <cell r="E10">
            <v>5.279714228027832E-2</v>
          </cell>
          <cell r="F10">
            <v>6.4608251467478173E-2</v>
          </cell>
          <cell r="G10">
            <v>7.4999999999999997E-2</v>
          </cell>
          <cell r="H10">
            <v>8.5546997470333563E-2</v>
          </cell>
          <cell r="I10">
            <v>0.10001472303820647</v>
          </cell>
          <cell r="J10">
            <v>0.10971770435235073</v>
          </cell>
          <cell r="K10">
            <v>0.11208438511970376</v>
          </cell>
          <cell r="L10">
            <v>0.10562608162722853</v>
          </cell>
          <cell r="M10">
            <v>9.0794563997872335E-2</v>
          </cell>
          <cell r="N10">
            <v>7.0260666991849297E-2</v>
          </cell>
          <cell r="O10">
            <v>4.8218360404944538E-2</v>
          </cell>
          <cell r="P10">
            <v>2.8854234614640095E-2</v>
          </cell>
          <cell r="Q10">
            <v>1.4773964924806759E-2</v>
          </cell>
          <cell r="R10">
            <v>6.3385343681182649E-3</v>
          </cell>
          <cell r="S10">
            <v>2.2268577196306039E-3</v>
          </cell>
          <cell r="T10">
            <v>6.2471001963848583E-4</v>
          </cell>
          <cell r="U10">
            <v>1.3615841889635938E-4</v>
          </cell>
          <cell r="V10">
            <v>2.2380636622298944E-5</v>
          </cell>
          <cell r="W10">
            <v>2.68643837586513E-6</v>
          </cell>
          <cell r="X10"/>
        </row>
        <row r="11">
          <cell r="C11" t="str">
            <v>Retro1Slow</v>
          </cell>
          <cell r="D11">
            <v>2.5643970768378654E-3</v>
          </cell>
          <cell r="E11">
            <v>5.1260615529385989E-3</v>
          </cell>
          <cell r="F11">
            <v>9.1015544176433795E-3</v>
          </cell>
          <cell r="G11">
            <v>1.4804925730045659E-2</v>
          </cell>
          <cell r="H11">
            <v>2.2471809420486211E-2</v>
          </cell>
          <cell r="I11">
            <v>3.2184432813882391E-2</v>
          </cell>
          <cell r="J11">
            <v>4.3779667172004086E-2</v>
          </cell>
          <cell r="K11">
            <v>5.675426075474499E-2</v>
          </cell>
          <cell r="L11">
            <v>7.0195239068707532E-2</v>
          </cell>
          <cell r="M11">
            <v>8.2776861842756788E-2</v>
          </cell>
          <cell r="N11">
            <v>9.2870259507494834E-2</v>
          </cell>
          <cell r="O11">
            <v>9.8796470678915727E-2</v>
          </cell>
          <cell r="P11">
            <v>9.9208932889988999E-2</v>
          </cell>
          <cell r="Q11">
            <v>9.3521150494244254E-2</v>
          </cell>
          <cell r="R11">
            <v>8.2226007896862296E-2</v>
          </cell>
          <cell r="S11">
            <v>6.6933566027365665E-2</v>
          </cell>
          <cell r="T11">
            <v>5.0029565143448806E-2</v>
          </cell>
          <cell r="U11">
            <v>3.402486521893211E-2</v>
          </cell>
          <cell r="V11">
            <v>2.0846059340774659E-2</v>
          </cell>
          <cell r="W11">
            <v>0.01</v>
          </cell>
          <cell r="X11"/>
        </row>
        <row r="12">
          <cell r="C12" t="str">
            <v>Retro50Fast</v>
          </cell>
          <cell r="D12">
            <v>0.45</v>
          </cell>
          <cell r="E12">
            <v>0.21</v>
          </cell>
          <cell r="F12">
            <v>0.14000000000000001</v>
          </cell>
          <cell r="G12">
            <v>0.09</v>
          </cell>
          <cell r="H12">
            <v>5.9540362609726505E-2</v>
          </cell>
          <cell r="I12">
            <v>2.9770181304863419E-2</v>
          </cell>
          <cell r="J12">
            <v>1.3231191691050248E-2</v>
          </cell>
          <cell r="K12">
            <v>5.2924766764202991E-3</v>
          </cell>
          <cell r="L12">
            <v>1.9245369732436846E-3</v>
          </cell>
          <cell r="M12">
            <v>6.415123244144505E-4</v>
          </cell>
          <cell r="N12">
            <v>1.9738840751215569E-4</v>
          </cell>
          <cell r="O12">
            <v>5.6396687860615913E-5</v>
          </cell>
          <cell r="P12">
            <v>1.5039116763038152E-5</v>
          </cell>
          <cell r="Q12">
            <v>3.7597791905374933E-6</v>
          </cell>
          <cell r="R12">
            <v>8.8465392733549919E-7</v>
          </cell>
          <cell r="S12">
            <v>1.9658976146974538E-7</v>
          </cell>
          <cell r="T12">
            <v>4.13873183502389E-8</v>
          </cell>
          <cell r="U12">
            <v>8.2774636034343985E-9</v>
          </cell>
          <cell r="V12">
            <v>1.5766598027155965E-9</v>
          </cell>
          <cell r="W12">
            <v>2.8666535811794347E-10</v>
          </cell>
          <cell r="X12"/>
        </row>
        <row r="13">
          <cell r="C13" t="str">
            <v>Retro20Fast</v>
          </cell>
          <cell r="D13">
            <v>0.22119921692859512</v>
          </cell>
          <cell r="E13">
            <v>0.15504311102289431</v>
          </cell>
          <cell r="F13">
            <v>0.10733128557729499</v>
          </cell>
          <cell r="G13">
            <v>8.3589689255657879E-2</v>
          </cell>
          <cell r="H13">
            <v>7.3237179880126971E-2</v>
          </cell>
          <cell r="I13">
            <v>6.3374636711760357E-2</v>
          </cell>
          <cell r="J13">
            <v>5.4291838367783084E-2</v>
          </cell>
          <cell r="K13">
            <v>4.612639225659896E-2</v>
          </cell>
          <cell r="L13">
            <v>3.8916876277172864E-2</v>
          </cell>
          <cell r="M13">
            <v>3.2639916313151704E-2</v>
          </cell>
          <cell r="N13">
            <v>2.7235706125786907E-2</v>
          </cell>
          <cell r="O13">
            <v>2.1211189258265428E-2</v>
          </cell>
          <cell r="P13">
            <v>1.6519290804212883E-2</v>
          </cell>
          <cell r="Q13">
            <v>1.2865236614105324E-2</v>
          </cell>
          <cell r="R13">
            <v>1.0019456349464106E-2</v>
          </cell>
          <cell r="S13">
            <v>7.8031604509122832E-3</v>
          </cell>
          <cell r="T13">
            <v>6.077107469602494E-3</v>
          </cell>
          <cell r="U13">
            <v>4.7328560561354371E-3</v>
          </cell>
          <cell r="V13">
            <v>3.6859520026825132E-3</v>
          </cell>
          <cell r="W13">
            <v>2.8706223060526725E-3</v>
          </cell>
          <cell r="X13"/>
        </row>
        <row r="14">
          <cell r="C14" t="str">
            <v>RetroEven20</v>
          </cell>
          <cell r="D14">
            <v>0.05</v>
          </cell>
          <cell r="E14">
            <v>0.05</v>
          </cell>
          <cell r="F14">
            <v>0.05</v>
          </cell>
          <cell r="G14">
            <v>0.05</v>
          </cell>
          <cell r="H14">
            <v>0.05</v>
          </cell>
          <cell r="I14">
            <v>0.05</v>
          </cell>
          <cell r="J14">
            <v>0.05</v>
          </cell>
          <cell r="K14">
            <v>0.05</v>
          </cell>
          <cell r="L14">
            <v>0.05</v>
          </cell>
          <cell r="M14">
            <v>0.05</v>
          </cell>
          <cell r="N14">
            <v>0.05</v>
          </cell>
          <cell r="O14">
            <v>0.05</v>
          </cell>
          <cell r="P14">
            <v>0.05</v>
          </cell>
          <cell r="Q14">
            <v>0.05</v>
          </cell>
          <cell r="R14">
            <v>0.05</v>
          </cell>
          <cell r="S14">
            <v>0.05</v>
          </cell>
          <cell r="T14">
            <v>0.05</v>
          </cell>
          <cell r="U14">
            <v>0.05</v>
          </cell>
          <cell r="V14">
            <v>0.05</v>
          </cell>
          <cell r="W14">
            <v>0.05</v>
          </cell>
          <cell r="X14"/>
        </row>
        <row r="15">
          <cell r="C15" t="str">
            <v>RetroMax60</v>
          </cell>
          <cell r="D15">
            <v>0.01</v>
          </cell>
          <cell r="E15">
            <v>1.9799999999999998E-2</v>
          </cell>
          <cell r="F15">
            <v>2.9106E-2</v>
          </cell>
          <cell r="G15">
            <v>3.7643759999999998E-2</v>
          </cell>
          <cell r="H15">
            <v>4.5172511999999984E-2</v>
          </cell>
          <cell r="I15">
            <v>4.8635737920000005E-2</v>
          </cell>
          <cell r="J15">
            <v>4.587971277120001E-2</v>
          </cell>
          <cell r="K15">
            <v>4.3279862380832007E-2</v>
          </cell>
          <cell r="L15">
            <v>4.0827336845918161E-2</v>
          </cell>
          <cell r="M15">
            <v>3.8513787757982809E-2</v>
          </cell>
          <cell r="N15">
            <v>3.6331339785030448E-2</v>
          </cell>
          <cell r="O15">
            <v>3.4272563863878724E-2</v>
          </cell>
          <cell r="P15">
            <v>3.2330451911592284E-2</v>
          </cell>
          <cell r="Q15">
            <v>3.0498392969935395E-2</v>
          </cell>
          <cell r="R15">
            <v>2.8770150701639075E-2</v>
          </cell>
          <cell r="S15">
            <v>2.7139842161879479E-2</v>
          </cell>
          <cell r="T15">
            <v>2.5601917772706373E-2</v>
          </cell>
          <cell r="U15">
            <v>2.4151142432252914E-2</v>
          </cell>
          <cell r="V15">
            <v>2.2782577694425266E-2</v>
          </cell>
          <cell r="W15">
            <v>2.1491564958407872E-2</v>
          </cell>
          <cell r="X15"/>
        </row>
        <row r="16">
          <cell r="C16" t="str">
            <v>Retro3Slow</v>
          </cell>
          <cell r="D16">
            <v>5.5320496977002724E-3</v>
          </cell>
          <cell r="E16">
            <v>8.6958686465615706E-3</v>
          </cell>
          <cell r="F16">
            <v>1.7391737293123145E-2</v>
          </cell>
          <cell r="G16">
            <v>3.0435540262965514E-2</v>
          </cell>
          <cell r="H16">
            <v>4.7344173742390784E-2</v>
          </cell>
          <cell r="I16">
            <v>6.6281843239347063E-2</v>
          </cell>
          <cell r="J16">
            <v>8.4358709577350838E-2</v>
          </cell>
          <cell r="K16">
            <v>9.8418494506909315E-2</v>
          </cell>
          <cell r="L16">
            <v>0.10598914793051767</v>
          </cell>
          <cell r="M16">
            <v>0.10598914793051767</v>
          </cell>
          <cell r="N16">
            <v>9.8923204735149928E-2</v>
          </cell>
          <cell r="O16">
            <v>8.655780414325609E-2</v>
          </cell>
          <cell r="P16">
            <v>7.1282897529740263E-2</v>
          </cell>
          <cell r="Q16">
            <v>5.5442253634242489E-2</v>
          </cell>
          <cell r="R16">
            <v>4.0852186888389319E-2</v>
          </cell>
          <cell r="S16">
            <v>2.8596530821872412E-2</v>
          </cell>
          <cell r="T16">
            <v>1.9064353881248275E-2</v>
          </cell>
          <cell r="U16">
            <v>1.2131861560794377E-2</v>
          </cell>
          <cell r="V16">
            <v>7.3846113848314854E-3</v>
          </cell>
          <cell r="W16">
            <v>4.3076899744848296E-3</v>
          </cell>
          <cell r="X16"/>
        </row>
        <row r="17">
          <cell r="C17" t="str">
            <v>LightingPPA</v>
          </cell>
          <cell r="D17">
            <v>0.5468729734127814</v>
          </cell>
          <cell r="E17">
            <v>0.43749837873022512</v>
          </cell>
          <cell r="F17">
            <v>0.32812378404766884</v>
          </cell>
          <cell r="G17">
            <v>0.21874918936511256</v>
          </cell>
          <cell r="H17">
            <v>0.10937459468255628</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row>
        <row r="18">
          <cell r="B18"/>
          <cell r="C18"/>
          <cell r="D18"/>
          <cell r="E18"/>
          <cell r="F18"/>
          <cell r="G18"/>
          <cell r="H18"/>
          <cell r="I18"/>
          <cell r="J18"/>
          <cell r="K18"/>
          <cell r="L18"/>
          <cell r="M18"/>
          <cell r="N18"/>
          <cell r="O18"/>
          <cell r="P18"/>
          <cell r="Q18"/>
          <cell r="R18"/>
          <cell r="S18"/>
          <cell r="T18"/>
          <cell r="U18"/>
          <cell r="V18"/>
          <cell r="W18"/>
          <cell r="X18"/>
        </row>
        <row r="19">
          <cell r="A19" t="str">
            <v>End Use</v>
          </cell>
          <cell r="B19" t="str">
            <v>Measure Index Name</v>
          </cell>
          <cell r="C19" t="str">
            <v>Ramp</v>
          </cell>
          <cell r="D19">
            <v>2016</v>
          </cell>
          <cell r="E19">
            <v>2017</v>
          </cell>
          <cell r="F19">
            <v>2018</v>
          </cell>
          <cell r="G19">
            <v>2019</v>
          </cell>
          <cell r="H19">
            <v>2020</v>
          </cell>
          <cell r="I19">
            <v>2021</v>
          </cell>
          <cell r="J19">
            <v>2022</v>
          </cell>
          <cell r="K19">
            <v>2023</v>
          </cell>
          <cell r="L19">
            <v>2024</v>
          </cell>
          <cell r="M19">
            <v>2025</v>
          </cell>
          <cell r="N19">
            <v>2026</v>
          </cell>
          <cell r="O19">
            <v>2027</v>
          </cell>
          <cell r="P19">
            <v>2028</v>
          </cell>
          <cell r="Q19">
            <v>2029</v>
          </cell>
          <cell r="R19">
            <v>2030</v>
          </cell>
          <cell r="S19">
            <v>2031</v>
          </cell>
          <cell r="T19">
            <v>2032</v>
          </cell>
          <cell r="U19">
            <v>2033</v>
          </cell>
          <cell r="V19">
            <v>2034</v>
          </cell>
          <cell r="W19">
            <v>2035</v>
          </cell>
          <cell r="X19"/>
        </row>
        <row r="20">
          <cell r="A20" t="str">
            <v>Lighting</v>
          </cell>
          <cell r="B20" t="str">
            <v>Lighting - New</v>
          </cell>
          <cell r="C20" t="str">
            <v>LO20Fast</v>
          </cell>
          <cell r="D20">
            <v>0.22119921692859512</v>
          </cell>
          <cell r="E20">
            <v>0.37624232795148943</v>
          </cell>
          <cell r="F20">
            <v>0.48357361352878442</v>
          </cell>
          <cell r="G20">
            <v>0.56716330278444227</v>
          </cell>
          <cell r="H20">
            <v>0.64040048266456928</v>
          </cell>
          <cell r="I20">
            <v>0.70377511937632964</v>
          </cell>
          <cell r="J20">
            <v>0.7580669577441127</v>
          </cell>
          <cell r="K20">
            <v>0.80419335000071168</v>
          </cell>
          <cell r="L20">
            <v>0.84311022627788457</v>
          </cell>
          <cell r="M20">
            <v>0.87575014259103623</v>
          </cell>
          <cell r="N20">
            <v>0.90298584871682319</v>
          </cell>
          <cell r="O20">
            <v>0.92419703797508856</v>
          </cell>
          <cell r="P20">
            <v>0.94071632877930145</v>
          </cell>
          <cell r="Q20">
            <v>0.95358156539340677</v>
          </cell>
          <cell r="R20">
            <v>0.96360102174287088</v>
          </cell>
          <cell r="S20">
            <v>0.97140418219378311</v>
          </cell>
          <cell r="T20">
            <v>0.97748128966338554</v>
          </cell>
          <cell r="U20">
            <v>0.98221414571952104</v>
          </cell>
          <cell r="V20">
            <v>0.98590009772220355</v>
          </cell>
          <cell r="W20">
            <v>0.98877072002825628</v>
          </cell>
          <cell r="X20"/>
        </row>
        <row r="21">
          <cell r="A21" t="str">
            <v>Lighting</v>
          </cell>
          <cell r="B21" t="str">
            <v>Lighting - NR</v>
          </cell>
          <cell r="C21" t="str">
            <v>LO20Fast</v>
          </cell>
          <cell r="D21">
            <v>0.22119921692859512</v>
          </cell>
          <cell r="E21">
            <v>0.37624232795148943</v>
          </cell>
          <cell r="F21">
            <v>0.48357361352878442</v>
          </cell>
          <cell r="G21">
            <v>0.56716330278444227</v>
          </cell>
          <cell r="H21">
            <v>0.64040048266456928</v>
          </cell>
          <cell r="I21">
            <v>0.70377511937632964</v>
          </cell>
          <cell r="J21">
            <v>0.7580669577441127</v>
          </cell>
          <cell r="K21">
            <v>0.80419335000071168</v>
          </cell>
          <cell r="L21">
            <v>0.84311022627788457</v>
          </cell>
          <cell r="M21">
            <v>0.87575014259103623</v>
          </cell>
          <cell r="N21">
            <v>0.90298584871682319</v>
          </cell>
          <cell r="O21">
            <v>0.92419703797508856</v>
          </cell>
          <cell r="P21">
            <v>0.94071632877930145</v>
          </cell>
          <cell r="Q21">
            <v>0.95358156539340677</v>
          </cell>
          <cell r="R21">
            <v>0.96360102174287088</v>
          </cell>
          <cell r="S21">
            <v>0.97140418219378311</v>
          </cell>
          <cell r="T21">
            <v>0.97748128966338554</v>
          </cell>
          <cell r="U21">
            <v>0.98221414571952104</v>
          </cell>
          <cell r="V21">
            <v>0.98590009772220355</v>
          </cell>
          <cell r="W21">
            <v>0.98877072002825628</v>
          </cell>
          <cell r="X21"/>
        </row>
        <row r="22">
          <cell r="A22" t="str">
            <v>Lighting</v>
          </cell>
          <cell r="B22" t="str">
            <v>Lighting - PPA</v>
          </cell>
          <cell r="C22" t="str">
            <v>Retro20Fast</v>
          </cell>
          <cell r="D22">
            <v>0.22119921692859512</v>
          </cell>
          <cell r="E22">
            <v>0.15504311102289431</v>
          </cell>
          <cell r="F22">
            <v>0.10733128557729499</v>
          </cell>
          <cell r="G22">
            <v>8.3589689255657879E-2</v>
          </cell>
          <cell r="H22">
            <v>7.3237179880126971E-2</v>
          </cell>
          <cell r="I22">
            <v>6.3374636711760357E-2</v>
          </cell>
          <cell r="J22">
            <v>5.4291838367783084E-2</v>
          </cell>
          <cell r="K22">
            <v>4.612639225659896E-2</v>
          </cell>
          <cell r="L22">
            <v>3.8916876277172864E-2</v>
          </cell>
          <cell r="M22">
            <v>3.2639916313151704E-2</v>
          </cell>
          <cell r="N22">
            <v>2.7235706125786907E-2</v>
          </cell>
          <cell r="O22">
            <v>2.1211189258265428E-2</v>
          </cell>
          <cell r="P22">
            <v>1.6519290804212883E-2</v>
          </cell>
          <cell r="Q22">
            <v>1.2865236614105324E-2</v>
          </cell>
          <cell r="R22">
            <v>1.0019456349464106E-2</v>
          </cell>
          <cell r="S22">
            <v>7.8031604509122832E-3</v>
          </cell>
          <cell r="T22">
            <v>6.077107469602494E-3</v>
          </cell>
          <cell r="U22">
            <v>4.7328560561354371E-3</v>
          </cell>
          <cell r="V22">
            <v>3.6859520026825132E-3</v>
          </cell>
          <cell r="W22">
            <v>2.8706223060526725E-3</v>
          </cell>
          <cell r="X22"/>
        </row>
        <row r="23">
          <cell r="A23" t="str">
            <v>Lighting PPA</v>
          </cell>
          <cell r="B23" t="str">
            <v>Lighting PPA</v>
          </cell>
          <cell r="C23" t="str">
            <v>LightingPPA</v>
          </cell>
          <cell r="D23">
            <v>0.5468729734127814</v>
          </cell>
          <cell r="E23">
            <v>0.43749837873022512</v>
          </cell>
          <cell r="F23">
            <v>0.32812378404766884</v>
          </cell>
          <cell r="G23">
            <v>0.21874918936511256</v>
          </cell>
          <cell r="H23">
            <v>0.10937459468255628</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row>
        <row r="24">
          <cell r="A24" t="str">
            <v>Water Heating</v>
          </cell>
          <cell r="B24" t="str">
            <v>Dishwasher - New</v>
          </cell>
          <cell r="C24" t="str">
            <v>LO12Med</v>
          </cell>
          <cell r="D24">
            <v>0.10937459468255628</v>
          </cell>
          <cell r="E24">
            <v>0.21874918936511256</v>
          </cell>
          <cell r="F24">
            <v>0.32812378404766884</v>
          </cell>
          <cell r="G24">
            <v>0.43749837873022512</v>
          </cell>
          <cell r="H24">
            <v>0.5468729734127814</v>
          </cell>
          <cell r="I24">
            <v>0.64531010862708205</v>
          </cell>
          <cell r="J24">
            <v>0.7240598167985226</v>
          </cell>
          <cell r="K24">
            <v>0.78705958333567505</v>
          </cell>
          <cell r="L24">
            <v>0.83745939656539703</v>
          </cell>
          <cell r="M24">
            <v>0.87777924714917455</v>
          </cell>
          <cell r="N24">
            <v>0.91003512761619654</v>
          </cell>
          <cell r="O24">
            <v>0.93583983198981413</v>
          </cell>
          <cell r="P24">
            <v>0.9564835954887082</v>
          </cell>
          <cell r="Q24">
            <v>0.97299860628782353</v>
          </cell>
          <cell r="R24">
            <v>0.9862106149271157</v>
          </cell>
          <cell r="S24">
            <v>0.99678022183854953</v>
          </cell>
          <cell r="T24">
            <v>0.99685231466234414</v>
          </cell>
          <cell r="U24">
            <v>0.99687806209941365</v>
          </cell>
          <cell r="V24">
            <v>0.99688683963477831</v>
          </cell>
          <cell r="W24">
            <v>0.99688970187457115</v>
          </cell>
          <cell r="X24"/>
        </row>
        <row r="25">
          <cell r="A25" t="str">
            <v>Water Heating</v>
          </cell>
          <cell r="B25" t="str">
            <v>Dishwasher - NR</v>
          </cell>
          <cell r="C25" t="str">
            <v>LO12Med</v>
          </cell>
          <cell r="D25">
            <v>0.10937459468255628</v>
          </cell>
          <cell r="E25">
            <v>0.21874918936511256</v>
          </cell>
          <cell r="F25">
            <v>0.32812378404766884</v>
          </cell>
          <cell r="G25">
            <v>0.43749837873022512</v>
          </cell>
          <cell r="H25">
            <v>0.5468729734127814</v>
          </cell>
          <cell r="I25">
            <v>0.64531010862708205</v>
          </cell>
          <cell r="J25">
            <v>0.7240598167985226</v>
          </cell>
          <cell r="K25">
            <v>0.78705958333567505</v>
          </cell>
          <cell r="L25">
            <v>0.83745939656539703</v>
          </cell>
          <cell r="M25">
            <v>0.87777924714917455</v>
          </cell>
          <cell r="N25">
            <v>0.91003512761619654</v>
          </cell>
          <cell r="O25">
            <v>0.93583983198981413</v>
          </cell>
          <cell r="P25">
            <v>0.9564835954887082</v>
          </cell>
          <cell r="Q25">
            <v>0.97299860628782353</v>
          </cell>
          <cell r="R25">
            <v>0.9862106149271157</v>
          </cell>
          <cell r="S25">
            <v>0.99678022183854953</v>
          </cell>
          <cell r="T25">
            <v>0.99685231466234414</v>
          </cell>
          <cell r="U25">
            <v>0.99687806209941365</v>
          </cell>
          <cell r="V25">
            <v>0.99688683963477831</v>
          </cell>
          <cell r="W25">
            <v>0.99688970187457115</v>
          </cell>
          <cell r="X25"/>
        </row>
        <row r="26">
          <cell r="A26" t="str">
            <v>Water Heating</v>
          </cell>
          <cell r="B26" t="str">
            <v>Clothes Washer - New</v>
          </cell>
          <cell r="C26" t="str">
            <v>LO12Med</v>
          </cell>
          <cell r="D26">
            <v>0.10937459468255628</v>
          </cell>
          <cell r="E26">
            <v>0.21874918936511256</v>
          </cell>
          <cell r="F26">
            <v>0.32812378404766884</v>
          </cell>
          <cell r="G26">
            <v>0.43749837873022512</v>
          </cell>
          <cell r="H26">
            <v>0.5468729734127814</v>
          </cell>
          <cell r="I26">
            <v>0.64531010862708205</v>
          </cell>
          <cell r="J26">
            <v>0.7240598167985226</v>
          </cell>
          <cell r="K26">
            <v>0.78705958333567505</v>
          </cell>
          <cell r="L26">
            <v>0.83745939656539703</v>
          </cell>
          <cell r="M26">
            <v>0.87777924714917455</v>
          </cell>
          <cell r="N26">
            <v>0.91003512761619654</v>
          </cell>
          <cell r="O26">
            <v>0.93583983198981413</v>
          </cell>
          <cell r="P26">
            <v>0.9564835954887082</v>
          </cell>
          <cell r="Q26">
            <v>0.97299860628782353</v>
          </cell>
          <cell r="R26">
            <v>0.9862106149271157</v>
          </cell>
          <cell r="S26">
            <v>0.99678022183854953</v>
          </cell>
          <cell r="T26">
            <v>0.99685231466234414</v>
          </cell>
          <cell r="U26">
            <v>0.99687806209941365</v>
          </cell>
          <cell r="V26">
            <v>0.99688683963477831</v>
          </cell>
          <cell r="W26">
            <v>0.99688970187457115</v>
          </cell>
          <cell r="X26"/>
        </row>
        <row r="27">
          <cell r="A27" t="str">
            <v>Water Heating</v>
          </cell>
          <cell r="B27" t="str">
            <v>Clothes Washer - NR</v>
          </cell>
          <cell r="C27" t="str">
            <v>LO12Med</v>
          </cell>
          <cell r="D27">
            <v>0.10937459468255628</v>
          </cell>
          <cell r="E27">
            <v>0.21874918936511256</v>
          </cell>
          <cell r="F27">
            <v>0.32812378404766884</v>
          </cell>
          <cell r="G27">
            <v>0.43749837873022512</v>
          </cell>
          <cell r="H27">
            <v>0.5468729734127814</v>
          </cell>
          <cell r="I27">
            <v>0.64531010862708205</v>
          </cell>
          <cell r="J27">
            <v>0.7240598167985226</v>
          </cell>
          <cell r="K27">
            <v>0.78705958333567505</v>
          </cell>
          <cell r="L27">
            <v>0.83745939656539703</v>
          </cell>
          <cell r="M27">
            <v>0.87777924714917455</v>
          </cell>
          <cell r="N27">
            <v>0.91003512761619654</v>
          </cell>
          <cell r="O27">
            <v>0.93583983198981413</v>
          </cell>
          <cell r="P27">
            <v>0.9564835954887082</v>
          </cell>
          <cell r="Q27">
            <v>0.97299860628782353</v>
          </cell>
          <cell r="R27">
            <v>0.9862106149271157</v>
          </cell>
          <cell r="S27">
            <v>0.99678022183854953</v>
          </cell>
          <cell r="T27">
            <v>0.99685231466234414</v>
          </cell>
          <cell r="U27">
            <v>0.99687806209941365</v>
          </cell>
          <cell r="V27">
            <v>0.99688683963477831</v>
          </cell>
          <cell r="W27">
            <v>0.99688970187457115</v>
          </cell>
          <cell r="X27"/>
        </row>
        <row r="28">
          <cell r="A28" t="str">
            <v>Water Heating</v>
          </cell>
          <cell r="B28" t="str">
            <v>WasteWater Heat Recovery - New</v>
          </cell>
          <cell r="C28" t="str">
            <v>LO1Slow</v>
          </cell>
          <cell r="D28">
            <v>2.5643970768378654E-3</v>
          </cell>
          <cell r="E28">
            <v>7.6904586297764643E-3</v>
          </cell>
          <cell r="F28">
            <v>1.6792013047419844E-2</v>
          </cell>
          <cell r="G28">
            <v>3.15969387774655E-2</v>
          </cell>
          <cell r="H28">
            <v>5.406874819795171E-2</v>
          </cell>
          <cell r="I28">
            <v>8.6253181011834101E-2</v>
          </cell>
          <cell r="J28">
            <v>0.1300328481838382</v>
          </cell>
          <cell r="K28">
            <v>0.18678710893858319</v>
          </cell>
          <cell r="L28">
            <v>0.2569823480072907</v>
          </cell>
          <cell r="M28">
            <v>0.33975920985004748</v>
          </cell>
          <cell r="N28">
            <v>0.43262946935754232</v>
          </cell>
          <cell r="O28">
            <v>0.53142594003645804</v>
          </cell>
          <cell r="P28">
            <v>0.63063487292644704</v>
          </cell>
          <cell r="Q28">
            <v>0.7241560234206913</v>
          </cell>
          <cell r="R28">
            <v>0.80638203131755359</v>
          </cell>
          <cell r="S28">
            <v>0.87331559734491926</v>
          </cell>
          <cell r="T28">
            <v>0.92334516248836807</v>
          </cell>
          <cell r="U28">
            <v>0.95737002770730018</v>
          </cell>
          <cell r="V28">
            <v>0.97821608704807483</v>
          </cell>
          <cell r="W28">
            <v>0.98821608704807484</v>
          </cell>
          <cell r="X28"/>
        </row>
        <row r="29">
          <cell r="A29" t="str">
            <v>Water Heating</v>
          </cell>
          <cell r="B29" t="str">
            <v>Showerheads - New</v>
          </cell>
          <cell r="C29" t="str">
            <v>LO12MEd</v>
          </cell>
          <cell r="D29">
            <v>0.10937459468255628</v>
          </cell>
          <cell r="E29">
            <v>0.21874918936511256</v>
          </cell>
          <cell r="F29">
            <v>0.32812378404766884</v>
          </cell>
          <cell r="G29">
            <v>0.43749837873022512</v>
          </cell>
          <cell r="H29">
            <v>0.5468729734127814</v>
          </cell>
          <cell r="I29">
            <v>0.64531010862708205</v>
          </cell>
          <cell r="J29">
            <v>0.7240598167985226</v>
          </cell>
          <cell r="K29">
            <v>0.78705958333567505</v>
          </cell>
          <cell r="L29">
            <v>0.83745939656539703</v>
          </cell>
          <cell r="M29">
            <v>0.87777924714917455</v>
          </cell>
          <cell r="N29">
            <v>0.91003512761619654</v>
          </cell>
          <cell r="O29">
            <v>0.93583983198981413</v>
          </cell>
          <cell r="P29">
            <v>0.9564835954887082</v>
          </cell>
          <cell r="Q29">
            <v>0.97299860628782353</v>
          </cell>
          <cell r="R29">
            <v>0.9862106149271157</v>
          </cell>
          <cell r="S29">
            <v>0.99678022183854953</v>
          </cell>
          <cell r="T29">
            <v>0.99685231466234414</v>
          </cell>
          <cell r="U29">
            <v>0.99687806209941365</v>
          </cell>
          <cell r="V29">
            <v>0.99688683963477831</v>
          </cell>
          <cell r="W29">
            <v>0.99688970187457115</v>
          </cell>
          <cell r="X29"/>
        </row>
        <row r="30">
          <cell r="A30" t="str">
            <v>Water Heating</v>
          </cell>
          <cell r="B30" t="str">
            <v>Showerheads - Retro</v>
          </cell>
          <cell r="C30" t="str">
            <v>Retro12Med</v>
          </cell>
          <cell r="D30">
            <v>0.10937459468255628</v>
          </cell>
          <cell r="E30">
            <v>0.10937459468255628</v>
          </cell>
          <cell r="F30">
            <v>0.10937459468255628</v>
          </cell>
          <cell r="G30">
            <v>0.10937459468255628</v>
          </cell>
          <cell r="H30">
            <v>0.10937459468255628</v>
          </cell>
          <cell r="I30">
            <v>9.8437135214300656E-2</v>
          </cell>
          <cell r="J30">
            <v>7.874970817144053E-2</v>
          </cell>
          <cell r="K30">
            <v>6.2999766537152418E-2</v>
          </cell>
          <cell r="L30">
            <v>5.0399813229721938E-2</v>
          </cell>
          <cell r="M30">
            <v>4.0319850583777551E-2</v>
          </cell>
          <cell r="N30">
            <v>3.225588046702204E-2</v>
          </cell>
          <cell r="O30">
            <v>2.5804704373617631E-2</v>
          </cell>
          <cell r="P30">
            <v>2.0643763498894106E-2</v>
          </cell>
          <cell r="Q30">
            <v>1.6515010799115284E-2</v>
          </cell>
          <cell r="R30">
            <v>1.3212008639292228E-2</v>
          </cell>
          <cell r="S30">
            <v>1.0569606911433781E-2</v>
          </cell>
          <cell r="T30">
            <v>7.2092823794611682E-5</v>
          </cell>
          <cell r="U30">
            <v>2.5747437069512102E-5</v>
          </cell>
          <cell r="V30">
            <v>8.7775353646568632E-6</v>
          </cell>
          <cell r="W30">
            <v>2.8622397928446119E-6</v>
          </cell>
          <cell r="X30"/>
        </row>
        <row r="31">
          <cell r="A31" t="str">
            <v>Water Heating</v>
          </cell>
          <cell r="B31" t="str">
            <v>HPWH - New</v>
          </cell>
          <cell r="C31" t="str">
            <v>LO3Slow</v>
          </cell>
          <cell r="D31">
            <v>5.5320496977002724E-3</v>
          </cell>
          <cell r="E31">
            <v>1.4227918344261844E-2</v>
          </cell>
          <cell r="F31">
            <v>3.1619655637384989E-2</v>
          </cell>
          <cell r="G31">
            <v>6.2055195900350503E-2</v>
          </cell>
          <cell r="H31">
            <v>0.10939936964274129</v>
          </cell>
          <cell r="I31">
            <v>0.17568121288208835</v>
          </cell>
          <cell r="J31">
            <v>0.26003992245943919</v>
          </cell>
          <cell r="K31">
            <v>0.3584584169663485</v>
          </cell>
          <cell r="L31">
            <v>0.46444756489686617</v>
          </cell>
          <cell r="M31">
            <v>0.57043671282738384</v>
          </cell>
          <cell r="N31">
            <v>0.66935991756253377</v>
          </cell>
          <cell r="O31">
            <v>0.75591772170578986</v>
          </cell>
          <cell r="P31">
            <v>0.82720061923553012</v>
          </cell>
          <cell r="Q31">
            <v>0.88264287286977261</v>
          </cell>
          <cell r="R31">
            <v>0.92349505975816193</v>
          </cell>
          <cell r="S31">
            <v>0.95209159058003434</v>
          </cell>
          <cell r="T31">
            <v>0.97115594446128262</v>
          </cell>
          <cell r="U31">
            <v>0.98328780602207699</v>
          </cell>
          <cell r="V31">
            <v>0.99067241740690848</v>
          </cell>
          <cell r="W31">
            <v>0.99498010738139331</v>
          </cell>
          <cell r="X31"/>
        </row>
        <row r="32">
          <cell r="A32" t="str">
            <v>Water Heating</v>
          </cell>
          <cell r="B32" t="str">
            <v>HPWH - NR</v>
          </cell>
          <cell r="C32" t="str">
            <v>LO3Slow</v>
          </cell>
          <cell r="D32">
            <v>5.5320496977002724E-3</v>
          </cell>
          <cell r="E32">
            <v>1.4227918344261844E-2</v>
          </cell>
          <cell r="F32">
            <v>3.1619655637384989E-2</v>
          </cell>
          <cell r="G32">
            <v>6.2055195900350503E-2</v>
          </cell>
          <cell r="H32">
            <v>0.10939936964274129</v>
          </cell>
          <cell r="I32">
            <v>0.17568121288208835</v>
          </cell>
          <cell r="J32">
            <v>0.26003992245943919</v>
          </cell>
          <cell r="K32">
            <v>0.3584584169663485</v>
          </cell>
          <cell r="L32">
            <v>0.46444756489686617</v>
          </cell>
          <cell r="M32">
            <v>0.57043671282738384</v>
          </cell>
          <cell r="N32">
            <v>0.66935991756253377</v>
          </cell>
          <cell r="O32">
            <v>0.75591772170578986</v>
          </cell>
          <cell r="P32">
            <v>0.82720061923553012</v>
          </cell>
          <cell r="Q32">
            <v>0.88264287286977261</v>
          </cell>
          <cell r="R32">
            <v>0.92349505975816193</v>
          </cell>
          <cell r="S32">
            <v>0.95209159058003434</v>
          </cell>
          <cell r="T32">
            <v>0.97115594446128262</v>
          </cell>
          <cell r="U32">
            <v>0.98328780602207699</v>
          </cell>
          <cell r="V32">
            <v>0.99067241740690848</v>
          </cell>
          <cell r="W32">
            <v>0.99498010738139331</v>
          </cell>
          <cell r="X32"/>
        </row>
        <row r="33">
          <cell r="A33" t="str">
            <v>Whole Bldg/Meter Level</v>
          </cell>
          <cell r="B33" t="str">
            <v>EV Supply Equip - NR</v>
          </cell>
          <cell r="C33" t="str">
            <v>LOMax60</v>
          </cell>
          <cell r="D33">
            <v>0.01</v>
          </cell>
          <cell r="E33">
            <v>2.98E-2</v>
          </cell>
          <cell r="F33">
            <v>5.8906E-2</v>
          </cell>
          <cell r="G33">
            <v>9.6549759999999998E-2</v>
          </cell>
          <cell r="H33">
            <v>0.14172227199999998</v>
          </cell>
          <cell r="I33">
            <v>0.19035800991999999</v>
          </cell>
          <cell r="J33">
            <v>0.2362377226912</v>
          </cell>
          <cell r="K33">
            <v>0.279517585072032</v>
          </cell>
          <cell r="L33">
            <v>0.32034492191795017</v>
          </cell>
          <cell r="M33">
            <v>0.35885870967593297</v>
          </cell>
          <cell r="N33">
            <v>0.39519004946096342</v>
          </cell>
          <cell r="O33">
            <v>0.42946261332484215</v>
          </cell>
          <cell r="P33">
            <v>0.46179306523643443</v>
          </cell>
          <cell r="Q33">
            <v>0.49229145820636983</v>
          </cell>
          <cell r="R33">
            <v>0.5210616089080089</v>
          </cell>
          <cell r="S33">
            <v>0.54820145106988838</v>
          </cell>
          <cell r="T33">
            <v>0.57380336884259475</v>
          </cell>
          <cell r="U33">
            <v>0.59795451127484767</v>
          </cell>
          <cell r="V33">
            <v>0.62073708896927293</v>
          </cell>
          <cell r="W33">
            <v>0.6422286539276808</v>
          </cell>
          <cell r="X33"/>
        </row>
        <row r="34">
          <cell r="A34" t="str">
            <v>Dryer</v>
          </cell>
          <cell r="B34" t="str">
            <v>Clothes Dryer - New</v>
          </cell>
          <cell r="C34" t="str">
            <v>LOMax60</v>
          </cell>
          <cell r="D34">
            <v>0.01</v>
          </cell>
          <cell r="E34">
            <v>2.98E-2</v>
          </cell>
          <cell r="F34">
            <v>5.8906E-2</v>
          </cell>
          <cell r="G34">
            <v>9.6549759999999998E-2</v>
          </cell>
          <cell r="H34">
            <v>0.14172227199999998</v>
          </cell>
          <cell r="I34">
            <v>0.19035800991999999</v>
          </cell>
          <cell r="J34">
            <v>0.2362377226912</v>
          </cell>
          <cell r="K34">
            <v>0.279517585072032</v>
          </cell>
          <cell r="L34">
            <v>0.32034492191795017</v>
          </cell>
          <cell r="M34">
            <v>0.35885870967593297</v>
          </cell>
          <cell r="N34">
            <v>0.39519004946096342</v>
          </cell>
          <cell r="O34">
            <v>0.42946261332484215</v>
          </cell>
          <cell r="P34">
            <v>0.46179306523643443</v>
          </cell>
          <cell r="Q34">
            <v>0.49229145820636983</v>
          </cell>
          <cell r="R34">
            <v>0.5210616089080089</v>
          </cell>
          <cell r="S34">
            <v>0.54820145106988838</v>
          </cell>
          <cell r="T34">
            <v>0.57380336884259475</v>
          </cell>
          <cell r="U34">
            <v>0.59795451127484767</v>
          </cell>
          <cell r="V34">
            <v>0.62073708896927293</v>
          </cell>
          <cell r="W34">
            <v>0.6422286539276808</v>
          </cell>
          <cell r="X34"/>
        </row>
        <row r="35">
          <cell r="A35" t="str">
            <v>Dryer</v>
          </cell>
          <cell r="B35" t="str">
            <v>Clothes Dryer - NR</v>
          </cell>
          <cell r="C35" t="str">
            <v>LOMax60</v>
          </cell>
          <cell r="D35">
            <v>0.01</v>
          </cell>
          <cell r="E35">
            <v>2.98E-2</v>
          </cell>
          <cell r="F35">
            <v>5.8906E-2</v>
          </cell>
          <cell r="G35">
            <v>9.6549759999999998E-2</v>
          </cell>
          <cell r="H35">
            <v>0.14172227199999998</v>
          </cell>
          <cell r="I35">
            <v>0.19035800991999999</v>
          </cell>
          <cell r="J35">
            <v>0.2362377226912</v>
          </cell>
          <cell r="K35">
            <v>0.279517585072032</v>
          </cell>
          <cell r="L35">
            <v>0.32034492191795017</v>
          </cell>
          <cell r="M35">
            <v>0.35885870967593297</v>
          </cell>
          <cell r="N35">
            <v>0.39519004946096342</v>
          </cell>
          <cell r="O35">
            <v>0.42946261332484215</v>
          </cell>
          <cell r="P35">
            <v>0.46179306523643443</v>
          </cell>
          <cell r="Q35">
            <v>0.49229145820636983</v>
          </cell>
          <cell r="R35">
            <v>0.5210616089080089</v>
          </cell>
          <cell r="S35">
            <v>0.54820145106988838</v>
          </cell>
          <cell r="T35">
            <v>0.57380336884259475</v>
          </cell>
          <cell r="U35">
            <v>0.59795451127484767</v>
          </cell>
          <cell r="V35">
            <v>0.62073708896927293</v>
          </cell>
          <cell r="W35">
            <v>0.6422286539276808</v>
          </cell>
          <cell r="X35"/>
        </row>
        <row r="36">
          <cell r="A36" t="str">
            <v>Refrigeration</v>
          </cell>
          <cell r="B36" t="str">
            <v>Refrigerator - New</v>
          </cell>
          <cell r="C36" t="str">
            <v>LO1Slow</v>
          </cell>
          <cell r="D36">
            <v>2.5643970768378654E-3</v>
          </cell>
          <cell r="E36">
            <v>7.6904586297764643E-3</v>
          </cell>
          <cell r="F36">
            <v>1.6792013047419844E-2</v>
          </cell>
          <cell r="G36">
            <v>3.15969387774655E-2</v>
          </cell>
          <cell r="H36">
            <v>5.406874819795171E-2</v>
          </cell>
          <cell r="I36">
            <v>8.6253181011834101E-2</v>
          </cell>
          <cell r="J36">
            <v>0.1300328481838382</v>
          </cell>
          <cell r="K36">
            <v>0.18678710893858319</v>
          </cell>
          <cell r="L36">
            <v>0.2569823480072907</v>
          </cell>
          <cell r="M36">
            <v>0.33975920985004748</v>
          </cell>
          <cell r="N36">
            <v>0.43262946935754232</v>
          </cell>
          <cell r="O36">
            <v>0.53142594003645804</v>
          </cell>
          <cell r="P36">
            <v>0.63063487292644704</v>
          </cell>
          <cell r="Q36">
            <v>0.7241560234206913</v>
          </cell>
          <cell r="R36">
            <v>0.80638203131755359</v>
          </cell>
          <cell r="S36">
            <v>0.87331559734491926</v>
          </cell>
          <cell r="T36">
            <v>0.92334516248836807</v>
          </cell>
          <cell r="U36">
            <v>0.95737002770730018</v>
          </cell>
          <cell r="V36">
            <v>0.97821608704807483</v>
          </cell>
          <cell r="W36">
            <v>0.98821608704807484</v>
          </cell>
          <cell r="X36"/>
        </row>
        <row r="37">
          <cell r="A37" t="str">
            <v>Refrigeration</v>
          </cell>
          <cell r="B37" t="str">
            <v>Refrigerator - NR</v>
          </cell>
          <cell r="C37" t="str">
            <v>LO1Slow</v>
          </cell>
          <cell r="D37">
            <v>2.5643970768378654E-3</v>
          </cell>
          <cell r="E37">
            <v>7.6904586297764643E-3</v>
          </cell>
          <cell r="F37">
            <v>1.6792013047419844E-2</v>
          </cell>
          <cell r="G37">
            <v>3.15969387774655E-2</v>
          </cell>
          <cell r="H37">
            <v>5.406874819795171E-2</v>
          </cell>
          <cell r="I37">
            <v>8.6253181011834101E-2</v>
          </cell>
          <cell r="J37">
            <v>0.1300328481838382</v>
          </cell>
          <cell r="K37">
            <v>0.18678710893858319</v>
          </cell>
          <cell r="L37">
            <v>0.2569823480072907</v>
          </cell>
          <cell r="M37">
            <v>0.33975920985004748</v>
          </cell>
          <cell r="N37">
            <v>0.43262946935754232</v>
          </cell>
          <cell r="O37">
            <v>0.53142594003645804</v>
          </cell>
          <cell r="P37">
            <v>0.63063487292644704</v>
          </cell>
          <cell r="Q37">
            <v>0.7241560234206913</v>
          </cell>
          <cell r="R37">
            <v>0.80638203131755359</v>
          </cell>
          <cell r="S37">
            <v>0.87331559734491926</v>
          </cell>
          <cell r="T37">
            <v>0.92334516248836807</v>
          </cell>
          <cell r="U37">
            <v>0.95737002770730018</v>
          </cell>
          <cell r="V37">
            <v>0.97821608704807483</v>
          </cell>
          <cell r="W37">
            <v>0.98821608704807484</v>
          </cell>
          <cell r="X37"/>
        </row>
        <row r="38">
          <cell r="A38" t="str">
            <v>Refrigeration</v>
          </cell>
          <cell r="B38" t="str">
            <v>Freezer - New</v>
          </cell>
          <cell r="C38" t="str">
            <v>LO1Slow</v>
          </cell>
          <cell r="D38">
            <v>2.5643970768378654E-3</v>
          </cell>
          <cell r="E38">
            <v>7.6904586297764643E-3</v>
          </cell>
          <cell r="F38">
            <v>1.6792013047419844E-2</v>
          </cell>
          <cell r="G38">
            <v>3.15969387774655E-2</v>
          </cell>
          <cell r="H38">
            <v>5.406874819795171E-2</v>
          </cell>
          <cell r="I38">
            <v>8.6253181011834101E-2</v>
          </cell>
          <cell r="J38">
            <v>0.1300328481838382</v>
          </cell>
          <cell r="K38">
            <v>0.18678710893858319</v>
          </cell>
          <cell r="L38">
            <v>0.2569823480072907</v>
          </cell>
          <cell r="M38">
            <v>0.33975920985004748</v>
          </cell>
          <cell r="N38">
            <v>0.43262946935754232</v>
          </cell>
          <cell r="O38">
            <v>0.53142594003645804</v>
          </cell>
          <cell r="P38">
            <v>0.63063487292644704</v>
          </cell>
          <cell r="Q38">
            <v>0.7241560234206913</v>
          </cell>
          <cell r="R38">
            <v>0.80638203131755359</v>
          </cell>
          <cell r="S38">
            <v>0.87331559734491926</v>
          </cell>
          <cell r="T38">
            <v>0.92334516248836807</v>
          </cell>
          <cell r="U38">
            <v>0.95737002770730018</v>
          </cell>
          <cell r="V38">
            <v>0.97821608704807483</v>
          </cell>
          <cell r="W38">
            <v>0.98821608704807484</v>
          </cell>
          <cell r="X38"/>
        </row>
        <row r="39">
          <cell r="A39" t="str">
            <v>Refrigeration</v>
          </cell>
          <cell r="B39" t="str">
            <v>Freezer - NR</v>
          </cell>
          <cell r="C39" t="str">
            <v>LO1Slow</v>
          </cell>
          <cell r="D39">
            <v>2.5643970768378654E-3</v>
          </cell>
          <cell r="E39">
            <v>7.6904586297764643E-3</v>
          </cell>
          <cell r="F39">
            <v>1.6792013047419844E-2</v>
          </cell>
          <cell r="G39">
            <v>3.15969387774655E-2</v>
          </cell>
          <cell r="H39">
            <v>5.406874819795171E-2</v>
          </cell>
          <cell r="I39">
            <v>8.6253181011834101E-2</v>
          </cell>
          <cell r="J39">
            <v>0.1300328481838382</v>
          </cell>
          <cell r="K39">
            <v>0.18678710893858319</v>
          </cell>
          <cell r="L39">
            <v>0.2569823480072907</v>
          </cell>
          <cell r="M39">
            <v>0.33975920985004748</v>
          </cell>
          <cell r="N39">
            <v>0.43262946935754232</v>
          </cell>
          <cell r="O39">
            <v>0.53142594003645804</v>
          </cell>
          <cell r="P39">
            <v>0.63063487292644704</v>
          </cell>
          <cell r="Q39">
            <v>0.7241560234206913</v>
          </cell>
          <cell r="R39">
            <v>0.80638203131755359</v>
          </cell>
          <cell r="S39">
            <v>0.87331559734491926</v>
          </cell>
          <cell r="T39">
            <v>0.92334516248836807</v>
          </cell>
          <cell r="U39">
            <v>0.95737002770730018</v>
          </cell>
          <cell r="V39">
            <v>0.97821608704807483</v>
          </cell>
          <cell r="W39">
            <v>0.98821608704807484</v>
          </cell>
          <cell r="X39"/>
        </row>
        <row r="40">
          <cell r="A40" t="str">
            <v>Water Heating</v>
          </cell>
          <cell r="B40" t="str">
            <v>Solar Water Heater - New</v>
          </cell>
          <cell r="C40" t="str">
            <v>LOMax60</v>
          </cell>
          <cell r="D40">
            <v>0.01</v>
          </cell>
          <cell r="E40">
            <v>2.98E-2</v>
          </cell>
          <cell r="F40">
            <v>5.8906E-2</v>
          </cell>
          <cell r="G40">
            <v>9.6549759999999998E-2</v>
          </cell>
          <cell r="H40">
            <v>0.14172227199999998</v>
          </cell>
          <cell r="I40">
            <v>0.19035800991999999</v>
          </cell>
          <cell r="J40">
            <v>0.2362377226912</v>
          </cell>
          <cell r="K40">
            <v>0.279517585072032</v>
          </cell>
          <cell r="L40">
            <v>0.32034492191795017</v>
          </cell>
          <cell r="M40">
            <v>0.35885870967593297</v>
          </cell>
          <cell r="N40">
            <v>0.39519004946096342</v>
          </cell>
          <cell r="O40">
            <v>0.42946261332484215</v>
          </cell>
          <cell r="P40">
            <v>0.46179306523643443</v>
          </cell>
          <cell r="Q40">
            <v>0.49229145820636983</v>
          </cell>
          <cell r="R40">
            <v>0.5210616089080089</v>
          </cell>
          <cell r="S40">
            <v>0.54820145106988838</v>
          </cell>
          <cell r="T40">
            <v>0.57380336884259475</v>
          </cell>
          <cell r="U40">
            <v>0.59795451127484767</v>
          </cell>
          <cell r="V40">
            <v>0.62073708896927293</v>
          </cell>
          <cell r="W40">
            <v>0.6422286539276808</v>
          </cell>
          <cell r="X40"/>
        </row>
        <row r="41">
          <cell r="A41" t="str">
            <v>Water Heating</v>
          </cell>
          <cell r="B41" t="str">
            <v>Solar Water Heater - NR</v>
          </cell>
          <cell r="C41" t="str">
            <v>LOMax60</v>
          </cell>
          <cell r="D41">
            <v>0.01</v>
          </cell>
          <cell r="E41">
            <v>2.98E-2</v>
          </cell>
          <cell r="F41">
            <v>5.8906E-2</v>
          </cell>
          <cell r="G41">
            <v>9.6549759999999998E-2</v>
          </cell>
          <cell r="H41">
            <v>0.14172227199999998</v>
          </cell>
          <cell r="I41">
            <v>0.19035800991999999</v>
          </cell>
          <cell r="J41">
            <v>0.2362377226912</v>
          </cell>
          <cell r="K41">
            <v>0.279517585072032</v>
          </cell>
          <cell r="L41">
            <v>0.32034492191795017</v>
          </cell>
          <cell r="M41">
            <v>0.35885870967593297</v>
          </cell>
          <cell r="N41">
            <v>0.39519004946096342</v>
          </cell>
          <cell r="O41">
            <v>0.42946261332484215</v>
          </cell>
          <cell r="P41">
            <v>0.46179306523643443</v>
          </cell>
          <cell r="Q41">
            <v>0.49229145820636983</v>
          </cell>
          <cell r="R41">
            <v>0.5210616089080089</v>
          </cell>
          <cell r="S41">
            <v>0.54820145106988838</v>
          </cell>
          <cell r="T41">
            <v>0.57380336884259475</v>
          </cell>
          <cell r="U41">
            <v>0.59795451127484767</v>
          </cell>
          <cell r="V41">
            <v>0.62073708896927293</v>
          </cell>
          <cell r="W41">
            <v>0.6422286539276808</v>
          </cell>
          <cell r="X41"/>
        </row>
        <row r="42">
          <cell r="A42" t="str">
            <v>Water Heating</v>
          </cell>
          <cell r="B42" t="str">
            <v>Solar Water Heater - Retro</v>
          </cell>
          <cell r="C42" t="str">
            <v>RetroMax60</v>
          </cell>
          <cell r="D42">
            <v>0.01</v>
          </cell>
          <cell r="E42">
            <v>1.9799999999999998E-2</v>
          </cell>
          <cell r="F42">
            <v>2.9106E-2</v>
          </cell>
          <cell r="G42">
            <v>3.7643759999999998E-2</v>
          </cell>
          <cell r="H42">
            <v>4.5172511999999984E-2</v>
          </cell>
          <cell r="I42">
            <v>4.8635737920000005E-2</v>
          </cell>
          <cell r="J42">
            <v>4.587971277120001E-2</v>
          </cell>
          <cell r="K42">
            <v>4.3279862380832007E-2</v>
          </cell>
          <cell r="L42">
            <v>4.0827336845918161E-2</v>
          </cell>
          <cell r="M42">
            <v>3.8513787757982809E-2</v>
          </cell>
          <cell r="N42">
            <v>3.6331339785030448E-2</v>
          </cell>
          <cell r="O42">
            <v>3.4272563863878724E-2</v>
          </cell>
          <cell r="P42">
            <v>3.2330451911592284E-2</v>
          </cell>
          <cell r="Q42">
            <v>3.0498392969935395E-2</v>
          </cell>
          <cell r="R42">
            <v>2.8770150701639075E-2</v>
          </cell>
          <cell r="S42">
            <v>2.7139842161879479E-2</v>
          </cell>
          <cell r="T42">
            <v>2.5601917772706373E-2</v>
          </cell>
          <cell r="U42">
            <v>2.4151142432252914E-2</v>
          </cell>
          <cell r="V42">
            <v>2.2782577694425266E-2</v>
          </cell>
          <cell r="W42">
            <v>2.1491564958407872E-2</v>
          </cell>
          <cell r="X42"/>
        </row>
        <row r="43">
          <cell r="A43">
            <v>0</v>
          </cell>
          <cell r="B43">
            <v>0</v>
          </cell>
          <cell r="C43" t="str">
            <v>LOMax60</v>
          </cell>
          <cell r="D43">
            <v>0.01</v>
          </cell>
          <cell r="E43">
            <v>2.98E-2</v>
          </cell>
          <cell r="F43">
            <v>5.8906E-2</v>
          </cell>
          <cell r="G43">
            <v>9.6549759999999998E-2</v>
          </cell>
          <cell r="H43">
            <v>0.14172227199999998</v>
          </cell>
          <cell r="I43">
            <v>0.19035800991999999</v>
          </cell>
          <cell r="J43">
            <v>0.2362377226912</v>
          </cell>
          <cell r="K43">
            <v>0.279517585072032</v>
          </cell>
          <cell r="L43">
            <v>0.32034492191795017</v>
          </cell>
          <cell r="M43">
            <v>0.35885870967593297</v>
          </cell>
          <cell r="N43">
            <v>0.39519004946096342</v>
          </cell>
          <cell r="O43">
            <v>0.42946261332484215</v>
          </cell>
          <cell r="P43">
            <v>0.46179306523643443</v>
          </cell>
          <cell r="Q43">
            <v>0.49229145820636983</v>
          </cell>
          <cell r="R43">
            <v>0.5210616089080089</v>
          </cell>
          <cell r="S43">
            <v>0.54820145106988838</v>
          </cell>
          <cell r="T43">
            <v>0.57380336884259475</v>
          </cell>
          <cell r="U43">
            <v>0.59795451127484767</v>
          </cell>
          <cell r="V43">
            <v>0.62073708896927293</v>
          </cell>
          <cell r="W43">
            <v>0.6422286539276808</v>
          </cell>
          <cell r="X43"/>
        </row>
        <row r="44">
          <cell r="A44">
            <v>0</v>
          </cell>
          <cell r="B44">
            <v>0</v>
          </cell>
          <cell r="C44" t="str">
            <v>RetroMax60</v>
          </cell>
          <cell r="D44">
            <v>0.01</v>
          </cell>
          <cell r="E44">
            <v>1.9799999999999998E-2</v>
          </cell>
          <cell r="F44">
            <v>2.9106E-2</v>
          </cell>
          <cell r="G44">
            <v>3.7643759999999998E-2</v>
          </cell>
          <cell r="H44">
            <v>4.5172511999999984E-2</v>
          </cell>
          <cell r="I44">
            <v>4.8635737920000005E-2</v>
          </cell>
          <cell r="J44">
            <v>4.587971277120001E-2</v>
          </cell>
          <cell r="K44">
            <v>4.3279862380832007E-2</v>
          </cell>
          <cell r="L44">
            <v>4.0827336845918161E-2</v>
          </cell>
          <cell r="M44">
            <v>3.8513787757982809E-2</v>
          </cell>
          <cell r="N44">
            <v>3.6331339785030448E-2</v>
          </cell>
          <cell r="O44">
            <v>3.4272563863878724E-2</v>
          </cell>
          <cell r="P44">
            <v>3.2330451911592284E-2</v>
          </cell>
          <cell r="Q44">
            <v>3.0498392969935395E-2</v>
          </cell>
          <cell r="R44">
            <v>2.8770150701639075E-2</v>
          </cell>
          <cell r="S44">
            <v>2.7139842161879479E-2</v>
          </cell>
          <cell r="T44">
            <v>2.5601917772706373E-2</v>
          </cell>
          <cell r="U44">
            <v>2.4151142432252914E-2</v>
          </cell>
          <cell r="V44">
            <v>2.2782577694425266E-2</v>
          </cell>
          <cell r="W44">
            <v>2.1491564958407872E-2</v>
          </cell>
          <cell r="X44"/>
        </row>
        <row r="45">
          <cell r="A45" t="str">
            <v>Food Preparation</v>
          </cell>
          <cell r="B45" t="str">
            <v>Electric Oven - New</v>
          </cell>
          <cell r="C45" t="str">
            <v>LO20Fast</v>
          </cell>
          <cell r="D45">
            <v>0.22119921692859512</v>
          </cell>
          <cell r="E45">
            <v>0.37624232795148943</v>
          </cell>
          <cell r="F45">
            <v>0.48357361352878442</v>
          </cell>
          <cell r="G45">
            <v>0.56716330278444227</v>
          </cell>
          <cell r="H45">
            <v>0.64040048266456928</v>
          </cell>
          <cell r="I45">
            <v>0.70377511937632964</v>
          </cell>
          <cell r="J45">
            <v>0.7580669577441127</v>
          </cell>
          <cell r="K45">
            <v>0.80419335000071168</v>
          </cell>
          <cell r="L45">
            <v>0.84311022627788457</v>
          </cell>
          <cell r="M45">
            <v>0.87575014259103623</v>
          </cell>
          <cell r="N45">
            <v>0.90298584871682319</v>
          </cell>
          <cell r="O45">
            <v>0.92419703797508856</v>
          </cell>
          <cell r="P45">
            <v>0.94071632877930145</v>
          </cell>
          <cell r="Q45">
            <v>0.95358156539340677</v>
          </cell>
          <cell r="R45">
            <v>0.96360102174287088</v>
          </cell>
          <cell r="S45">
            <v>0.97140418219378311</v>
          </cell>
          <cell r="T45">
            <v>0.97748128966338554</v>
          </cell>
          <cell r="U45">
            <v>0.98221414571952104</v>
          </cell>
          <cell r="V45">
            <v>0.98590009772220355</v>
          </cell>
          <cell r="W45">
            <v>0.98877072002825628</v>
          </cell>
          <cell r="X45"/>
        </row>
        <row r="46">
          <cell r="A46" t="str">
            <v>Food Preparation</v>
          </cell>
          <cell r="B46" t="str">
            <v>Electric Oven - NR</v>
          </cell>
          <cell r="C46" t="str">
            <v>LO20Fast</v>
          </cell>
          <cell r="D46">
            <v>0.22119921692859512</v>
          </cell>
          <cell r="E46">
            <v>0.37624232795148943</v>
          </cell>
          <cell r="F46">
            <v>0.48357361352878442</v>
          </cell>
          <cell r="G46">
            <v>0.56716330278444227</v>
          </cell>
          <cell r="H46">
            <v>0.64040048266456928</v>
          </cell>
          <cell r="I46">
            <v>0.70377511937632964</v>
          </cell>
          <cell r="J46">
            <v>0.7580669577441127</v>
          </cell>
          <cell r="K46">
            <v>0.80419335000071168</v>
          </cell>
          <cell r="L46">
            <v>0.84311022627788457</v>
          </cell>
          <cell r="M46">
            <v>0.87575014259103623</v>
          </cell>
          <cell r="N46">
            <v>0.90298584871682319</v>
          </cell>
          <cell r="O46">
            <v>0.92419703797508856</v>
          </cell>
          <cell r="P46">
            <v>0.94071632877930145</v>
          </cell>
          <cell r="Q46">
            <v>0.95358156539340677</v>
          </cell>
          <cell r="R46">
            <v>0.96360102174287088</v>
          </cell>
          <cell r="S46">
            <v>0.97140418219378311</v>
          </cell>
          <cell r="T46">
            <v>0.97748128966338554</v>
          </cell>
          <cell r="U46">
            <v>0.98221414571952104</v>
          </cell>
          <cell r="V46">
            <v>0.98590009772220355</v>
          </cell>
          <cell r="W46">
            <v>0.98877072002825628</v>
          </cell>
          <cell r="X46"/>
        </row>
        <row r="47">
          <cell r="A47" t="str">
            <v>Food Preparation</v>
          </cell>
          <cell r="B47" t="str">
            <v>Microwave - New</v>
          </cell>
          <cell r="C47" t="str">
            <v>LO12Med</v>
          </cell>
          <cell r="D47">
            <v>0.10937459468255628</v>
          </cell>
          <cell r="E47">
            <v>0.21874918936511256</v>
          </cell>
          <cell r="F47">
            <v>0.32812378404766884</v>
          </cell>
          <cell r="G47">
            <v>0.43749837873022512</v>
          </cell>
          <cell r="H47">
            <v>0.5468729734127814</v>
          </cell>
          <cell r="I47">
            <v>0.64531010862708205</v>
          </cell>
          <cell r="J47">
            <v>0.7240598167985226</v>
          </cell>
          <cell r="K47">
            <v>0.78705958333567505</v>
          </cell>
          <cell r="L47">
            <v>0.83745939656539703</v>
          </cell>
          <cell r="M47">
            <v>0.87777924714917455</v>
          </cell>
          <cell r="N47">
            <v>0.91003512761619654</v>
          </cell>
          <cell r="O47">
            <v>0.93583983198981413</v>
          </cell>
          <cell r="P47">
            <v>0.9564835954887082</v>
          </cell>
          <cell r="Q47">
            <v>0.97299860628782353</v>
          </cell>
          <cell r="R47">
            <v>0.9862106149271157</v>
          </cell>
          <cell r="S47">
            <v>0.99678022183854953</v>
          </cell>
          <cell r="T47">
            <v>0.99685231466234414</v>
          </cell>
          <cell r="U47">
            <v>0.99687806209941365</v>
          </cell>
          <cell r="V47">
            <v>0.99688683963477831</v>
          </cell>
          <cell r="W47">
            <v>0.99688970187457115</v>
          </cell>
          <cell r="X47"/>
        </row>
        <row r="48">
          <cell r="A48" t="str">
            <v>Food Preparation</v>
          </cell>
          <cell r="B48" t="str">
            <v>Microwave - NR</v>
          </cell>
          <cell r="C48" t="str">
            <v>LO12Med</v>
          </cell>
          <cell r="D48">
            <v>0.10937459468255628</v>
          </cell>
          <cell r="E48">
            <v>0.21874918936511256</v>
          </cell>
          <cell r="F48">
            <v>0.32812378404766884</v>
          </cell>
          <cell r="G48">
            <v>0.43749837873022512</v>
          </cell>
          <cell r="H48">
            <v>0.5468729734127814</v>
          </cell>
          <cell r="I48">
            <v>0.64531010862708205</v>
          </cell>
          <cell r="J48">
            <v>0.7240598167985226</v>
          </cell>
          <cell r="K48">
            <v>0.78705958333567505</v>
          </cell>
          <cell r="L48">
            <v>0.83745939656539703</v>
          </cell>
          <cell r="M48">
            <v>0.87777924714917455</v>
          </cell>
          <cell r="N48">
            <v>0.91003512761619654</v>
          </cell>
          <cell r="O48">
            <v>0.93583983198981413</v>
          </cell>
          <cell r="P48">
            <v>0.9564835954887082</v>
          </cell>
          <cell r="Q48">
            <v>0.97299860628782353</v>
          </cell>
          <cell r="R48">
            <v>0.9862106149271157</v>
          </cell>
          <cell r="S48">
            <v>0.99678022183854953</v>
          </cell>
          <cell r="T48">
            <v>0.99685231466234414</v>
          </cell>
          <cell r="U48">
            <v>0.99687806209941365</v>
          </cell>
          <cell r="V48">
            <v>0.99688683963477831</v>
          </cell>
          <cell r="W48">
            <v>0.99688970187457115</v>
          </cell>
          <cell r="X48"/>
        </row>
        <row r="49">
          <cell r="A49" t="str">
            <v>Electronics</v>
          </cell>
          <cell r="B49" t="str">
            <v>Monitor - New</v>
          </cell>
          <cell r="C49" t="str">
            <v>LO50Fast</v>
          </cell>
          <cell r="D49">
            <v>0.45</v>
          </cell>
          <cell r="E49">
            <v>0.66</v>
          </cell>
          <cell r="F49">
            <v>0.8</v>
          </cell>
          <cell r="G49">
            <v>0.89</v>
          </cell>
          <cell r="H49">
            <v>0.94954036260972652</v>
          </cell>
          <cell r="I49">
            <v>0.97931054391458994</v>
          </cell>
          <cell r="J49">
            <v>0.99254173560564019</v>
          </cell>
          <cell r="K49">
            <v>0.99783421228206048</v>
          </cell>
          <cell r="L49">
            <v>0.99975874925530417</v>
          </cell>
          <cell r="M49">
            <v>1.0004002615797187</v>
          </cell>
          <cell r="N49">
            <v>1.0005976499872309</v>
          </cell>
          <cell r="O49">
            <v>1.0006540466750915</v>
          </cell>
          <cell r="P49">
            <v>1.0006690857918545</v>
          </cell>
          <cell r="Q49">
            <v>1.000672845571045</v>
          </cell>
          <cell r="R49">
            <v>1.0006737302249724</v>
          </cell>
          <cell r="S49">
            <v>1.0006739268147338</v>
          </cell>
          <cell r="T49">
            <v>1.0006739682020522</v>
          </cell>
          <cell r="U49">
            <v>1.0006739764795158</v>
          </cell>
          <cell r="V49">
            <v>1.0006739780561755</v>
          </cell>
          <cell r="W49">
            <v>1.0006739783428409</v>
          </cell>
          <cell r="X49"/>
        </row>
        <row r="50">
          <cell r="A50" t="str">
            <v>Electronics</v>
          </cell>
          <cell r="B50" t="str">
            <v>Monitor - NR</v>
          </cell>
          <cell r="C50" t="str">
            <v>LO50Fast</v>
          </cell>
          <cell r="D50">
            <v>0.45</v>
          </cell>
          <cell r="E50">
            <v>0.66</v>
          </cell>
          <cell r="F50">
            <v>0.8</v>
          </cell>
          <cell r="G50">
            <v>0.89</v>
          </cell>
          <cell r="H50">
            <v>0.94954036260972652</v>
          </cell>
          <cell r="I50">
            <v>0.97931054391458994</v>
          </cell>
          <cell r="J50">
            <v>0.99254173560564019</v>
          </cell>
          <cell r="K50">
            <v>0.99783421228206048</v>
          </cell>
          <cell r="L50">
            <v>0.99975874925530417</v>
          </cell>
          <cell r="M50">
            <v>1.0004002615797187</v>
          </cell>
          <cell r="N50">
            <v>1.0005976499872309</v>
          </cell>
          <cell r="O50">
            <v>1.0006540466750915</v>
          </cell>
          <cell r="P50">
            <v>1.0006690857918545</v>
          </cell>
          <cell r="Q50">
            <v>1.000672845571045</v>
          </cell>
          <cell r="R50">
            <v>1.0006737302249724</v>
          </cell>
          <cell r="S50">
            <v>1.0006739268147338</v>
          </cell>
          <cell r="T50">
            <v>1.0006739682020522</v>
          </cell>
          <cell r="U50">
            <v>1.0006739764795158</v>
          </cell>
          <cell r="V50">
            <v>1.0006739780561755</v>
          </cell>
          <cell r="W50">
            <v>1.0006739783428409</v>
          </cell>
          <cell r="X50"/>
        </row>
        <row r="51">
          <cell r="A51" t="str">
            <v>Electronics</v>
          </cell>
          <cell r="B51" t="str">
            <v>Desktop - New</v>
          </cell>
          <cell r="C51" t="str">
            <v>LO50Fast</v>
          </cell>
          <cell r="D51">
            <v>0.45</v>
          </cell>
          <cell r="E51">
            <v>0.66</v>
          </cell>
          <cell r="F51">
            <v>0.8</v>
          </cell>
          <cell r="G51">
            <v>0.89</v>
          </cell>
          <cell r="H51">
            <v>0.94954036260972652</v>
          </cell>
          <cell r="I51">
            <v>0.97931054391458994</v>
          </cell>
          <cell r="J51">
            <v>0.99254173560564019</v>
          </cell>
          <cell r="K51">
            <v>0.99783421228206048</v>
          </cell>
          <cell r="L51">
            <v>0.99975874925530417</v>
          </cell>
          <cell r="M51">
            <v>1.0004002615797187</v>
          </cell>
          <cell r="N51">
            <v>1.0005976499872309</v>
          </cell>
          <cell r="O51">
            <v>1.0006540466750915</v>
          </cell>
          <cell r="P51">
            <v>1.0006690857918545</v>
          </cell>
          <cell r="Q51">
            <v>1.000672845571045</v>
          </cell>
          <cell r="R51">
            <v>1.0006737302249724</v>
          </cell>
          <cell r="S51">
            <v>1.0006739268147338</v>
          </cell>
          <cell r="T51">
            <v>1.0006739682020522</v>
          </cell>
          <cell r="U51">
            <v>1.0006739764795158</v>
          </cell>
          <cell r="V51">
            <v>1.0006739780561755</v>
          </cell>
          <cell r="W51">
            <v>1.0006739783428409</v>
          </cell>
          <cell r="X51"/>
        </row>
        <row r="52">
          <cell r="A52" t="str">
            <v>Electronics</v>
          </cell>
          <cell r="B52" t="str">
            <v>Desktop - NR</v>
          </cell>
          <cell r="C52" t="str">
            <v>LO50Fast</v>
          </cell>
          <cell r="D52">
            <v>0.45</v>
          </cell>
          <cell r="E52">
            <v>0.66</v>
          </cell>
          <cell r="F52">
            <v>0.8</v>
          </cell>
          <cell r="G52">
            <v>0.89</v>
          </cell>
          <cell r="H52">
            <v>0.94954036260972652</v>
          </cell>
          <cell r="I52">
            <v>0.97931054391458994</v>
          </cell>
          <cell r="J52">
            <v>0.99254173560564019</v>
          </cell>
          <cell r="K52">
            <v>0.99783421228206048</v>
          </cell>
          <cell r="L52">
            <v>0.99975874925530417</v>
          </cell>
          <cell r="M52">
            <v>1.0004002615797187</v>
          </cell>
          <cell r="N52">
            <v>1.0005976499872309</v>
          </cell>
          <cell r="O52">
            <v>1.0006540466750915</v>
          </cell>
          <cell r="P52">
            <v>1.0006690857918545</v>
          </cell>
          <cell r="Q52">
            <v>1.000672845571045</v>
          </cell>
          <cell r="R52">
            <v>1.0006737302249724</v>
          </cell>
          <cell r="S52">
            <v>1.0006739268147338</v>
          </cell>
          <cell r="T52">
            <v>1.0006739682020522</v>
          </cell>
          <cell r="U52">
            <v>1.0006739764795158</v>
          </cell>
          <cell r="V52">
            <v>1.0006739780561755</v>
          </cell>
          <cell r="W52">
            <v>1.0006739783428409</v>
          </cell>
          <cell r="X52"/>
        </row>
        <row r="53">
          <cell r="A53" t="str">
            <v>Electronics</v>
          </cell>
          <cell r="B53" t="str">
            <v>Laptop - New</v>
          </cell>
          <cell r="C53" t="str">
            <v>LO50Fast</v>
          </cell>
          <cell r="D53">
            <v>0.45</v>
          </cell>
          <cell r="E53">
            <v>0.66</v>
          </cell>
          <cell r="F53">
            <v>0.8</v>
          </cell>
          <cell r="G53">
            <v>0.89</v>
          </cell>
          <cell r="H53">
            <v>0.94954036260972652</v>
          </cell>
          <cell r="I53">
            <v>0.97931054391458994</v>
          </cell>
          <cell r="J53">
            <v>0.99254173560564019</v>
          </cell>
          <cell r="K53">
            <v>0.99783421228206048</v>
          </cell>
          <cell r="L53">
            <v>0.99975874925530417</v>
          </cell>
          <cell r="M53">
            <v>1.0004002615797187</v>
          </cell>
          <cell r="N53">
            <v>1.0005976499872309</v>
          </cell>
          <cell r="O53">
            <v>1.0006540466750915</v>
          </cell>
          <cell r="P53">
            <v>1.0006690857918545</v>
          </cell>
          <cell r="Q53">
            <v>1.000672845571045</v>
          </cell>
          <cell r="R53">
            <v>1.0006737302249724</v>
          </cell>
          <cell r="S53">
            <v>1.0006739268147338</v>
          </cell>
          <cell r="T53">
            <v>1.0006739682020522</v>
          </cell>
          <cell r="U53">
            <v>1.0006739764795158</v>
          </cell>
          <cell r="V53">
            <v>1.0006739780561755</v>
          </cell>
          <cell r="W53">
            <v>1.0006739783428409</v>
          </cell>
          <cell r="X53"/>
        </row>
        <row r="54">
          <cell r="A54" t="str">
            <v>Electronics</v>
          </cell>
          <cell r="B54" t="str">
            <v>Laptop - NR</v>
          </cell>
          <cell r="C54" t="str">
            <v>LO50Fast</v>
          </cell>
          <cell r="D54">
            <v>0.45</v>
          </cell>
          <cell r="E54">
            <v>0.66</v>
          </cell>
          <cell r="F54">
            <v>0.8</v>
          </cell>
          <cell r="G54">
            <v>0.89</v>
          </cell>
          <cell r="H54">
            <v>0.94954036260972652</v>
          </cell>
          <cell r="I54">
            <v>0.97931054391458994</v>
          </cell>
          <cell r="J54">
            <v>0.99254173560564019</v>
          </cell>
          <cell r="K54">
            <v>0.99783421228206048</v>
          </cell>
          <cell r="L54">
            <v>0.99975874925530417</v>
          </cell>
          <cell r="M54">
            <v>1.0004002615797187</v>
          </cell>
          <cell r="N54">
            <v>1.0005976499872309</v>
          </cell>
          <cell r="O54">
            <v>1.0006540466750915</v>
          </cell>
          <cell r="P54">
            <v>1.0006690857918545</v>
          </cell>
          <cell r="Q54">
            <v>1.000672845571045</v>
          </cell>
          <cell r="R54">
            <v>1.0006737302249724</v>
          </cell>
          <cell r="S54">
            <v>1.0006739268147338</v>
          </cell>
          <cell r="T54">
            <v>1.0006739682020522</v>
          </cell>
          <cell r="U54">
            <v>1.0006739764795158</v>
          </cell>
          <cell r="V54">
            <v>1.0006739780561755</v>
          </cell>
          <cell r="W54">
            <v>1.0006739783428409</v>
          </cell>
          <cell r="X54"/>
        </row>
        <row r="55">
          <cell r="A55" t="str">
            <v>Electronics</v>
          </cell>
          <cell r="B55" t="str">
            <v>Computer - New</v>
          </cell>
          <cell r="C55" t="str">
            <v>LO50Fast</v>
          </cell>
          <cell r="D55">
            <v>0.45</v>
          </cell>
          <cell r="E55">
            <v>0.66</v>
          </cell>
          <cell r="F55">
            <v>0.8</v>
          </cell>
          <cell r="G55">
            <v>0.89</v>
          </cell>
          <cell r="H55">
            <v>0.94954036260972652</v>
          </cell>
          <cell r="I55">
            <v>0.97931054391458994</v>
          </cell>
          <cell r="J55">
            <v>0.99254173560564019</v>
          </cell>
          <cell r="K55">
            <v>0.99783421228206048</v>
          </cell>
          <cell r="L55">
            <v>0.99975874925530417</v>
          </cell>
          <cell r="M55">
            <v>1.0004002615797187</v>
          </cell>
          <cell r="N55">
            <v>1.0005976499872309</v>
          </cell>
          <cell r="O55">
            <v>1.0006540466750915</v>
          </cell>
          <cell r="P55">
            <v>1.0006690857918545</v>
          </cell>
          <cell r="Q55">
            <v>1.000672845571045</v>
          </cell>
          <cell r="R55">
            <v>1.0006737302249724</v>
          </cell>
          <cell r="S55">
            <v>1.0006739268147338</v>
          </cell>
          <cell r="T55">
            <v>1.0006739682020522</v>
          </cell>
          <cell r="U55">
            <v>1.0006739764795158</v>
          </cell>
          <cell r="V55">
            <v>1.0006739780561755</v>
          </cell>
          <cell r="W55">
            <v>1.0006739783428409</v>
          </cell>
          <cell r="X55"/>
        </row>
        <row r="56">
          <cell r="A56" t="str">
            <v>Electronics</v>
          </cell>
          <cell r="B56" t="str">
            <v>Computer - NR</v>
          </cell>
          <cell r="C56" t="str">
            <v>LO50Fast</v>
          </cell>
          <cell r="D56">
            <v>0.45</v>
          </cell>
          <cell r="E56">
            <v>0.66</v>
          </cell>
          <cell r="F56">
            <v>0.8</v>
          </cell>
          <cell r="G56">
            <v>0.89</v>
          </cell>
          <cell r="H56">
            <v>0.94954036260972652</v>
          </cell>
          <cell r="I56">
            <v>0.97931054391458994</v>
          </cell>
          <cell r="J56">
            <v>0.99254173560564019</v>
          </cell>
          <cell r="K56">
            <v>0.99783421228206048</v>
          </cell>
          <cell r="L56">
            <v>0.99975874925530417</v>
          </cell>
          <cell r="M56">
            <v>1.0004002615797187</v>
          </cell>
          <cell r="N56">
            <v>1.0005976499872309</v>
          </cell>
          <cell r="O56">
            <v>1.0006540466750915</v>
          </cell>
          <cell r="P56">
            <v>1.0006690857918545</v>
          </cell>
          <cell r="Q56">
            <v>1.000672845571045</v>
          </cell>
          <cell r="R56">
            <v>1.0006737302249724</v>
          </cell>
          <cell r="S56">
            <v>1.0006739268147338</v>
          </cell>
          <cell r="T56">
            <v>1.0006739682020522</v>
          </cell>
          <cell r="U56">
            <v>1.0006739764795158</v>
          </cell>
          <cell r="V56">
            <v>1.0006739780561755</v>
          </cell>
          <cell r="W56">
            <v>1.0006739783428409</v>
          </cell>
          <cell r="X56"/>
        </row>
        <row r="57">
          <cell r="A57" t="str">
            <v>HVAC</v>
          </cell>
          <cell r="B57" t="str">
            <v>ASHP - New</v>
          </cell>
          <cell r="C57" t="str">
            <v>LO5Med</v>
          </cell>
          <cell r="D57">
            <v>4.2999999999999997E-2</v>
          </cell>
          <cell r="E57">
            <v>9.5797142280278316E-2</v>
          </cell>
          <cell r="F57">
            <v>0.16040539374775648</v>
          </cell>
          <cell r="G57">
            <v>0.23540539374775649</v>
          </cell>
          <cell r="H57">
            <v>0.32095239121809005</v>
          </cell>
          <cell r="I57">
            <v>0.42096711425629652</v>
          </cell>
          <cell r="J57">
            <v>0.53068481860864725</v>
          </cell>
          <cell r="K57">
            <v>0.642769203728351</v>
          </cell>
          <cell r="L57">
            <v>0.74839528535557953</v>
          </cell>
          <cell r="M57">
            <v>0.83918984935345187</v>
          </cell>
          <cell r="N57">
            <v>0.90945051634530116</v>
          </cell>
          <cell r="O57">
            <v>0.9576688767502457</v>
          </cell>
          <cell r="P57">
            <v>0.9865231113648858</v>
          </cell>
          <cell r="Q57">
            <v>1.0012970762896924</v>
          </cell>
          <cell r="R57">
            <v>1.0076356106578106</v>
          </cell>
          <cell r="S57">
            <v>1.0098624683774413</v>
          </cell>
          <cell r="T57">
            <v>1.0104871783970797</v>
          </cell>
          <cell r="U57">
            <v>1.010623336815976</v>
          </cell>
          <cell r="V57">
            <v>1.0106457174525985</v>
          </cell>
          <cell r="W57">
            <v>1.0106484038909742</v>
          </cell>
          <cell r="X57"/>
        </row>
        <row r="58">
          <cell r="A58" t="str">
            <v>HVAC</v>
          </cell>
          <cell r="B58" t="str">
            <v>ASHP - NR</v>
          </cell>
          <cell r="C58" t="str">
            <v>LO5Med</v>
          </cell>
          <cell r="D58">
            <v>4.2999999999999997E-2</v>
          </cell>
          <cell r="E58">
            <v>9.5797142280278316E-2</v>
          </cell>
          <cell r="F58">
            <v>0.16040539374775648</v>
          </cell>
          <cell r="G58">
            <v>0.23540539374775649</v>
          </cell>
          <cell r="H58">
            <v>0.32095239121809005</v>
          </cell>
          <cell r="I58">
            <v>0.42096711425629652</v>
          </cell>
          <cell r="J58">
            <v>0.53068481860864725</v>
          </cell>
          <cell r="K58">
            <v>0.642769203728351</v>
          </cell>
          <cell r="L58">
            <v>0.74839528535557953</v>
          </cell>
          <cell r="M58">
            <v>0.83918984935345187</v>
          </cell>
          <cell r="N58">
            <v>0.90945051634530116</v>
          </cell>
          <cell r="O58">
            <v>0.9576688767502457</v>
          </cell>
          <cell r="P58">
            <v>0.9865231113648858</v>
          </cell>
          <cell r="Q58">
            <v>1.0012970762896924</v>
          </cell>
          <cell r="R58">
            <v>1.0076356106578106</v>
          </cell>
          <cell r="S58">
            <v>1.0098624683774413</v>
          </cell>
          <cell r="T58">
            <v>1.0104871783970797</v>
          </cell>
          <cell r="U58">
            <v>1.010623336815976</v>
          </cell>
          <cell r="V58">
            <v>1.0106457174525985</v>
          </cell>
          <cell r="W58">
            <v>1.0106484038909742</v>
          </cell>
          <cell r="X58"/>
        </row>
        <row r="59">
          <cell r="A59" t="str">
            <v>HVAC</v>
          </cell>
          <cell r="B59" t="str">
            <v>HP - Retro</v>
          </cell>
          <cell r="C59" t="str">
            <v>Retro12Med</v>
          </cell>
          <cell r="D59">
            <v>0.10937459468255628</v>
          </cell>
          <cell r="E59">
            <v>0.10937459468255628</v>
          </cell>
          <cell r="F59">
            <v>0.10937459468255628</v>
          </cell>
          <cell r="G59">
            <v>0.10937459468255628</v>
          </cell>
          <cell r="H59">
            <v>0.10937459468255628</v>
          </cell>
          <cell r="I59">
            <v>9.8437135214300656E-2</v>
          </cell>
          <cell r="J59">
            <v>7.874970817144053E-2</v>
          </cell>
          <cell r="K59">
            <v>6.2999766537152418E-2</v>
          </cell>
          <cell r="L59">
            <v>5.0399813229721938E-2</v>
          </cell>
          <cell r="M59">
            <v>4.0319850583777551E-2</v>
          </cell>
          <cell r="N59">
            <v>3.225588046702204E-2</v>
          </cell>
          <cell r="O59">
            <v>2.5804704373617631E-2</v>
          </cell>
          <cell r="P59">
            <v>2.0643763498894106E-2</v>
          </cell>
          <cell r="Q59">
            <v>1.6515010799115284E-2</v>
          </cell>
          <cell r="R59">
            <v>1.3212008639292228E-2</v>
          </cell>
          <cell r="S59">
            <v>1.0569606911433781E-2</v>
          </cell>
          <cell r="T59">
            <v>7.2092823794611682E-5</v>
          </cell>
          <cell r="U59">
            <v>2.5747437069512102E-5</v>
          </cell>
          <cell r="V59">
            <v>8.7775353646568632E-6</v>
          </cell>
          <cell r="W59">
            <v>2.8622397928446119E-6</v>
          </cell>
          <cell r="X59"/>
        </row>
        <row r="60">
          <cell r="A60" t="str">
            <v>HVAC</v>
          </cell>
          <cell r="B60" t="str">
            <v>DHP - New</v>
          </cell>
          <cell r="C60" t="str">
            <v>LO5Med</v>
          </cell>
          <cell r="D60">
            <v>4.2999999999999997E-2</v>
          </cell>
          <cell r="E60">
            <v>9.5797142280278316E-2</v>
          </cell>
          <cell r="F60">
            <v>0.16040539374775648</v>
          </cell>
          <cell r="G60">
            <v>0.23540539374775649</v>
          </cell>
          <cell r="H60">
            <v>0.32095239121809005</v>
          </cell>
          <cell r="I60">
            <v>0.42096711425629652</v>
          </cell>
          <cell r="J60">
            <v>0.53068481860864725</v>
          </cell>
          <cell r="K60">
            <v>0.642769203728351</v>
          </cell>
          <cell r="L60">
            <v>0.74839528535557953</v>
          </cell>
          <cell r="M60">
            <v>0.83918984935345187</v>
          </cell>
          <cell r="N60">
            <v>0.90945051634530116</v>
          </cell>
          <cell r="O60">
            <v>0.9576688767502457</v>
          </cell>
          <cell r="P60">
            <v>0.9865231113648858</v>
          </cell>
          <cell r="Q60">
            <v>1.0012970762896924</v>
          </cell>
          <cell r="R60">
            <v>1.0076356106578106</v>
          </cell>
          <cell r="S60">
            <v>1.0098624683774413</v>
          </cell>
          <cell r="T60">
            <v>1.0104871783970797</v>
          </cell>
          <cell r="U60">
            <v>1.010623336815976</v>
          </cell>
          <cell r="V60">
            <v>1.0106457174525985</v>
          </cell>
          <cell r="W60">
            <v>1.0106484038909742</v>
          </cell>
          <cell r="X60"/>
        </row>
        <row r="61">
          <cell r="A61" t="str">
            <v>HVAC</v>
          </cell>
          <cell r="B61" t="str">
            <v>DHP - NR</v>
          </cell>
          <cell r="C61" t="str">
            <v>LO5Med</v>
          </cell>
          <cell r="D61">
            <v>4.2999999999999997E-2</v>
          </cell>
          <cell r="E61">
            <v>9.5797142280278316E-2</v>
          </cell>
          <cell r="F61">
            <v>0.16040539374775648</v>
          </cell>
          <cell r="G61">
            <v>0.23540539374775649</v>
          </cell>
          <cell r="H61">
            <v>0.32095239121809005</v>
          </cell>
          <cell r="I61">
            <v>0.42096711425629652</v>
          </cell>
          <cell r="J61">
            <v>0.53068481860864725</v>
          </cell>
          <cell r="K61">
            <v>0.642769203728351</v>
          </cell>
          <cell r="L61">
            <v>0.74839528535557953</v>
          </cell>
          <cell r="M61">
            <v>0.83918984935345187</v>
          </cell>
          <cell r="N61">
            <v>0.90945051634530116</v>
          </cell>
          <cell r="O61">
            <v>0.9576688767502457</v>
          </cell>
          <cell r="P61">
            <v>0.9865231113648858</v>
          </cell>
          <cell r="Q61">
            <v>1.0012970762896924</v>
          </cell>
          <cell r="R61">
            <v>1.0076356106578106</v>
          </cell>
          <cell r="S61">
            <v>1.0098624683774413</v>
          </cell>
          <cell r="T61">
            <v>1.0104871783970797</v>
          </cell>
          <cell r="U61">
            <v>1.010623336815976</v>
          </cell>
          <cell r="V61">
            <v>1.0106457174525985</v>
          </cell>
          <cell r="W61">
            <v>1.0106484038909742</v>
          </cell>
          <cell r="X61"/>
        </row>
        <row r="62">
          <cell r="A62" t="str">
            <v>HVAC</v>
          </cell>
          <cell r="B62" t="str">
            <v>DHP - Retro</v>
          </cell>
          <cell r="C62" t="str">
            <v>Retro5Med</v>
          </cell>
          <cell r="D62">
            <v>4.2999999999999997E-2</v>
          </cell>
          <cell r="E62">
            <v>5.279714228027832E-2</v>
          </cell>
          <cell r="F62">
            <v>6.4608251467478173E-2</v>
          </cell>
          <cell r="G62">
            <v>7.4999999999999997E-2</v>
          </cell>
          <cell r="H62">
            <v>8.5546997470333563E-2</v>
          </cell>
          <cell r="I62">
            <v>0.10001472303820647</v>
          </cell>
          <cell r="J62">
            <v>0.10971770435235073</v>
          </cell>
          <cell r="K62">
            <v>0.11208438511970376</v>
          </cell>
          <cell r="L62">
            <v>0.10562608162722853</v>
          </cell>
          <cell r="M62">
            <v>9.0794563997872335E-2</v>
          </cell>
          <cell r="N62">
            <v>7.0260666991849297E-2</v>
          </cell>
          <cell r="O62">
            <v>4.8218360404944538E-2</v>
          </cell>
          <cell r="P62">
            <v>2.8854234614640095E-2</v>
          </cell>
          <cell r="Q62">
            <v>1.4773964924806759E-2</v>
          </cell>
          <cell r="R62">
            <v>6.3385343681182649E-3</v>
          </cell>
          <cell r="S62">
            <v>2.2268577196306039E-3</v>
          </cell>
          <cell r="T62">
            <v>6.2471001963848583E-4</v>
          </cell>
          <cell r="U62">
            <v>1.3615841889635938E-4</v>
          </cell>
          <cell r="V62">
            <v>2.2380636622298944E-5</v>
          </cell>
          <cell r="W62">
            <v>2.68643837586513E-6</v>
          </cell>
          <cell r="X62"/>
        </row>
        <row r="63">
          <cell r="A63" t="str">
            <v>HVAC</v>
          </cell>
          <cell r="B63" t="str">
            <v>Duct Sealing - New</v>
          </cell>
          <cell r="C63" t="str">
            <v>LO12Med</v>
          </cell>
          <cell r="D63">
            <v>0.10937459468255628</v>
          </cell>
          <cell r="E63">
            <v>0.21874918936511256</v>
          </cell>
          <cell r="F63">
            <v>0.32812378404766884</v>
          </cell>
          <cell r="G63">
            <v>0.43749837873022512</v>
          </cell>
          <cell r="H63">
            <v>0.5468729734127814</v>
          </cell>
          <cell r="I63">
            <v>0.64531010862708205</v>
          </cell>
          <cell r="J63">
            <v>0.7240598167985226</v>
          </cell>
          <cell r="K63">
            <v>0.78705958333567505</v>
          </cell>
          <cell r="L63">
            <v>0.83745939656539703</v>
          </cell>
          <cell r="M63">
            <v>0.87777924714917455</v>
          </cell>
          <cell r="N63">
            <v>0.91003512761619654</v>
          </cell>
          <cell r="O63">
            <v>0.93583983198981413</v>
          </cell>
          <cell r="P63">
            <v>0.9564835954887082</v>
          </cell>
          <cell r="Q63">
            <v>0.97299860628782353</v>
          </cell>
          <cell r="R63">
            <v>0.9862106149271157</v>
          </cell>
          <cell r="S63">
            <v>0.99678022183854953</v>
          </cell>
          <cell r="T63">
            <v>0.99685231466234414</v>
          </cell>
          <cell r="U63">
            <v>0.99687806209941365</v>
          </cell>
          <cell r="V63">
            <v>0.99688683963477831</v>
          </cell>
          <cell r="W63">
            <v>0.99688970187457115</v>
          </cell>
          <cell r="X63"/>
        </row>
        <row r="64">
          <cell r="A64" t="str">
            <v>HVAC</v>
          </cell>
          <cell r="B64" t="str">
            <v>Duct Sealing - Retro</v>
          </cell>
          <cell r="C64" t="str">
            <v>Retro12Med</v>
          </cell>
          <cell r="D64">
            <v>0.10937459468255628</v>
          </cell>
          <cell r="E64">
            <v>0.10937459468255628</v>
          </cell>
          <cell r="F64">
            <v>0.10937459468255628</v>
          </cell>
          <cell r="G64">
            <v>0.10937459468255628</v>
          </cell>
          <cell r="H64">
            <v>0.10937459468255628</v>
          </cell>
          <cell r="I64">
            <v>9.8437135214300656E-2</v>
          </cell>
          <cell r="J64">
            <v>7.874970817144053E-2</v>
          </cell>
          <cell r="K64">
            <v>6.2999766537152418E-2</v>
          </cell>
          <cell r="L64">
            <v>5.0399813229721938E-2</v>
          </cell>
          <cell r="M64">
            <v>4.0319850583777551E-2</v>
          </cell>
          <cell r="N64">
            <v>3.225588046702204E-2</v>
          </cell>
          <cell r="O64">
            <v>2.5804704373617631E-2</v>
          </cell>
          <cell r="P64">
            <v>2.0643763498894106E-2</v>
          </cell>
          <cell r="Q64">
            <v>1.6515010799115284E-2</v>
          </cell>
          <cell r="R64">
            <v>1.3212008639292228E-2</v>
          </cell>
          <cell r="S64">
            <v>1.0569606911433781E-2</v>
          </cell>
          <cell r="T64">
            <v>7.2092823794611682E-5</v>
          </cell>
          <cell r="U64">
            <v>2.5747437069512102E-5</v>
          </cell>
          <cell r="V64">
            <v>8.7775353646568632E-6</v>
          </cell>
          <cell r="W64">
            <v>2.8622397928446119E-6</v>
          </cell>
          <cell r="X64"/>
        </row>
        <row r="65">
          <cell r="A65" t="str">
            <v>HVAC</v>
          </cell>
          <cell r="B65" t="str">
            <v>WIFI enabled tstats - New</v>
          </cell>
          <cell r="C65" t="str">
            <v>LO5Med</v>
          </cell>
          <cell r="D65">
            <v>4.2999999999999997E-2</v>
          </cell>
          <cell r="E65">
            <v>9.5797142280278316E-2</v>
          </cell>
          <cell r="F65">
            <v>0.16040539374775648</v>
          </cell>
          <cell r="G65">
            <v>0.23540539374775649</v>
          </cell>
          <cell r="H65">
            <v>0.32095239121809005</v>
          </cell>
          <cell r="I65">
            <v>0.42096711425629652</v>
          </cell>
          <cell r="J65">
            <v>0.53068481860864725</v>
          </cell>
          <cell r="K65">
            <v>0.642769203728351</v>
          </cell>
          <cell r="L65">
            <v>0.74839528535557953</v>
          </cell>
          <cell r="M65">
            <v>0.83918984935345187</v>
          </cell>
          <cell r="N65">
            <v>0.90945051634530116</v>
          </cell>
          <cell r="O65">
            <v>0.9576688767502457</v>
          </cell>
          <cell r="P65">
            <v>0.9865231113648858</v>
          </cell>
          <cell r="Q65">
            <v>1.0012970762896924</v>
          </cell>
          <cell r="R65">
            <v>1.0076356106578106</v>
          </cell>
          <cell r="S65">
            <v>1.0098624683774413</v>
          </cell>
          <cell r="T65">
            <v>1.0104871783970797</v>
          </cell>
          <cell r="U65">
            <v>1.010623336815976</v>
          </cell>
          <cell r="V65">
            <v>1.0106457174525985</v>
          </cell>
          <cell r="W65">
            <v>1.0106484038909742</v>
          </cell>
          <cell r="X65"/>
        </row>
        <row r="66">
          <cell r="A66" t="str">
            <v>HVAC</v>
          </cell>
          <cell r="B66" t="str">
            <v>WIFI enabled tstats - Retro</v>
          </cell>
          <cell r="C66" t="str">
            <v>Retro5Med</v>
          </cell>
          <cell r="D66">
            <v>4.2999999999999997E-2</v>
          </cell>
          <cell r="E66">
            <v>5.279714228027832E-2</v>
          </cell>
          <cell r="F66">
            <v>6.4608251467478173E-2</v>
          </cell>
          <cell r="G66">
            <v>7.4999999999999997E-2</v>
          </cell>
          <cell r="H66">
            <v>8.5546997470333563E-2</v>
          </cell>
          <cell r="I66">
            <v>0.10001472303820647</v>
          </cell>
          <cell r="J66">
            <v>0.10971770435235073</v>
          </cell>
          <cell r="K66">
            <v>0.11208438511970376</v>
          </cell>
          <cell r="L66">
            <v>0.10562608162722853</v>
          </cell>
          <cell r="M66">
            <v>9.0794563997872335E-2</v>
          </cell>
          <cell r="N66">
            <v>7.0260666991849297E-2</v>
          </cell>
          <cell r="O66">
            <v>4.8218360404944538E-2</v>
          </cell>
          <cell r="P66">
            <v>2.8854234614640095E-2</v>
          </cell>
          <cell r="Q66">
            <v>1.4773964924806759E-2</v>
          </cell>
          <cell r="R66">
            <v>6.3385343681182649E-3</v>
          </cell>
          <cell r="S66">
            <v>2.2268577196306039E-3</v>
          </cell>
          <cell r="T66">
            <v>6.2471001963848583E-4</v>
          </cell>
          <cell r="U66">
            <v>1.3615841889635938E-4</v>
          </cell>
          <cell r="V66">
            <v>2.2380636622298944E-5</v>
          </cell>
          <cell r="W66">
            <v>2.68643837586513E-6</v>
          </cell>
          <cell r="X66"/>
        </row>
        <row r="67">
          <cell r="A67" t="str">
            <v>HVAC</v>
          </cell>
          <cell r="B67" t="str">
            <v>Combo DHP/HPWH units - New</v>
          </cell>
          <cell r="C67" t="str">
            <v>LO5Med</v>
          </cell>
          <cell r="D67">
            <v>4.2999999999999997E-2</v>
          </cell>
          <cell r="E67">
            <v>9.5797142280278316E-2</v>
          </cell>
          <cell r="F67">
            <v>0.16040539374775648</v>
          </cell>
          <cell r="G67">
            <v>0.23540539374775649</v>
          </cell>
          <cell r="H67">
            <v>0.32095239121809005</v>
          </cell>
          <cell r="I67">
            <v>0.42096711425629652</v>
          </cell>
          <cell r="J67">
            <v>0.53068481860864725</v>
          </cell>
          <cell r="K67">
            <v>0.642769203728351</v>
          </cell>
          <cell r="L67">
            <v>0.74839528535557953</v>
          </cell>
          <cell r="M67">
            <v>0.83918984935345187</v>
          </cell>
          <cell r="N67">
            <v>0.90945051634530116</v>
          </cell>
          <cell r="O67">
            <v>0.9576688767502457</v>
          </cell>
          <cell r="P67">
            <v>0.9865231113648858</v>
          </cell>
          <cell r="Q67">
            <v>1.0012970762896924</v>
          </cell>
          <cell r="R67">
            <v>1.0076356106578106</v>
          </cell>
          <cell r="S67">
            <v>1.0098624683774413</v>
          </cell>
          <cell r="T67">
            <v>1.0104871783970797</v>
          </cell>
          <cell r="U67">
            <v>1.010623336815976</v>
          </cell>
          <cell r="V67">
            <v>1.0106457174525985</v>
          </cell>
          <cell r="W67">
            <v>1.0106484038909742</v>
          </cell>
          <cell r="X67"/>
        </row>
        <row r="68">
          <cell r="A68" t="str">
            <v>HVAC</v>
          </cell>
          <cell r="B68" t="str">
            <v>Combo DHP/HPWH units - NR</v>
          </cell>
          <cell r="C68" t="str">
            <v>LO5Med</v>
          </cell>
          <cell r="D68">
            <v>4.2999999999999997E-2</v>
          </cell>
          <cell r="E68">
            <v>9.5797142280278316E-2</v>
          </cell>
          <cell r="F68">
            <v>0.16040539374775648</v>
          </cell>
          <cell r="G68">
            <v>0.23540539374775649</v>
          </cell>
          <cell r="H68">
            <v>0.32095239121809005</v>
          </cell>
          <cell r="I68">
            <v>0.42096711425629652</v>
          </cell>
          <cell r="J68">
            <v>0.53068481860864725</v>
          </cell>
          <cell r="K68">
            <v>0.642769203728351</v>
          </cell>
          <cell r="L68">
            <v>0.74839528535557953</v>
          </cell>
          <cell r="M68">
            <v>0.83918984935345187</v>
          </cell>
          <cell r="N68">
            <v>0.90945051634530116</v>
          </cell>
          <cell r="O68">
            <v>0.9576688767502457</v>
          </cell>
          <cell r="P68">
            <v>0.9865231113648858</v>
          </cell>
          <cell r="Q68">
            <v>1.0012970762896924</v>
          </cell>
          <cell r="R68">
            <v>1.0076356106578106</v>
          </cell>
          <cell r="S68">
            <v>1.0098624683774413</v>
          </cell>
          <cell r="T68">
            <v>1.0104871783970797</v>
          </cell>
          <cell r="U68">
            <v>1.010623336815976</v>
          </cell>
          <cell r="V68">
            <v>1.0106457174525985</v>
          </cell>
          <cell r="W68">
            <v>1.0106484038909742</v>
          </cell>
          <cell r="X68"/>
        </row>
        <row r="69">
          <cell r="A69" t="str">
            <v>HVAC</v>
          </cell>
          <cell r="B69" t="str">
            <v>Combo DHP/HPWH units - Retro</v>
          </cell>
          <cell r="C69" t="str">
            <v>Retro5Med</v>
          </cell>
          <cell r="D69">
            <v>4.2999999999999997E-2</v>
          </cell>
          <cell r="E69">
            <v>5.279714228027832E-2</v>
          </cell>
          <cell r="F69">
            <v>6.4608251467478173E-2</v>
          </cell>
          <cell r="G69">
            <v>7.4999999999999997E-2</v>
          </cell>
          <cell r="H69">
            <v>8.5546997470333563E-2</v>
          </cell>
          <cell r="I69">
            <v>0.10001472303820647</v>
          </cell>
          <cell r="J69">
            <v>0.10971770435235073</v>
          </cell>
          <cell r="K69">
            <v>0.11208438511970376</v>
          </cell>
          <cell r="L69">
            <v>0.10562608162722853</v>
          </cell>
          <cell r="M69">
            <v>9.0794563997872335E-2</v>
          </cell>
          <cell r="N69">
            <v>7.0260666991849297E-2</v>
          </cell>
          <cell r="O69">
            <v>4.8218360404944538E-2</v>
          </cell>
          <cell r="P69">
            <v>2.8854234614640095E-2</v>
          </cell>
          <cell r="Q69">
            <v>1.4773964924806759E-2</v>
          </cell>
          <cell r="R69">
            <v>6.3385343681182649E-3</v>
          </cell>
          <cell r="S69">
            <v>2.2268577196306039E-3</v>
          </cell>
          <cell r="T69">
            <v>6.2471001963848583E-4</v>
          </cell>
          <cell r="U69">
            <v>1.3615841889635938E-4</v>
          </cell>
          <cell r="V69">
            <v>2.2380636622298944E-5</v>
          </cell>
          <cell r="W69">
            <v>2.68643837586513E-6</v>
          </cell>
          <cell r="X69"/>
        </row>
        <row r="70">
          <cell r="A70" t="str">
            <v>Water Heating</v>
          </cell>
          <cell r="B70" t="str">
            <v>Aerator - New</v>
          </cell>
          <cell r="C70" t="str">
            <v>LO3Slow</v>
          </cell>
          <cell r="D70">
            <v>5.5320496977002724E-3</v>
          </cell>
          <cell r="E70">
            <v>1.4227918344261844E-2</v>
          </cell>
          <cell r="F70">
            <v>3.1619655637384989E-2</v>
          </cell>
          <cell r="G70">
            <v>6.2055195900350503E-2</v>
          </cell>
          <cell r="H70">
            <v>0.10939936964274129</v>
          </cell>
          <cell r="I70">
            <v>0.17568121288208835</v>
          </cell>
          <cell r="J70">
            <v>0.26003992245943919</v>
          </cell>
          <cell r="K70">
            <v>0.3584584169663485</v>
          </cell>
          <cell r="L70">
            <v>0.46444756489686617</v>
          </cell>
          <cell r="M70">
            <v>0.57043671282738384</v>
          </cell>
          <cell r="N70">
            <v>0.66935991756253377</v>
          </cell>
          <cell r="O70">
            <v>0.75591772170578986</v>
          </cell>
          <cell r="P70">
            <v>0.82720061923553012</v>
          </cell>
          <cell r="Q70">
            <v>0.88264287286977261</v>
          </cell>
          <cell r="R70">
            <v>0.92349505975816193</v>
          </cell>
          <cell r="S70">
            <v>0.95209159058003434</v>
          </cell>
          <cell r="T70">
            <v>0.97115594446128262</v>
          </cell>
          <cell r="U70">
            <v>0.98328780602207699</v>
          </cell>
          <cell r="V70">
            <v>0.99067241740690848</v>
          </cell>
          <cell r="W70">
            <v>0.99498010738139331</v>
          </cell>
          <cell r="X70"/>
        </row>
        <row r="71">
          <cell r="A71" t="str">
            <v>Water Heating</v>
          </cell>
          <cell r="B71" t="str">
            <v>Aerator - Retro</v>
          </cell>
          <cell r="C71" t="str">
            <v>Retro3Slow</v>
          </cell>
          <cell r="D71">
            <v>5.5320496977002724E-3</v>
          </cell>
          <cell r="E71">
            <v>8.6958686465615706E-3</v>
          </cell>
          <cell r="F71">
            <v>1.7391737293123145E-2</v>
          </cell>
          <cell r="G71">
            <v>3.0435540262965514E-2</v>
          </cell>
          <cell r="H71">
            <v>4.7344173742390784E-2</v>
          </cell>
          <cell r="I71">
            <v>6.6281843239347063E-2</v>
          </cell>
          <cell r="J71">
            <v>8.4358709577350838E-2</v>
          </cell>
          <cell r="K71">
            <v>9.8418494506909315E-2</v>
          </cell>
          <cell r="L71">
            <v>0.10598914793051767</v>
          </cell>
          <cell r="M71">
            <v>0.10598914793051767</v>
          </cell>
          <cell r="N71">
            <v>9.8923204735149928E-2</v>
          </cell>
          <cell r="O71">
            <v>8.655780414325609E-2</v>
          </cell>
          <cell r="P71">
            <v>7.1282897529740263E-2</v>
          </cell>
          <cell r="Q71">
            <v>5.5442253634242489E-2</v>
          </cell>
          <cell r="R71">
            <v>4.0852186888389319E-2</v>
          </cell>
          <cell r="S71">
            <v>2.8596530821872412E-2</v>
          </cell>
          <cell r="T71">
            <v>1.9064353881248275E-2</v>
          </cell>
          <cell r="U71">
            <v>1.2131861560794377E-2</v>
          </cell>
          <cell r="V71">
            <v>7.3846113848314854E-3</v>
          </cell>
          <cell r="W71">
            <v>4.3076899744848296E-3</v>
          </cell>
          <cell r="X71"/>
        </row>
        <row r="72">
          <cell r="A72" t="str">
            <v>Water Heating</v>
          </cell>
          <cell r="B72" t="str">
            <v>Behavior - Retro</v>
          </cell>
          <cell r="C72" t="str">
            <v>Retro5Med</v>
          </cell>
          <cell r="D72">
            <v>4.2999999999999997E-2</v>
          </cell>
          <cell r="E72">
            <v>5.279714228027832E-2</v>
          </cell>
          <cell r="F72">
            <v>6.4608251467478173E-2</v>
          </cell>
          <cell r="G72">
            <v>7.4999999999999997E-2</v>
          </cell>
          <cell r="H72">
            <v>8.5546997470333563E-2</v>
          </cell>
          <cell r="I72">
            <v>0.10001472303820647</v>
          </cell>
          <cell r="J72">
            <v>0.10971770435235073</v>
          </cell>
          <cell r="K72">
            <v>0.11208438511970376</v>
          </cell>
          <cell r="L72">
            <v>0.10562608162722853</v>
          </cell>
          <cell r="M72">
            <v>9.0794563997872335E-2</v>
          </cell>
          <cell r="N72">
            <v>7.0260666991849297E-2</v>
          </cell>
          <cell r="O72">
            <v>4.8218360404944538E-2</v>
          </cell>
          <cell r="P72">
            <v>2.8854234614640095E-2</v>
          </cell>
          <cell r="Q72">
            <v>1.4773964924806759E-2</v>
          </cell>
          <cell r="R72">
            <v>6.3385343681182649E-3</v>
          </cell>
          <cell r="S72">
            <v>2.2268577196306039E-3</v>
          </cell>
          <cell r="T72">
            <v>6.2471001963848583E-4</v>
          </cell>
          <cell r="U72">
            <v>1.3615841889635938E-4</v>
          </cell>
          <cell r="V72">
            <v>2.2380636622298944E-5</v>
          </cell>
          <cell r="W72">
            <v>2.68643837586513E-6</v>
          </cell>
          <cell r="X72"/>
        </row>
        <row r="73">
          <cell r="A73" t="str">
            <v>Water Heating</v>
          </cell>
          <cell r="B73" t="str">
            <v>Behavior - New</v>
          </cell>
          <cell r="C73" t="str">
            <v>LO5Med</v>
          </cell>
          <cell r="D73">
            <v>4.2999999999999997E-2</v>
          </cell>
          <cell r="E73">
            <v>9.5797142280278316E-2</v>
          </cell>
          <cell r="F73">
            <v>0.16040539374775648</v>
          </cell>
          <cell r="G73">
            <v>0.23540539374775649</v>
          </cell>
          <cell r="H73">
            <v>0.32095239121809005</v>
          </cell>
          <cell r="I73">
            <v>0.42096711425629652</v>
          </cell>
          <cell r="J73">
            <v>0.53068481860864725</v>
          </cell>
          <cell r="K73">
            <v>0.642769203728351</v>
          </cell>
          <cell r="L73">
            <v>0.74839528535557953</v>
          </cell>
          <cell r="M73">
            <v>0.83918984935345187</v>
          </cell>
          <cell r="N73">
            <v>0.90945051634530116</v>
          </cell>
          <cell r="O73">
            <v>0.9576688767502457</v>
          </cell>
          <cell r="P73">
            <v>0.9865231113648858</v>
          </cell>
          <cell r="Q73">
            <v>1.0012970762896924</v>
          </cell>
          <cell r="R73">
            <v>1.0076356106578106</v>
          </cell>
          <cell r="S73">
            <v>1.0098624683774413</v>
          </cell>
          <cell r="T73">
            <v>1.0104871783970797</v>
          </cell>
          <cell r="U73">
            <v>1.010623336815976</v>
          </cell>
          <cell r="V73">
            <v>1.0106457174525985</v>
          </cell>
          <cell r="W73">
            <v>1.0106484038909742</v>
          </cell>
          <cell r="X73"/>
        </row>
        <row r="74">
          <cell r="A74">
            <v>0</v>
          </cell>
          <cell r="B74">
            <v>0</v>
          </cell>
          <cell r="C74" t="str">
            <v>Retro1Slow</v>
          </cell>
          <cell r="D74">
            <v>2.5643970768378654E-3</v>
          </cell>
          <cell r="E74">
            <v>5.1260615529385989E-3</v>
          </cell>
          <cell r="F74">
            <v>9.1015544176433795E-3</v>
          </cell>
          <cell r="G74">
            <v>1.4804925730045659E-2</v>
          </cell>
          <cell r="H74">
            <v>2.2471809420486211E-2</v>
          </cell>
          <cell r="I74">
            <v>3.2184432813882391E-2</v>
          </cell>
          <cell r="J74">
            <v>4.3779667172004086E-2</v>
          </cell>
          <cell r="K74">
            <v>5.675426075474499E-2</v>
          </cell>
          <cell r="L74">
            <v>7.0195239068707532E-2</v>
          </cell>
          <cell r="M74">
            <v>8.2776861842756788E-2</v>
          </cell>
          <cell r="N74">
            <v>9.2870259507494834E-2</v>
          </cell>
          <cell r="O74">
            <v>9.8796470678915727E-2</v>
          </cell>
          <cell r="P74">
            <v>9.9208932889988999E-2</v>
          </cell>
          <cell r="Q74">
            <v>9.3521150494244254E-2</v>
          </cell>
          <cell r="R74">
            <v>8.2226007896862296E-2</v>
          </cell>
          <cell r="S74">
            <v>6.6933566027365665E-2</v>
          </cell>
          <cell r="T74">
            <v>5.0029565143448806E-2</v>
          </cell>
          <cell r="U74">
            <v>3.402486521893211E-2</v>
          </cell>
          <cell r="V74">
            <v>2.0846059340774659E-2</v>
          </cell>
          <cell r="W74">
            <v>0.01</v>
          </cell>
          <cell r="X74"/>
        </row>
        <row r="75">
          <cell r="A75" t="str">
            <v>HVAC</v>
          </cell>
          <cell r="B75" t="str">
            <v>Heat Recovery Ventilation - New</v>
          </cell>
          <cell r="C75" t="str">
            <v>LO1Slow</v>
          </cell>
          <cell r="D75">
            <v>2.5643970768378654E-3</v>
          </cell>
          <cell r="E75">
            <v>7.6904586297764643E-3</v>
          </cell>
          <cell r="F75">
            <v>1.6792013047419844E-2</v>
          </cell>
          <cell r="G75">
            <v>3.15969387774655E-2</v>
          </cell>
          <cell r="H75">
            <v>5.406874819795171E-2</v>
          </cell>
          <cell r="I75">
            <v>8.6253181011834101E-2</v>
          </cell>
          <cell r="J75">
            <v>0.1300328481838382</v>
          </cell>
          <cell r="K75">
            <v>0.18678710893858319</v>
          </cell>
          <cell r="L75">
            <v>0.2569823480072907</v>
          </cell>
          <cell r="M75">
            <v>0.33975920985004748</v>
          </cell>
          <cell r="N75">
            <v>0.43262946935754232</v>
          </cell>
          <cell r="O75">
            <v>0.53142594003645804</v>
          </cell>
          <cell r="P75">
            <v>0.63063487292644704</v>
          </cell>
          <cell r="Q75">
            <v>0.7241560234206913</v>
          </cell>
          <cell r="R75">
            <v>0.80638203131755359</v>
          </cell>
          <cell r="S75">
            <v>0.87331559734491926</v>
          </cell>
          <cell r="T75">
            <v>0.92334516248836807</v>
          </cell>
          <cell r="U75">
            <v>0.95737002770730018</v>
          </cell>
          <cell r="V75">
            <v>0.97821608704807483</v>
          </cell>
          <cell r="W75">
            <v>0.98821608704807484</v>
          </cell>
          <cell r="X75"/>
        </row>
        <row r="76">
          <cell r="A76" t="str">
            <v>HVAC</v>
          </cell>
          <cell r="B76" t="str">
            <v>GSHP - New</v>
          </cell>
          <cell r="C76" t="str">
            <v>LO1Slow</v>
          </cell>
          <cell r="D76">
            <v>2.5643970768378654E-3</v>
          </cell>
          <cell r="E76">
            <v>7.6904586297764643E-3</v>
          </cell>
          <cell r="F76">
            <v>1.6792013047419844E-2</v>
          </cell>
          <cell r="G76">
            <v>3.15969387774655E-2</v>
          </cell>
          <cell r="H76">
            <v>5.406874819795171E-2</v>
          </cell>
          <cell r="I76">
            <v>8.6253181011834101E-2</v>
          </cell>
          <cell r="J76">
            <v>0.1300328481838382</v>
          </cell>
          <cell r="K76">
            <v>0.18678710893858319</v>
          </cell>
          <cell r="L76">
            <v>0.2569823480072907</v>
          </cell>
          <cell r="M76">
            <v>0.33975920985004748</v>
          </cell>
          <cell r="N76">
            <v>0.43262946935754232</v>
          </cell>
          <cell r="O76">
            <v>0.53142594003645804</v>
          </cell>
          <cell r="P76">
            <v>0.63063487292644704</v>
          </cell>
          <cell r="Q76">
            <v>0.7241560234206913</v>
          </cell>
          <cell r="R76">
            <v>0.80638203131755359</v>
          </cell>
          <cell r="S76">
            <v>0.87331559734491926</v>
          </cell>
          <cell r="T76">
            <v>0.92334516248836807</v>
          </cell>
          <cell r="U76">
            <v>0.95737002770730018</v>
          </cell>
          <cell r="V76">
            <v>0.97821608704807483</v>
          </cell>
          <cell r="W76">
            <v>0.98821608704807484</v>
          </cell>
          <cell r="X76"/>
        </row>
        <row r="77">
          <cell r="A77" t="str">
            <v>HVAC</v>
          </cell>
          <cell r="B77" t="str">
            <v>GSHP - NR</v>
          </cell>
          <cell r="C77" t="str">
            <v>LO1Slow</v>
          </cell>
          <cell r="D77">
            <v>2.5643970768378654E-3</v>
          </cell>
          <cell r="E77">
            <v>7.6904586297764643E-3</v>
          </cell>
          <cell r="F77">
            <v>1.6792013047419844E-2</v>
          </cell>
          <cell r="G77">
            <v>3.15969387774655E-2</v>
          </cell>
          <cell r="H77">
            <v>5.406874819795171E-2</v>
          </cell>
          <cell r="I77">
            <v>8.6253181011834101E-2</v>
          </cell>
          <cell r="J77">
            <v>0.1300328481838382</v>
          </cell>
          <cell r="K77">
            <v>0.18678710893858319</v>
          </cell>
          <cell r="L77">
            <v>0.2569823480072907</v>
          </cell>
          <cell r="M77">
            <v>0.33975920985004748</v>
          </cell>
          <cell r="N77">
            <v>0.43262946935754232</v>
          </cell>
          <cell r="O77">
            <v>0.53142594003645804</v>
          </cell>
          <cell r="P77">
            <v>0.63063487292644704</v>
          </cell>
          <cell r="Q77">
            <v>0.7241560234206913</v>
          </cell>
          <cell r="R77">
            <v>0.80638203131755359</v>
          </cell>
          <cell r="S77">
            <v>0.87331559734491926</v>
          </cell>
          <cell r="T77">
            <v>0.92334516248836807</v>
          </cell>
          <cell r="U77">
            <v>0.95737002770730018</v>
          </cell>
          <cell r="V77">
            <v>0.97821608704807483</v>
          </cell>
          <cell r="W77">
            <v>0.98821608704807484</v>
          </cell>
          <cell r="X77"/>
        </row>
        <row r="78">
          <cell r="A78">
            <v>0</v>
          </cell>
          <cell r="B78">
            <v>0</v>
          </cell>
          <cell r="C78" t="str">
            <v>Retro5Med</v>
          </cell>
          <cell r="D78">
            <v>4.2999999999999997E-2</v>
          </cell>
          <cell r="E78">
            <v>5.279714228027832E-2</v>
          </cell>
          <cell r="F78">
            <v>6.4608251467478173E-2</v>
          </cell>
          <cell r="G78">
            <v>7.4999999999999997E-2</v>
          </cell>
          <cell r="H78">
            <v>8.5546997470333563E-2</v>
          </cell>
          <cell r="I78">
            <v>0.10001472303820647</v>
          </cell>
          <cell r="J78">
            <v>0.10971770435235073</v>
          </cell>
          <cell r="K78">
            <v>0.11208438511970376</v>
          </cell>
          <cell r="L78">
            <v>0.10562608162722853</v>
          </cell>
          <cell r="M78">
            <v>9.0794563997872335E-2</v>
          </cell>
          <cell r="N78">
            <v>7.0260666991849297E-2</v>
          </cell>
          <cell r="O78">
            <v>4.8218360404944538E-2</v>
          </cell>
          <cell r="P78">
            <v>2.8854234614640095E-2</v>
          </cell>
          <cell r="Q78">
            <v>1.4773964924806759E-2</v>
          </cell>
          <cell r="R78">
            <v>6.3385343681182649E-3</v>
          </cell>
          <cell r="S78">
            <v>2.2268577196306039E-3</v>
          </cell>
          <cell r="T78">
            <v>6.2471001963848583E-4</v>
          </cell>
          <cell r="U78">
            <v>1.3615841889635938E-4</v>
          </cell>
          <cell r="V78">
            <v>2.2380636622298944E-5</v>
          </cell>
          <cell r="W78">
            <v>2.68643837586513E-6</v>
          </cell>
          <cell r="X78"/>
        </row>
        <row r="79">
          <cell r="A79" t="str">
            <v>HVAC</v>
          </cell>
          <cell r="B79" t="str">
            <v>ECM for HVAC ventilation - New</v>
          </cell>
          <cell r="C79" t="str">
            <v>LO12Med</v>
          </cell>
          <cell r="D79">
            <v>0.10937459468255628</v>
          </cell>
          <cell r="E79">
            <v>0.21874918936511256</v>
          </cell>
          <cell r="F79">
            <v>0.32812378404766884</v>
          </cell>
          <cell r="G79">
            <v>0.43749837873022512</v>
          </cell>
          <cell r="H79">
            <v>0.5468729734127814</v>
          </cell>
          <cell r="I79">
            <v>0.64531010862708205</v>
          </cell>
          <cell r="J79">
            <v>0.7240598167985226</v>
          </cell>
          <cell r="K79">
            <v>0.78705958333567505</v>
          </cell>
          <cell r="L79">
            <v>0.83745939656539703</v>
          </cell>
          <cell r="M79">
            <v>0.87777924714917455</v>
          </cell>
          <cell r="N79">
            <v>0.91003512761619654</v>
          </cell>
          <cell r="O79">
            <v>0.93583983198981413</v>
          </cell>
          <cell r="P79">
            <v>0.9564835954887082</v>
          </cell>
          <cell r="Q79">
            <v>0.97299860628782353</v>
          </cell>
          <cell r="R79">
            <v>0.9862106149271157</v>
          </cell>
          <cell r="S79">
            <v>0.99678022183854953</v>
          </cell>
          <cell r="T79">
            <v>0.99685231466234414</v>
          </cell>
          <cell r="U79">
            <v>0.99687806209941365</v>
          </cell>
          <cell r="V79">
            <v>0.99688683963477831</v>
          </cell>
          <cell r="W79">
            <v>0.99688970187457115</v>
          </cell>
          <cell r="X79"/>
        </row>
        <row r="80">
          <cell r="A80" t="str">
            <v>HVAC</v>
          </cell>
          <cell r="B80" t="str">
            <v>ECM for HVAC ventilation - NR</v>
          </cell>
          <cell r="C80" t="str">
            <v>LO12Med</v>
          </cell>
          <cell r="D80">
            <v>0.10937459468255628</v>
          </cell>
          <cell r="E80">
            <v>0.21874918936511256</v>
          </cell>
          <cell r="F80">
            <v>0.32812378404766884</v>
          </cell>
        </row>
        <row r="81">
          <cell r="A81" t="str">
            <v>HVAC</v>
          </cell>
          <cell r="B81" t="str">
            <v>Whole house/attic fan - New</v>
          </cell>
          <cell r="C81" t="str">
            <v>LO12Med</v>
          </cell>
          <cell r="D81">
            <v>0.10937459468255628</v>
          </cell>
          <cell r="E81">
            <v>0.21874918936511256</v>
          </cell>
          <cell r="F81">
            <v>0.32812378404766884</v>
          </cell>
        </row>
        <row r="82">
          <cell r="A82" t="str">
            <v>HVAC</v>
          </cell>
          <cell r="B82" t="str">
            <v>Whole house/attic fan - Retro</v>
          </cell>
          <cell r="C82" t="str">
            <v>Retro12Med</v>
          </cell>
          <cell r="D82">
            <v>0.10937459468255628</v>
          </cell>
          <cell r="E82">
            <v>0.10937459468255628</v>
          </cell>
          <cell r="F82">
            <v>0.10937459468255628</v>
          </cell>
        </row>
        <row r="83">
          <cell r="A83" t="str">
            <v>Water heating</v>
          </cell>
          <cell r="B83" t="str">
            <v>WH Pipe insulation - Retro</v>
          </cell>
          <cell r="C83" t="str">
            <v>Retro12Med</v>
          </cell>
          <cell r="D83">
            <v>0.10937459468255628</v>
          </cell>
          <cell r="E83">
            <v>0.10937459468255628</v>
          </cell>
          <cell r="F83">
            <v>0.10937459468255628</v>
          </cell>
        </row>
        <row r="84">
          <cell r="A84" t="str">
            <v>HVAC</v>
          </cell>
          <cell r="B84" t="str">
            <v>DHP Ducted - NR</v>
          </cell>
          <cell r="C84" t="str">
            <v>LO12Med</v>
          </cell>
          <cell r="D84">
            <v>0.10937459468255628</v>
          </cell>
          <cell r="E84">
            <v>0.21874918936511256</v>
          </cell>
          <cell r="F84">
            <v>0.32812378404766884</v>
          </cell>
        </row>
        <row r="85">
          <cell r="A85" t="str">
            <v>Electronics</v>
          </cell>
          <cell r="B85" t="str">
            <v>Advanced Power Strips - New</v>
          </cell>
          <cell r="C85" t="str">
            <v>LO5Med</v>
          </cell>
          <cell r="D85">
            <v>4.2999999999999997E-2</v>
          </cell>
          <cell r="E85">
            <v>9.5797142280278316E-2</v>
          </cell>
          <cell r="F85">
            <v>0.16040539374775648</v>
          </cell>
        </row>
        <row r="86">
          <cell r="A86" t="str">
            <v>Electronics</v>
          </cell>
          <cell r="B86" t="str">
            <v>Advanced Power Strips - Retro</v>
          </cell>
          <cell r="C86" t="str">
            <v>Retro5Med</v>
          </cell>
          <cell r="D86">
            <v>4.2999999999999997E-2</v>
          </cell>
          <cell r="E86">
            <v>5.279714228027832E-2</v>
          </cell>
          <cell r="F86">
            <v>6.4608251467478173E-2</v>
          </cell>
        </row>
        <row r="87">
          <cell r="A87" t="str">
            <v>HVAC</v>
          </cell>
          <cell r="B87" t="str">
            <v>Controls Commissioning and Sizing - New</v>
          </cell>
          <cell r="C87" t="str">
            <v>LO5Med</v>
          </cell>
          <cell r="D87">
            <v>4.2999999999999997E-2</v>
          </cell>
          <cell r="E87">
            <v>9.5797142280278316E-2</v>
          </cell>
          <cell r="F87">
            <v>0.16040539374775648</v>
          </cell>
        </row>
        <row r="88">
          <cell r="A88" t="str">
            <v>HVAC</v>
          </cell>
          <cell r="B88" t="str">
            <v>Controls Commissioning and Sizing - NR</v>
          </cell>
          <cell r="C88" t="str">
            <v>LO5Med</v>
          </cell>
          <cell r="D88">
            <v>4.2999999999999997E-2</v>
          </cell>
          <cell r="E88">
            <v>9.5797142280278316E-2</v>
          </cell>
          <cell r="F88">
            <v>0.16040539374775648</v>
          </cell>
        </row>
        <row r="89">
          <cell r="A89" t="str">
            <v>HVAC</v>
          </cell>
          <cell r="B89" t="str">
            <v>ResWx - Retro</v>
          </cell>
          <cell r="C89" t="str">
            <v>Retro12Med</v>
          </cell>
          <cell r="D89">
            <v>0.10937459468255628</v>
          </cell>
          <cell r="E89">
            <v>0.10937459468255628</v>
          </cell>
          <cell r="F89">
            <v>0.10937459468255628</v>
          </cell>
        </row>
        <row r="90">
          <cell r="D90"/>
          <cell r="E90"/>
          <cell r="F90"/>
        </row>
        <row r="91">
          <cell r="D91"/>
          <cell r="E91"/>
          <cell r="F91"/>
        </row>
        <row r="92">
          <cell r="D92"/>
          <cell r="E92"/>
          <cell r="F92"/>
        </row>
        <row r="93">
          <cell r="D93"/>
          <cell r="E93"/>
          <cell r="F93"/>
        </row>
        <row r="94">
          <cell r="D94"/>
          <cell r="E94"/>
          <cell r="F94"/>
        </row>
        <row r="95">
          <cell r="D95"/>
          <cell r="E95"/>
          <cell r="F95"/>
        </row>
        <row r="96">
          <cell r="D96"/>
          <cell r="E96"/>
          <cell r="F96"/>
        </row>
        <row r="97">
          <cell r="D97"/>
          <cell r="E97"/>
          <cell r="F97"/>
        </row>
        <row r="98">
          <cell r="D98"/>
          <cell r="E98"/>
          <cell r="F98"/>
        </row>
        <row r="99">
          <cell r="D99"/>
          <cell r="E99"/>
          <cell r="F99"/>
        </row>
        <row r="100">
          <cell r="D100"/>
          <cell r="E100"/>
          <cell r="F100"/>
        </row>
      </sheetData>
      <sheetData sheetId="10"/>
      <sheetData sheetId="11">
        <row r="11">
          <cell r="D11">
            <v>2.9671514740017984E-2</v>
          </cell>
          <cell r="E11">
            <v>2.9671514740017984E-2</v>
          </cell>
        </row>
        <row r="12">
          <cell r="D12">
            <v>0</v>
          </cell>
          <cell r="E12">
            <v>0</v>
          </cell>
        </row>
        <row r="13">
          <cell r="D13">
            <v>0</v>
          </cell>
          <cell r="E13">
            <v>0</v>
          </cell>
        </row>
        <row r="14">
          <cell r="D14">
            <v>0</v>
          </cell>
          <cell r="E14">
            <v>0</v>
          </cell>
        </row>
        <row r="15">
          <cell r="D15">
            <v>2.279607208754721E-2</v>
          </cell>
          <cell r="E15">
            <v>2.279607208754721E-2</v>
          </cell>
        </row>
        <row r="16">
          <cell r="D16">
            <v>0</v>
          </cell>
          <cell r="E16">
            <v>0</v>
          </cell>
        </row>
        <row r="17">
          <cell r="C17">
            <v>5.9888429585079297E-2</v>
          </cell>
        </row>
        <row r="18">
          <cell r="D18">
            <v>0</v>
          </cell>
          <cell r="E18">
            <v>0</v>
          </cell>
        </row>
        <row r="19">
          <cell r="D19">
            <v>0</v>
          </cell>
          <cell r="E19">
            <v>0</v>
          </cell>
        </row>
        <row r="20">
          <cell r="D20">
            <v>0</v>
          </cell>
          <cell r="E20">
            <v>0</v>
          </cell>
        </row>
        <row r="21">
          <cell r="D21">
            <v>0</v>
          </cell>
          <cell r="E21">
            <v>0</v>
          </cell>
        </row>
        <row r="22">
          <cell r="D22">
            <v>1.0945836048995988E-3</v>
          </cell>
          <cell r="E22">
            <v>1.0945836048995988E-3</v>
          </cell>
        </row>
        <row r="23">
          <cell r="D23">
            <v>4.9999998343195358E-2</v>
          </cell>
          <cell r="E23">
            <v>4.9999998343195358E-2</v>
          </cell>
        </row>
        <row r="24">
          <cell r="D24">
            <v>0</v>
          </cell>
          <cell r="E24">
            <v>0</v>
          </cell>
        </row>
        <row r="25">
          <cell r="D25">
            <v>0</v>
          </cell>
          <cell r="E25">
            <v>0</v>
          </cell>
        </row>
        <row r="26">
          <cell r="D26">
            <v>1.2426879154171162E-2</v>
          </cell>
          <cell r="E26">
            <v>1.2426879154171162E-2</v>
          </cell>
        </row>
        <row r="27">
          <cell r="D27">
            <v>0</v>
          </cell>
          <cell r="E27">
            <v>0</v>
          </cell>
        </row>
        <row r="28">
          <cell r="C28">
            <v>0.15830495514052295</v>
          </cell>
        </row>
        <row r="94">
          <cell r="C94">
            <v>2.1766292465668989E-2</v>
          </cell>
        </row>
        <row r="105">
          <cell r="C105">
            <v>8.9373362312324317E-2</v>
          </cell>
        </row>
      </sheetData>
      <sheetData sheetId="12"/>
      <sheetData sheetId="13"/>
      <sheetData sheetId="14"/>
      <sheetData sheetId="15"/>
      <sheetData sheetId="16"/>
      <sheetData sheetId="17"/>
      <sheetData sheetId="18"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Pct urban by state"/>
    </sheetNames>
    <sheetDataSet>
      <sheetData sheetId="0">
        <row r="14">
          <cell r="E14">
            <v>1106370</v>
          </cell>
          <cell r="J14">
            <v>791843</v>
          </cell>
          <cell r="T14">
            <v>461212</v>
          </cell>
        </row>
        <row r="28">
          <cell r="E28">
            <v>553014</v>
          </cell>
          <cell r="J28">
            <v>262137</v>
          </cell>
          <cell r="T28">
            <v>436401</v>
          </cell>
        </row>
        <row r="39">
          <cell r="E39">
            <v>3104382</v>
          </cell>
          <cell r="J39">
            <v>2393393</v>
          </cell>
          <cell r="T39">
            <v>726692</v>
          </cell>
        </row>
        <row r="49">
          <cell r="E49">
            <v>5651869</v>
          </cell>
          <cell r="J49">
            <v>5041475</v>
          </cell>
          <cell r="T49">
            <v>1072671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14.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6.xml.rels><?xml version="1.0" encoding="UTF-8" standalone="yes"?>
<Relationships xmlns="http://schemas.openxmlformats.org/package/2006/relationships"><Relationship Id="rId3" Type="http://schemas.openxmlformats.org/officeDocument/2006/relationships/hyperlink" Target="http://www.waterfurnace.com/" TargetMode="External"/><Relationship Id="rId2" Type="http://schemas.openxmlformats.org/officeDocument/2006/relationships/hyperlink" Target="http://www.northwest-geothermal.com/" TargetMode="External"/><Relationship Id="rId1" Type="http://schemas.openxmlformats.org/officeDocument/2006/relationships/hyperlink" Target="mailto:sean.dillon@waterfurnace.com" TargetMode="External"/><Relationship Id="rId4" Type="http://schemas.openxmlformats.org/officeDocument/2006/relationships/hyperlink" Target="http://www.ecosconsulting.com/" TargetMode="External"/></Relationships>
</file>

<file path=xl/worksheets/_rels/sheet1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8.xml"/></Relationships>
</file>

<file path=xl/worksheets/_rels/sheet19.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sheetPr codeName="Sheet1"/>
  <dimension ref="B1:E18"/>
  <sheetViews>
    <sheetView workbookViewId="0">
      <selection activeCell="D9" sqref="D9"/>
    </sheetView>
  </sheetViews>
  <sheetFormatPr defaultRowHeight="12.75"/>
  <cols>
    <col min="1" max="1" width="9.140625" style="70"/>
    <col min="2" max="2" width="37.85546875" style="70" customWidth="1"/>
    <col min="3" max="3" width="53.42578125" style="70" customWidth="1"/>
    <col min="4" max="4" width="34.140625" style="70" customWidth="1"/>
    <col min="5" max="5" width="18.28515625" style="70" customWidth="1"/>
    <col min="6" max="256" width="9.140625" style="70"/>
    <col min="257" max="257" width="26.7109375" style="70" customWidth="1"/>
    <col min="258" max="258" width="73.7109375" style="70" customWidth="1"/>
    <col min="259" max="259" width="58.42578125" style="70" customWidth="1"/>
    <col min="260" max="260" width="28.85546875" style="70" customWidth="1"/>
    <col min="261" max="512" width="9.140625" style="70"/>
    <col min="513" max="513" width="26.7109375" style="70" customWidth="1"/>
    <col min="514" max="514" width="73.7109375" style="70" customWidth="1"/>
    <col min="515" max="515" width="58.42578125" style="70" customWidth="1"/>
    <col min="516" max="516" width="28.85546875" style="70" customWidth="1"/>
    <col min="517" max="768" width="9.140625" style="70"/>
    <col min="769" max="769" width="26.7109375" style="70" customWidth="1"/>
    <col min="770" max="770" width="73.7109375" style="70" customWidth="1"/>
    <col min="771" max="771" width="58.42578125" style="70" customWidth="1"/>
    <col min="772" max="772" width="28.85546875" style="70" customWidth="1"/>
    <col min="773" max="1024" width="9.140625" style="70"/>
    <col min="1025" max="1025" width="26.7109375" style="70" customWidth="1"/>
    <col min="1026" max="1026" width="73.7109375" style="70" customWidth="1"/>
    <col min="1027" max="1027" width="58.42578125" style="70" customWidth="1"/>
    <col min="1028" max="1028" width="28.85546875" style="70" customWidth="1"/>
    <col min="1029" max="1280" width="9.140625" style="70"/>
    <col min="1281" max="1281" width="26.7109375" style="70" customWidth="1"/>
    <col min="1282" max="1282" width="73.7109375" style="70" customWidth="1"/>
    <col min="1283" max="1283" width="58.42578125" style="70" customWidth="1"/>
    <col min="1284" max="1284" width="28.85546875" style="70" customWidth="1"/>
    <col min="1285" max="1536" width="9.140625" style="70"/>
    <col min="1537" max="1537" width="26.7109375" style="70" customWidth="1"/>
    <col min="1538" max="1538" width="73.7109375" style="70" customWidth="1"/>
    <col min="1539" max="1539" width="58.42578125" style="70" customWidth="1"/>
    <col min="1540" max="1540" width="28.85546875" style="70" customWidth="1"/>
    <col min="1541" max="1792" width="9.140625" style="70"/>
    <col min="1793" max="1793" width="26.7109375" style="70" customWidth="1"/>
    <col min="1794" max="1794" width="73.7109375" style="70" customWidth="1"/>
    <col min="1795" max="1795" width="58.42578125" style="70" customWidth="1"/>
    <col min="1796" max="1796" width="28.85546875" style="70" customWidth="1"/>
    <col min="1797" max="2048" width="9.140625" style="70"/>
    <col min="2049" max="2049" width="26.7109375" style="70" customWidth="1"/>
    <col min="2050" max="2050" width="73.7109375" style="70" customWidth="1"/>
    <col min="2051" max="2051" width="58.42578125" style="70" customWidth="1"/>
    <col min="2052" max="2052" width="28.85546875" style="70" customWidth="1"/>
    <col min="2053" max="2304" width="9.140625" style="70"/>
    <col min="2305" max="2305" width="26.7109375" style="70" customWidth="1"/>
    <col min="2306" max="2306" width="73.7109375" style="70" customWidth="1"/>
    <col min="2307" max="2307" width="58.42578125" style="70" customWidth="1"/>
    <col min="2308" max="2308" width="28.85546875" style="70" customWidth="1"/>
    <col min="2309" max="2560" width="9.140625" style="70"/>
    <col min="2561" max="2561" width="26.7109375" style="70" customWidth="1"/>
    <col min="2562" max="2562" width="73.7109375" style="70" customWidth="1"/>
    <col min="2563" max="2563" width="58.42578125" style="70" customWidth="1"/>
    <col min="2564" max="2564" width="28.85546875" style="70" customWidth="1"/>
    <col min="2565" max="2816" width="9.140625" style="70"/>
    <col min="2817" max="2817" width="26.7109375" style="70" customWidth="1"/>
    <col min="2818" max="2818" width="73.7109375" style="70" customWidth="1"/>
    <col min="2819" max="2819" width="58.42578125" style="70" customWidth="1"/>
    <col min="2820" max="2820" width="28.85546875" style="70" customWidth="1"/>
    <col min="2821" max="3072" width="9.140625" style="70"/>
    <col min="3073" max="3073" width="26.7109375" style="70" customWidth="1"/>
    <col min="3074" max="3074" width="73.7109375" style="70" customWidth="1"/>
    <col min="3075" max="3075" width="58.42578125" style="70" customWidth="1"/>
    <col min="3076" max="3076" width="28.85546875" style="70" customWidth="1"/>
    <col min="3077" max="3328" width="9.140625" style="70"/>
    <col min="3329" max="3329" width="26.7109375" style="70" customWidth="1"/>
    <col min="3330" max="3330" width="73.7109375" style="70" customWidth="1"/>
    <col min="3331" max="3331" width="58.42578125" style="70" customWidth="1"/>
    <col min="3332" max="3332" width="28.85546875" style="70" customWidth="1"/>
    <col min="3333" max="3584" width="9.140625" style="70"/>
    <col min="3585" max="3585" width="26.7109375" style="70" customWidth="1"/>
    <col min="3586" max="3586" width="73.7109375" style="70" customWidth="1"/>
    <col min="3587" max="3587" width="58.42578125" style="70" customWidth="1"/>
    <col min="3588" max="3588" width="28.85546875" style="70" customWidth="1"/>
    <col min="3589" max="3840" width="9.140625" style="70"/>
    <col min="3841" max="3841" width="26.7109375" style="70" customWidth="1"/>
    <col min="3842" max="3842" width="73.7109375" style="70" customWidth="1"/>
    <col min="3843" max="3843" width="58.42578125" style="70" customWidth="1"/>
    <col min="3844" max="3844" width="28.85546875" style="70" customWidth="1"/>
    <col min="3845" max="4096" width="9.140625" style="70"/>
    <col min="4097" max="4097" width="26.7109375" style="70" customWidth="1"/>
    <col min="4098" max="4098" width="73.7109375" style="70" customWidth="1"/>
    <col min="4099" max="4099" width="58.42578125" style="70" customWidth="1"/>
    <col min="4100" max="4100" width="28.85546875" style="70" customWidth="1"/>
    <col min="4101" max="4352" width="9.140625" style="70"/>
    <col min="4353" max="4353" width="26.7109375" style="70" customWidth="1"/>
    <col min="4354" max="4354" width="73.7109375" style="70" customWidth="1"/>
    <col min="4355" max="4355" width="58.42578125" style="70" customWidth="1"/>
    <col min="4356" max="4356" width="28.85546875" style="70" customWidth="1"/>
    <col min="4357" max="4608" width="9.140625" style="70"/>
    <col min="4609" max="4609" width="26.7109375" style="70" customWidth="1"/>
    <col min="4610" max="4610" width="73.7109375" style="70" customWidth="1"/>
    <col min="4611" max="4611" width="58.42578125" style="70" customWidth="1"/>
    <col min="4612" max="4612" width="28.85546875" style="70" customWidth="1"/>
    <col min="4613" max="4864" width="9.140625" style="70"/>
    <col min="4865" max="4865" width="26.7109375" style="70" customWidth="1"/>
    <col min="4866" max="4866" width="73.7109375" style="70" customWidth="1"/>
    <col min="4867" max="4867" width="58.42578125" style="70" customWidth="1"/>
    <col min="4868" max="4868" width="28.85546875" style="70" customWidth="1"/>
    <col min="4869" max="5120" width="9.140625" style="70"/>
    <col min="5121" max="5121" width="26.7109375" style="70" customWidth="1"/>
    <col min="5122" max="5122" width="73.7109375" style="70" customWidth="1"/>
    <col min="5123" max="5123" width="58.42578125" style="70" customWidth="1"/>
    <col min="5124" max="5124" width="28.85546875" style="70" customWidth="1"/>
    <col min="5125" max="5376" width="9.140625" style="70"/>
    <col min="5377" max="5377" width="26.7109375" style="70" customWidth="1"/>
    <col min="5378" max="5378" width="73.7109375" style="70" customWidth="1"/>
    <col min="5379" max="5379" width="58.42578125" style="70" customWidth="1"/>
    <col min="5380" max="5380" width="28.85546875" style="70" customWidth="1"/>
    <col min="5381" max="5632" width="9.140625" style="70"/>
    <col min="5633" max="5633" width="26.7109375" style="70" customWidth="1"/>
    <col min="5634" max="5634" width="73.7109375" style="70" customWidth="1"/>
    <col min="5635" max="5635" width="58.42578125" style="70" customWidth="1"/>
    <col min="5636" max="5636" width="28.85546875" style="70" customWidth="1"/>
    <col min="5637" max="5888" width="9.140625" style="70"/>
    <col min="5889" max="5889" width="26.7109375" style="70" customWidth="1"/>
    <col min="5890" max="5890" width="73.7109375" style="70" customWidth="1"/>
    <col min="5891" max="5891" width="58.42578125" style="70" customWidth="1"/>
    <col min="5892" max="5892" width="28.85546875" style="70" customWidth="1"/>
    <col min="5893" max="6144" width="9.140625" style="70"/>
    <col min="6145" max="6145" width="26.7109375" style="70" customWidth="1"/>
    <col min="6146" max="6146" width="73.7109375" style="70" customWidth="1"/>
    <col min="6147" max="6147" width="58.42578125" style="70" customWidth="1"/>
    <col min="6148" max="6148" width="28.85546875" style="70" customWidth="1"/>
    <col min="6149" max="6400" width="9.140625" style="70"/>
    <col min="6401" max="6401" width="26.7109375" style="70" customWidth="1"/>
    <col min="6402" max="6402" width="73.7109375" style="70" customWidth="1"/>
    <col min="6403" max="6403" width="58.42578125" style="70" customWidth="1"/>
    <col min="6404" max="6404" width="28.85546875" style="70" customWidth="1"/>
    <col min="6405" max="6656" width="9.140625" style="70"/>
    <col min="6657" max="6657" width="26.7109375" style="70" customWidth="1"/>
    <col min="6658" max="6658" width="73.7109375" style="70" customWidth="1"/>
    <col min="6659" max="6659" width="58.42578125" style="70" customWidth="1"/>
    <col min="6660" max="6660" width="28.85546875" style="70" customWidth="1"/>
    <col min="6661" max="6912" width="9.140625" style="70"/>
    <col min="6913" max="6913" width="26.7109375" style="70" customWidth="1"/>
    <col min="6914" max="6914" width="73.7109375" style="70" customWidth="1"/>
    <col min="6915" max="6915" width="58.42578125" style="70" customWidth="1"/>
    <col min="6916" max="6916" width="28.85546875" style="70" customWidth="1"/>
    <col min="6917" max="7168" width="9.140625" style="70"/>
    <col min="7169" max="7169" width="26.7109375" style="70" customWidth="1"/>
    <col min="7170" max="7170" width="73.7109375" style="70" customWidth="1"/>
    <col min="7171" max="7171" width="58.42578125" style="70" customWidth="1"/>
    <col min="7172" max="7172" width="28.85546875" style="70" customWidth="1"/>
    <col min="7173" max="7424" width="9.140625" style="70"/>
    <col min="7425" max="7425" width="26.7109375" style="70" customWidth="1"/>
    <col min="7426" max="7426" width="73.7109375" style="70" customWidth="1"/>
    <col min="7427" max="7427" width="58.42578125" style="70" customWidth="1"/>
    <col min="7428" max="7428" width="28.85546875" style="70" customWidth="1"/>
    <col min="7429" max="7680" width="9.140625" style="70"/>
    <col min="7681" max="7681" width="26.7109375" style="70" customWidth="1"/>
    <col min="7682" max="7682" width="73.7109375" style="70" customWidth="1"/>
    <col min="7683" max="7683" width="58.42578125" style="70" customWidth="1"/>
    <col min="7684" max="7684" width="28.85546875" style="70" customWidth="1"/>
    <col min="7685" max="7936" width="9.140625" style="70"/>
    <col min="7937" max="7937" width="26.7109375" style="70" customWidth="1"/>
    <col min="7938" max="7938" width="73.7109375" style="70" customWidth="1"/>
    <col min="7939" max="7939" width="58.42578125" style="70" customWidth="1"/>
    <col min="7940" max="7940" width="28.85546875" style="70" customWidth="1"/>
    <col min="7941" max="8192" width="9.140625" style="70"/>
    <col min="8193" max="8193" width="26.7109375" style="70" customWidth="1"/>
    <col min="8194" max="8194" width="73.7109375" style="70" customWidth="1"/>
    <col min="8195" max="8195" width="58.42578125" style="70" customWidth="1"/>
    <col min="8196" max="8196" width="28.85546875" style="70" customWidth="1"/>
    <col min="8197" max="8448" width="9.140625" style="70"/>
    <col min="8449" max="8449" width="26.7109375" style="70" customWidth="1"/>
    <col min="8450" max="8450" width="73.7109375" style="70" customWidth="1"/>
    <col min="8451" max="8451" width="58.42578125" style="70" customWidth="1"/>
    <col min="8452" max="8452" width="28.85546875" style="70" customWidth="1"/>
    <col min="8453" max="8704" width="9.140625" style="70"/>
    <col min="8705" max="8705" width="26.7109375" style="70" customWidth="1"/>
    <col min="8706" max="8706" width="73.7109375" style="70" customWidth="1"/>
    <col min="8707" max="8707" width="58.42578125" style="70" customWidth="1"/>
    <col min="8708" max="8708" width="28.85546875" style="70" customWidth="1"/>
    <col min="8709" max="8960" width="9.140625" style="70"/>
    <col min="8961" max="8961" width="26.7109375" style="70" customWidth="1"/>
    <col min="8962" max="8962" width="73.7109375" style="70" customWidth="1"/>
    <col min="8963" max="8963" width="58.42578125" style="70" customWidth="1"/>
    <col min="8964" max="8964" width="28.85546875" style="70" customWidth="1"/>
    <col min="8965" max="9216" width="9.140625" style="70"/>
    <col min="9217" max="9217" width="26.7109375" style="70" customWidth="1"/>
    <col min="9218" max="9218" width="73.7109375" style="70" customWidth="1"/>
    <col min="9219" max="9219" width="58.42578125" style="70" customWidth="1"/>
    <col min="9220" max="9220" width="28.85546875" style="70" customWidth="1"/>
    <col min="9221" max="9472" width="9.140625" style="70"/>
    <col min="9473" max="9473" width="26.7109375" style="70" customWidth="1"/>
    <col min="9474" max="9474" width="73.7109375" style="70" customWidth="1"/>
    <col min="9475" max="9475" width="58.42578125" style="70" customWidth="1"/>
    <col min="9476" max="9476" width="28.85546875" style="70" customWidth="1"/>
    <col min="9477" max="9728" width="9.140625" style="70"/>
    <col min="9729" max="9729" width="26.7109375" style="70" customWidth="1"/>
    <col min="9730" max="9730" width="73.7109375" style="70" customWidth="1"/>
    <col min="9731" max="9731" width="58.42578125" style="70" customWidth="1"/>
    <col min="9732" max="9732" width="28.85546875" style="70" customWidth="1"/>
    <col min="9733" max="9984" width="9.140625" style="70"/>
    <col min="9985" max="9985" width="26.7109375" style="70" customWidth="1"/>
    <col min="9986" max="9986" width="73.7109375" style="70" customWidth="1"/>
    <col min="9987" max="9987" width="58.42578125" style="70" customWidth="1"/>
    <col min="9988" max="9988" width="28.85546875" style="70" customWidth="1"/>
    <col min="9989" max="10240" width="9.140625" style="70"/>
    <col min="10241" max="10241" width="26.7109375" style="70" customWidth="1"/>
    <col min="10242" max="10242" width="73.7109375" style="70" customWidth="1"/>
    <col min="10243" max="10243" width="58.42578125" style="70" customWidth="1"/>
    <col min="10244" max="10244" width="28.85546875" style="70" customWidth="1"/>
    <col min="10245" max="10496" width="9.140625" style="70"/>
    <col min="10497" max="10497" width="26.7109375" style="70" customWidth="1"/>
    <col min="10498" max="10498" width="73.7109375" style="70" customWidth="1"/>
    <col min="10499" max="10499" width="58.42578125" style="70" customWidth="1"/>
    <col min="10500" max="10500" width="28.85546875" style="70" customWidth="1"/>
    <col min="10501" max="10752" width="9.140625" style="70"/>
    <col min="10753" max="10753" width="26.7109375" style="70" customWidth="1"/>
    <col min="10754" max="10754" width="73.7109375" style="70" customWidth="1"/>
    <col min="10755" max="10755" width="58.42578125" style="70" customWidth="1"/>
    <col min="10756" max="10756" width="28.85546875" style="70" customWidth="1"/>
    <col min="10757" max="11008" width="9.140625" style="70"/>
    <col min="11009" max="11009" width="26.7109375" style="70" customWidth="1"/>
    <col min="11010" max="11010" width="73.7109375" style="70" customWidth="1"/>
    <col min="11011" max="11011" width="58.42578125" style="70" customWidth="1"/>
    <col min="11012" max="11012" width="28.85546875" style="70" customWidth="1"/>
    <col min="11013" max="11264" width="9.140625" style="70"/>
    <col min="11265" max="11265" width="26.7109375" style="70" customWidth="1"/>
    <col min="11266" max="11266" width="73.7109375" style="70" customWidth="1"/>
    <col min="11267" max="11267" width="58.42578125" style="70" customWidth="1"/>
    <col min="11268" max="11268" width="28.85546875" style="70" customWidth="1"/>
    <col min="11269" max="11520" width="9.140625" style="70"/>
    <col min="11521" max="11521" width="26.7109375" style="70" customWidth="1"/>
    <col min="11522" max="11522" width="73.7109375" style="70" customWidth="1"/>
    <col min="11523" max="11523" width="58.42578125" style="70" customWidth="1"/>
    <col min="11524" max="11524" width="28.85546875" style="70" customWidth="1"/>
    <col min="11525" max="11776" width="9.140625" style="70"/>
    <col min="11777" max="11777" width="26.7109375" style="70" customWidth="1"/>
    <col min="11778" max="11778" width="73.7109375" style="70" customWidth="1"/>
    <col min="11779" max="11779" width="58.42578125" style="70" customWidth="1"/>
    <col min="11780" max="11780" width="28.85546875" style="70" customWidth="1"/>
    <col min="11781" max="12032" width="9.140625" style="70"/>
    <col min="12033" max="12033" width="26.7109375" style="70" customWidth="1"/>
    <col min="12034" max="12034" width="73.7109375" style="70" customWidth="1"/>
    <col min="12035" max="12035" width="58.42578125" style="70" customWidth="1"/>
    <col min="12036" max="12036" width="28.85546875" style="70" customWidth="1"/>
    <col min="12037" max="12288" width="9.140625" style="70"/>
    <col min="12289" max="12289" width="26.7109375" style="70" customWidth="1"/>
    <col min="12290" max="12290" width="73.7109375" style="70" customWidth="1"/>
    <col min="12291" max="12291" width="58.42578125" style="70" customWidth="1"/>
    <col min="12292" max="12292" width="28.85546875" style="70" customWidth="1"/>
    <col min="12293" max="12544" width="9.140625" style="70"/>
    <col min="12545" max="12545" width="26.7109375" style="70" customWidth="1"/>
    <col min="12546" max="12546" width="73.7109375" style="70" customWidth="1"/>
    <col min="12547" max="12547" width="58.42578125" style="70" customWidth="1"/>
    <col min="12548" max="12548" width="28.85546875" style="70" customWidth="1"/>
    <col min="12549" max="12800" width="9.140625" style="70"/>
    <col min="12801" max="12801" width="26.7109375" style="70" customWidth="1"/>
    <col min="12802" max="12802" width="73.7109375" style="70" customWidth="1"/>
    <col min="12803" max="12803" width="58.42578125" style="70" customWidth="1"/>
    <col min="12804" max="12804" width="28.85546875" style="70" customWidth="1"/>
    <col min="12805" max="13056" width="9.140625" style="70"/>
    <col min="13057" max="13057" width="26.7109375" style="70" customWidth="1"/>
    <col min="13058" max="13058" width="73.7109375" style="70" customWidth="1"/>
    <col min="13059" max="13059" width="58.42578125" style="70" customWidth="1"/>
    <col min="13060" max="13060" width="28.85546875" style="70" customWidth="1"/>
    <col min="13061" max="13312" width="9.140625" style="70"/>
    <col min="13313" max="13313" width="26.7109375" style="70" customWidth="1"/>
    <col min="13314" max="13314" width="73.7109375" style="70" customWidth="1"/>
    <col min="13315" max="13315" width="58.42578125" style="70" customWidth="1"/>
    <col min="13316" max="13316" width="28.85546875" style="70" customWidth="1"/>
    <col min="13317" max="13568" width="9.140625" style="70"/>
    <col min="13569" max="13569" width="26.7109375" style="70" customWidth="1"/>
    <col min="13570" max="13570" width="73.7109375" style="70" customWidth="1"/>
    <col min="13571" max="13571" width="58.42578125" style="70" customWidth="1"/>
    <col min="13572" max="13572" width="28.85546875" style="70" customWidth="1"/>
    <col min="13573" max="13824" width="9.140625" style="70"/>
    <col min="13825" max="13825" width="26.7109375" style="70" customWidth="1"/>
    <col min="13826" max="13826" width="73.7109375" style="70" customWidth="1"/>
    <col min="13827" max="13827" width="58.42578125" style="70" customWidth="1"/>
    <col min="13828" max="13828" width="28.85546875" style="70" customWidth="1"/>
    <col min="13829" max="14080" width="9.140625" style="70"/>
    <col min="14081" max="14081" width="26.7109375" style="70" customWidth="1"/>
    <col min="14082" max="14082" width="73.7109375" style="70" customWidth="1"/>
    <col min="14083" max="14083" width="58.42578125" style="70" customWidth="1"/>
    <col min="14084" max="14084" width="28.85546875" style="70" customWidth="1"/>
    <col min="14085" max="14336" width="9.140625" style="70"/>
    <col min="14337" max="14337" width="26.7109375" style="70" customWidth="1"/>
    <col min="14338" max="14338" width="73.7109375" style="70" customWidth="1"/>
    <col min="14339" max="14339" width="58.42578125" style="70" customWidth="1"/>
    <col min="14340" max="14340" width="28.85546875" style="70" customWidth="1"/>
    <col min="14341" max="14592" width="9.140625" style="70"/>
    <col min="14593" max="14593" width="26.7109375" style="70" customWidth="1"/>
    <col min="14594" max="14594" width="73.7109375" style="70" customWidth="1"/>
    <col min="14595" max="14595" width="58.42578125" style="70" customWidth="1"/>
    <col min="14596" max="14596" width="28.85546875" style="70" customWidth="1"/>
    <col min="14597" max="14848" width="9.140625" style="70"/>
    <col min="14849" max="14849" width="26.7109375" style="70" customWidth="1"/>
    <col min="14850" max="14850" width="73.7109375" style="70" customWidth="1"/>
    <col min="14851" max="14851" width="58.42578125" style="70" customWidth="1"/>
    <col min="14852" max="14852" width="28.85546875" style="70" customWidth="1"/>
    <col min="14853" max="15104" width="9.140625" style="70"/>
    <col min="15105" max="15105" width="26.7109375" style="70" customWidth="1"/>
    <col min="15106" max="15106" width="73.7109375" style="70" customWidth="1"/>
    <col min="15107" max="15107" width="58.42578125" style="70" customWidth="1"/>
    <col min="15108" max="15108" width="28.85546875" style="70" customWidth="1"/>
    <col min="15109" max="15360" width="9.140625" style="70"/>
    <col min="15361" max="15361" width="26.7109375" style="70" customWidth="1"/>
    <col min="15362" max="15362" width="73.7109375" style="70" customWidth="1"/>
    <col min="15363" max="15363" width="58.42578125" style="70" customWidth="1"/>
    <col min="15364" max="15364" width="28.85546875" style="70" customWidth="1"/>
    <col min="15365" max="15616" width="9.140625" style="70"/>
    <col min="15617" max="15617" width="26.7109375" style="70" customWidth="1"/>
    <col min="15618" max="15618" width="73.7109375" style="70" customWidth="1"/>
    <col min="15619" max="15619" width="58.42578125" style="70" customWidth="1"/>
    <col min="15620" max="15620" width="28.85546875" style="70" customWidth="1"/>
    <col min="15621" max="15872" width="9.140625" style="70"/>
    <col min="15873" max="15873" width="26.7109375" style="70" customWidth="1"/>
    <col min="15874" max="15874" width="73.7109375" style="70" customWidth="1"/>
    <col min="15875" max="15875" width="58.42578125" style="70" customWidth="1"/>
    <col min="15876" max="15876" width="28.85546875" style="70" customWidth="1"/>
    <col min="15877" max="16128" width="9.140625" style="70"/>
    <col min="16129" max="16129" width="26.7109375" style="70" customWidth="1"/>
    <col min="16130" max="16130" width="73.7109375" style="70" customWidth="1"/>
    <col min="16131" max="16131" width="58.42578125" style="70" customWidth="1"/>
    <col min="16132" max="16132" width="28.85546875" style="70" customWidth="1"/>
    <col min="16133" max="16384" width="9.140625" style="70"/>
  </cols>
  <sheetData>
    <row r="1" spans="2:5" ht="13.5" thickBot="1"/>
    <row r="2" spans="2:5" s="74" customFormat="1" ht="19.5" thickBot="1">
      <c r="B2" s="71" t="s">
        <v>146</v>
      </c>
      <c r="C2" s="72" t="s">
        <v>220</v>
      </c>
      <c r="D2" s="72"/>
      <c r="E2" s="73"/>
    </row>
    <row r="3" spans="2:5" s="74" customFormat="1" ht="15">
      <c r="B3" s="75" t="s">
        <v>147</v>
      </c>
      <c r="C3" s="75" t="s">
        <v>148</v>
      </c>
      <c r="D3" s="75" t="s">
        <v>149</v>
      </c>
      <c r="E3" s="75" t="s">
        <v>150</v>
      </c>
    </row>
    <row r="4" spans="2:5">
      <c r="B4" s="76" t="s">
        <v>151</v>
      </c>
      <c r="C4" s="77" t="s">
        <v>221</v>
      </c>
      <c r="D4" s="77"/>
      <c r="E4" s="77" t="s">
        <v>222</v>
      </c>
    </row>
    <row r="5" spans="2:5">
      <c r="B5" s="76" t="s">
        <v>152</v>
      </c>
      <c r="C5" s="78" t="s">
        <v>223</v>
      </c>
      <c r="D5" s="439" t="s">
        <v>1370</v>
      </c>
      <c r="E5" s="79"/>
    </row>
    <row r="6" spans="2:5" ht="51">
      <c r="B6" s="76" t="s">
        <v>153</v>
      </c>
      <c r="C6" s="79" t="s">
        <v>224</v>
      </c>
      <c r="D6" s="78" t="s">
        <v>1371</v>
      </c>
      <c r="E6" s="87"/>
    </row>
    <row r="7" spans="2:5">
      <c r="B7" s="76" t="s">
        <v>154</v>
      </c>
      <c r="C7" s="78" t="s">
        <v>218</v>
      </c>
      <c r="D7" s="83"/>
      <c r="E7" s="78"/>
    </row>
    <row r="8" spans="2:5" s="74" customFormat="1" ht="39.75" customHeight="1">
      <c r="B8" s="80" t="s">
        <v>155</v>
      </c>
      <c r="C8" s="81" t="s">
        <v>225</v>
      </c>
      <c r="D8" s="82"/>
      <c r="E8" s="82"/>
    </row>
    <row r="9" spans="2:5">
      <c r="B9" s="76" t="s">
        <v>157</v>
      </c>
      <c r="C9" s="78" t="s">
        <v>226</v>
      </c>
      <c r="D9" s="78" t="s">
        <v>1375</v>
      </c>
      <c r="E9" s="78"/>
    </row>
    <row r="10" spans="2:5" ht="51">
      <c r="B10" s="76" t="s">
        <v>158</v>
      </c>
      <c r="C10" s="78" t="s">
        <v>229</v>
      </c>
      <c r="D10" s="78" t="s">
        <v>1372</v>
      </c>
      <c r="E10" s="78"/>
    </row>
    <row r="11" spans="2:5">
      <c r="B11" s="76" t="s">
        <v>144</v>
      </c>
      <c r="C11" s="78" t="s">
        <v>219</v>
      </c>
      <c r="D11" s="78"/>
      <c r="E11" s="78"/>
    </row>
    <row r="12" spans="2:5">
      <c r="B12" s="76" t="s">
        <v>159</v>
      </c>
      <c r="C12" s="78" t="s">
        <v>227</v>
      </c>
      <c r="D12" s="78" t="s">
        <v>228</v>
      </c>
      <c r="E12" s="78"/>
    </row>
    <row r="13" spans="2:5">
      <c r="B13" s="76" t="s">
        <v>160</v>
      </c>
      <c r="C13" s="78" t="s">
        <v>1373</v>
      </c>
      <c r="D13" s="78" t="s">
        <v>1374</v>
      </c>
      <c r="E13" s="78"/>
    </row>
    <row r="14" spans="2:5" customFormat="1"/>
    <row r="15" spans="2:5" customFormat="1"/>
    <row r="16" spans="2:5" customFormat="1"/>
    <row r="17" customFormat="1"/>
    <row r="18" customFormat="1"/>
  </sheetData>
  <pageMargins left="0.7" right="0.7" top="0.75" bottom="0.75" header="0.3" footer="0.3"/>
</worksheet>
</file>

<file path=xl/worksheets/sheet10.xml><?xml version="1.0" encoding="utf-8"?>
<worksheet xmlns="http://schemas.openxmlformats.org/spreadsheetml/2006/main" xmlns:r="http://schemas.openxmlformats.org/officeDocument/2006/relationships">
  <sheetPr codeName="Sheet6"/>
  <dimension ref="A1:DA223"/>
  <sheetViews>
    <sheetView topLeftCell="B1" workbookViewId="0">
      <selection activeCell="H8" sqref="H8:H223"/>
    </sheetView>
  </sheetViews>
  <sheetFormatPr defaultRowHeight="12.75"/>
  <cols>
    <col min="1" max="1" width="94.140625" style="9" customWidth="1"/>
    <col min="2" max="2" width="25" style="9" customWidth="1"/>
    <col min="3" max="3" width="17.28515625" style="9" bestFit="1" customWidth="1"/>
    <col min="4" max="4" width="12" style="9" bestFit="1" customWidth="1"/>
    <col min="5" max="5" width="12.5703125" style="9" customWidth="1"/>
    <col min="6" max="6" width="13.7109375" style="9" customWidth="1"/>
    <col min="7" max="7" width="17.28515625" style="9" bestFit="1" customWidth="1"/>
    <col min="8" max="8" width="15.5703125" style="9" bestFit="1" customWidth="1"/>
    <col min="9" max="9" width="15.28515625" style="9" bestFit="1" customWidth="1"/>
    <col min="10" max="10" width="14.28515625" style="9" bestFit="1" customWidth="1"/>
    <col min="11" max="11" width="14.28515625" style="9" customWidth="1"/>
    <col min="12" max="12" width="12.5703125" style="9" customWidth="1"/>
    <col min="13" max="13" width="10.28515625" style="9" bestFit="1" customWidth="1"/>
    <col min="14" max="15" width="10.85546875" style="9" bestFit="1" customWidth="1"/>
    <col min="16" max="16" width="13.42578125" style="9" customWidth="1"/>
    <col min="17" max="17" width="11.85546875" style="9" bestFit="1" customWidth="1"/>
    <col min="18" max="18" width="11" style="9" bestFit="1" customWidth="1"/>
    <col min="19" max="19" width="14.28515625" style="9" bestFit="1" customWidth="1"/>
    <col min="20" max="20" width="10.7109375" style="9" customWidth="1"/>
    <col min="21" max="21" width="13.85546875" style="9" bestFit="1" customWidth="1"/>
    <col min="22" max="22" width="11.7109375" style="9" bestFit="1" customWidth="1"/>
    <col min="23" max="23" width="15.28515625" style="9" bestFit="1" customWidth="1"/>
    <col min="24" max="26" width="12.28515625" style="9" bestFit="1" customWidth="1"/>
    <col min="27" max="27" width="12.5703125" style="9" bestFit="1" customWidth="1"/>
    <col min="28" max="30" width="14.28515625" style="9" bestFit="1" customWidth="1"/>
    <col min="31" max="31" width="13.7109375" style="9" bestFit="1" customWidth="1"/>
    <col min="32" max="32" width="14" style="9" bestFit="1" customWidth="1"/>
    <col min="33" max="33" width="12.85546875" style="9" bestFit="1" customWidth="1"/>
    <col min="34" max="34" width="15.28515625" style="9" bestFit="1" customWidth="1"/>
    <col min="35" max="35" width="12.28515625" style="9" bestFit="1" customWidth="1"/>
    <col min="36" max="36" width="10.85546875" style="9" bestFit="1" customWidth="1"/>
    <col min="37" max="37" width="12.28515625" style="9" bestFit="1" customWidth="1"/>
    <col min="38" max="38" width="12.5703125" style="9" bestFit="1" customWidth="1"/>
    <col min="39" max="43" width="12.85546875" style="9" customWidth="1"/>
    <col min="44" max="44" width="12.5703125" style="9" customWidth="1"/>
    <col min="45" max="45" width="12.28515625" style="9" customWidth="1"/>
    <col min="46" max="46" width="12.7109375" style="9" customWidth="1"/>
    <col min="47" max="47" width="11.85546875" style="9" customWidth="1"/>
    <col min="48" max="48" width="12.5703125" style="9" bestFit="1" customWidth="1"/>
    <col min="49" max="49" width="13.42578125" style="9" customWidth="1"/>
    <col min="50" max="50" width="15.7109375" style="9" bestFit="1" customWidth="1"/>
    <col min="51" max="51" width="11" style="9" bestFit="1" customWidth="1"/>
    <col min="52" max="52" width="14.28515625" style="9" bestFit="1" customWidth="1"/>
    <col min="53" max="53" width="14.7109375" style="9" bestFit="1" customWidth="1"/>
    <col min="54" max="54" width="15" style="9" bestFit="1" customWidth="1"/>
    <col min="55" max="55" width="12.5703125" style="9" bestFit="1" customWidth="1"/>
    <col min="56" max="56" width="13.5703125" style="9" customWidth="1"/>
    <col min="57" max="58" width="14.5703125" style="9" bestFit="1" customWidth="1"/>
    <col min="59" max="59" width="14.85546875" style="9" bestFit="1" customWidth="1"/>
    <col min="60" max="60" width="12.5703125" style="9" bestFit="1" customWidth="1"/>
    <col min="61" max="61" width="13.28515625" style="9" bestFit="1" customWidth="1"/>
    <col min="62" max="62" width="14" style="9" bestFit="1" customWidth="1"/>
    <col min="63" max="63" width="13.28515625" style="9" bestFit="1" customWidth="1"/>
    <col min="64" max="64" width="11.140625" style="9" bestFit="1" customWidth="1"/>
    <col min="65" max="65" width="16.85546875" style="9" bestFit="1" customWidth="1"/>
    <col min="66" max="66" width="14.7109375" style="9" customWidth="1"/>
    <col min="67" max="67" width="12" style="9" customWidth="1"/>
    <col min="68" max="68" width="14" style="9" customWidth="1"/>
    <col min="69" max="69" width="12.5703125" style="9" customWidth="1"/>
    <col min="70" max="70" width="11.28515625" style="9" customWidth="1"/>
    <col min="71" max="71" width="14.42578125" style="9" customWidth="1"/>
    <col min="72" max="72" width="15.7109375" style="9" customWidth="1"/>
    <col min="73" max="73" width="12.85546875" style="9" customWidth="1"/>
    <col min="74" max="74" width="13" style="9" customWidth="1"/>
    <col min="75" max="75" width="11.7109375" style="9" customWidth="1"/>
    <col min="76" max="76" width="14" style="9" customWidth="1"/>
    <col min="77" max="77" width="14.85546875" style="9" customWidth="1"/>
    <col min="78" max="78" width="11.85546875" style="9" customWidth="1"/>
    <col min="79" max="79" width="13.85546875" style="9" customWidth="1"/>
    <col min="80" max="80" width="13.7109375" style="9" customWidth="1"/>
    <col min="81" max="81" width="13" style="9" customWidth="1"/>
    <col min="82" max="82" width="12.42578125" style="9" customWidth="1"/>
    <col min="83" max="83" width="13" style="9" customWidth="1"/>
    <col min="84" max="84" width="12.7109375" style="9" hidden="1" customWidth="1"/>
    <col min="85" max="85" width="12.42578125" style="9" hidden="1" customWidth="1"/>
    <col min="86" max="86" width="10.28515625" style="9" hidden="1" customWidth="1"/>
    <col min="87" max="90" width="9.85546875" style="9" hidden="1" customWidth="1"/>
    <col min="91" max="91" width="9.85546875" style="9" customWidth="1"/>
    <col min="92" max="99" width="10.7109375" style="9" customWidth="1"/>
    <col min="100" max="100" width="16.5703125" style="9" customWidth="1"/>
    <col min="101" max="105" width="10.7109375" style="9" customWidth="1"/>
    <col min="106" max="16384" width="9.140625" style="9"/>
  </cols>
  <sheetData>
    <row r="1" spans="1:105">
      <c r="A1" s="1" t="s">
        <v>968</v>
      </c>
      <c r="B1" s="2"/>
      <c r="C1" s="2"/>
      <c r="D1" s="2"/>
      <c r="E1" s="2"/>
      <c r="F1" s="2"/>
      <c r="G1" s="2"/>
      <c r="H1" s="3"/>
      <c r="I1" s="4"/>
      <c r="J1" s="4"/>
      <c r="K1" s="4"/>
      <c r="L1" s="4"/>
      <c r="M1" s="4"/>
      <c r="N1" s="5"/>
      <c r="O1" s="6"/>
      <c r="P1" s="5"/>
      <c r="Q1" s="5"/>
      <c r="R1" s="5"/>
      <c r="S1" s="3"/>
      <c r="T1" s="3"/>
      <c r="U1" s="3"/>
      <c r="V1" s="5"/>
      <c r="W1" s="3"/>
      <c r="X1" s="3"/>
      <c r="Y1" s="3"/>
      <c r="Z1" s="3"/>
      <c r="AA1" s="3"/>
      <c r="AB1" s="3"/>
      <c r="AC1" s="3"/>
      <c r="AD1" s="3"/>
      <c r="AE1" s="3"/>
      <c r="AF1" s="3"/>
      <c r="AG1" s="3"/>
      <c r="AH1" s="3"/>
      <c r="AI1" s="3"/>
      <c r="AJ1" s="3"/>
      <c r="AK1" s="3"/>
      <c r="AL1" s="3"/>
      <c r="AM1" s="3"/>
      <c r="AN1" s="3"/>
      <c r="AO1" s="3"/>
      <c r="AP1" s="7"/>
      <c r="AQ1" s="3"/>
      <c r="AR1" s="3"/>
      <c r="AS1" s="3"/>
      <c r="AT1" s="3"/>
      <c r="AU1" s="3"/>
      <c r="AV1" s="7"/>
      <c r="AW1" s="3"/>
      <c r="AX1" s="3"/>
      <c r="AY1" s="3"/>
      <c r="AZ1" s="3"/>
      <c r="BA1" s="3"/>
      <c r="BB1" s="3"/>
      <c r="BC1" s="3"/>
      <c r="BD1" s="3"/>
      <c r="BE1" s="3"/>
      <c r="BF1" s="3"/>
      <c r="BG1" s="3"/>
      <c r="BH1" s="3"/>
      <c r="BI1" s="3"/>
      <c r="BJ1" s="3"/>
      <c r="BK1" s="3"/>
      <c r="BL1" s="3"/>
      <c r="BM1" s="8"/>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7"/>
      <c r="CQ1" s="3"/>
      <c r="CR1" s="3"/>
      <c r="CS1" s="3"/>
      <c r="CT1" s="3"/>
      <c r="CU1" s="3"/>
      <c r="CV1" s="3"/>
      <c r="CW1" s="3"/>
      <c r="CX1" s="3"/>
      <c r="CY1" s="3"/>
      <c r="CZ1" s="3"/>
      <c r="DA1" s="3"/>
    </row>
    <row r="2" spans="1:105">
      <c r="A2" s="10"/>
      <c r="B2" s="3"/>
      <c r="C2" s="3"/>
      <c r="D2" s="3"/>
      <c r="E2" s="3"/>
      <c r="F2" s="3"/>
      <c r="G2" s="3"/>
      <c r="H2" s="3"/>
      <c r="I2" s="4"/>
      <c r="J2" s="4"/>
      <c r="K2" s="4"/>
      <c r="L2" s="4"/>
      <c r="M2" s="4"/>
      <c r="N2" s="5"/>
      <c r="O2" s="5"/>
      <c r="P2" s="5"/>
      <c r="Q2" s="5"/>
      <c r="R2" s="5"/>
      <c r="S2" s="3"/>
      <c r="T2" s="3"/>
      <c r="U2" s="3"/>
      <c r="V2" s="5"/>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7"/>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row>
    <row r="3" spans="1:105">
      <c r="A3" s="10"/>
      <c r="C3" s="10"/>
      <c r="J3" s="11"/>
      <c r="K3" s="12"/>
      <c r="CO3" s="12"/>
      <c r="CP3" s="12"/>
    </row>
    <row r="5" spans="1:105">
      <c r="A5" s="13"/>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row>
    <row r="6" spans="1:105">
      <c r="A6" s="14" t="s">
        <v>3</v>
      </c>
      <c r="B6" s="15"/>
      <c r="C6" s="15"/>
      <c r="D6" s="15"/>
      <c r="E6" s="15"/>
      <c r="F6" s="15"/>
      <c r="G6" s="16"/>
      <c r="H6" s="17"/>
      <c r="I6" s="613" t="s">
        <v>4</v>
      </c>
      <c r="J6" s="614"/>
      <c r="K6" s="614"/>
      <c r="L6" s="614"/>
      <c r="M6" s="614"/>
      <c r="N6" s="615"/>
      <c r="O6" s="616" t="s">
        <v>5</v>
      </c>
      <c r="P6" s="617"/>
      <c r="Q6" s="18"/>
      <c r="R6" s="19"/>
      <c r="S6" s="19"/>
      <c r="T6" s="19"/>
      <c r="U6" s="19"/>
      <c r="V6" s="19"/>
      <c r="W6" s="19"/>
      <c r="X6" s="20"/>
      <c r="Y6" s="21"/>
      <c r="Z6" s="19"/>
      <c r="AA6" s="19"/>
      <c r="AB6" s="19"/>
      <c r="AC6" s="19"/>
      <c r="AD6" s="19"/>
      <c r="AE6" s="22"/>
      <c r="AF6" s="22"/>
      <c r="AG6" s="22"/>
      <c r="AH6" s="22"/>
      <c r="AI6" s="22"/>
      <c r="AJ6" s="22"/>
      <c r="AK6" s="22"/>
      <c r="AL6" s="22"/>
      <c r="AM6" s="22"/>
      <c r="AN6" s="22"/>
      <c r="AO6" s="22"/>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row>
    <row r="7" spans="1:105" ht="25.5">
      <c r="A7" s="23" t="s">
        <v>6</v>
      </c>
      <c r="B7" s="23" t="s">
        <v>7</v>
      </c>
      <c r="C7" s="23" t="s">
        <v>8</v>
      </c>
      <c r="D7" s="23" t="s">
        <v>9</v>
      </c>
      <c r="E7" s="23" t="s">
        <v>10</v>
      </c>
      <c r="F7" s="23" t="s">
        <v>11</v>
      </c>
      <c r="G7" s="23" t="s">
        <v>12</v>
      </c>
      <c r="H7" s="23" t="s">
        <v>13</v>
      </c>
      <c r="I7" s="23" t="s">
        <v>14</v>
      </c>
      <c r="J7" s="23" t="s">
        <v>15</v>
      </c>
      <c r="K7" s="23" t="s">
        <v>16</v>
      </c>
      <c r="L7" s="23" t="s">
        <v>17</v>
      </c>
      <c r="M7" s="23" t="s">
        <v>18</v>
      </c>
      <c r="N7" s="23" t="s">
        <v>19</v>
      </c>
      <c r="O7" s="24" t="s">
        <v>20</v>
      </c>
      <c r="P7" s="23" t="s">
        <v>12</v>
      </c>
      <c r="Q7" s="25"/>
      <c r="R7" s="25"/>
      <c r="S7" s="25"/>
      <c r="T7" s="25"/>
      <c r="U7" s="25"/>
      <c r="V7" s="25"/>
      <c r="W7" s="25"/>
      <c r="X7" s="25"/>
      <c r="Y7" s="25"/>
      <c r="Z7" s="25"/>
      <c r="AA7" s="25"/>
      <c r="AB7" s="25"/>
      <c r="AC7" s="25"/>
      <c r="AD7" s="25"/>
      <c r="AE7" s="22"/>
      <c r="AF7" s="22"/>
      <c r="AG7" s="22"/>
      <c r="AH7" s="22"/>
      <c r="AI7" s="22"/>
      <c r="AJ7" s="22"/>
      <c r="AK7" s="22"/>
      <c r="AL7" s="22"/>
      <c r="AM7" s="22"/>
      <c r="AN7" s="22"/>
      <c r="AO7" s="22"/>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row>
    <row r="8" spans="1:105" ht="25.5">
      <c r="A8" s="255" t="str">
        <f>INDEX(WeightedSavings!$E$10:$E$81,FLOOR((ROW(A3))/3,1))</f>
        <v>Ground Source Heat Pump Upgrade from Air Source Heat Pump - Without Desuperheater - New House less than 4000 square feet - Heating Zone 1 - Cooling Zone 1</v>
      </c>
      <c r="B8" s="255" t="s">
        <v>962</v>
      </c>
      <c r="C8" s="39">
        <f>IF(B8="heat",VLOOKUP($A8,WeightedSavings!$E$10:$K$81,2,FALSE),IF(B8="cool",VLOOKUP($A8,WeightedSavings!$E$10:$K$81,3,FALSE),IF(B8="DHW",VLOOKUP($A8,WeightedSavings!$E$10:$K$81,4,FALSE),0)))</f>
        <v>820.78018270666314</v>
      </c>
      <c r="D8" s="39">
        <v>20</v>
      </c>
      <c r="E8" s="256">
        <f>IF(B8="heat",VLOOKUP(A8,WeightedSavings!$E$10:$K$81,5,FALSE), IF(B8="cool",0, IF(B8="DHW",VLOOKUP(A8,WeightedSavings!$E$10:K81,6,FALSE))))</f>
        <v>58.329107224533132</v>
      </c>
      <c r="F8" s="39"/>
      <c r="G8" s="257" t="str">
        <f>IF(B8="heat",IF(MID(A8,SEARCH("Heating Zone",A8)+13,1)="1","ResSpHtHPZ1",IF(MID(A8,SEARCH("Heating Zone",A8)+13,1)="2","ResSpHtHPZ2","ResSpHtHPZ3")),IF(B8="cool","ResCACPNW",IF(B8="DHW","ResDHW")))</f>
        <v>ResSpHtHPZ1</v>
      </c>
      <c r="H8" s="39">
        <f>IF(B8="heat",VLOOKUP($A8,WeightedSavings!$E$10:$K$81,5,FALSE),0)</f>
        <v>58.329107224533132</v>
      </c>
      <c r="I8" s="26"/>
      <c r="J8" s="26"/>
      <c r="K8" s="26"/>
      <c r="L8" s="26"/>
      <c r="M8" s="26"/>
      <c r="N8" s="26"/>
      <c r="O8" s="27"/>
      <c r="P8" s="26"/>
      <c r="Q8" s="28"/>
      <c r="R8" s="29"/>
      <c r="S8" s="30"/>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28"/>
      <c r="BA8" s="28"/>
      <c r="BB8" s="28"/>
      <c r="BC8" s="28"/>
      <c r="BD8" s="28"/>
      <c r="BE8" s="28"/>
      <c r="BF8" s="28"/>
      <c r="BG8" s="28"/>
      <c r="BH8" s="28"/>
      <c r="BI8" s="28"/>
      <c r="BJ8" s="28"/>
      <c r="BK8" s="28"/>
      <c r="BL8" s="28"/>
      <c r="BM8" s="28"/>
      <c r="BN8" s="28"/>
      <c r="BO8" s="28"/>
      <c r="BP8" s="28"/>
      <c r="BQ8" s="28"/>
      <c r="BR8" s="28"/>
      <c r="BS8" s="28"/>
      <c r="BT8" s="28"/>
      <c r="BU8" s="28"/>
      <c r="BV8" s="28"/>
      <c r="BW8" s="28"/>
      <c r="BX8" s="28"/>
      <c r="BY8" s="28"/>
      <c r="BZ8" s="28"/>
      <c r="CA8" s="28"/>
      <c r="CB8" s="28"/>
      <c r="CC8" s="28"/>
      <c r="CD8" s="28"/>
      <c r="CE8" s="28"/>
      <c r="CF8" s="28"/>
      <c r="CG8" s="28"/>
      <c r="CH8" s="28"/>
      <c r="CI8" s="28"/>
      <c r="CJ8" s="28"/>
      <c r="CK8" s="28"/>
      <c r="CL8" s="28"/>
      <c r="CM8" s="28"/>
      <c r="CN8" s="28"/>
      <c r="CO8" s="28"/>
      <c r="CP8" s="28"/>
      <c r="CQ8" s="28"/>
      <c r="CR8" s="28"/>
      <c r="CS8" s="28"/>
      <c r="CT8" s="28"/>
      <c r="CU8" s="28"/>
      <c r="CV8" s="28"/>
      <c r="CW8" s="28"/>
      <c r="CX8" s="28"/>
    </row>
    <row r="9" spans="1:105" ht="25.5">
      <c r="A9" s="255" t="str">
        <f>INDEX(WeightedSavings!$E$10:$E$81,FLOOR((ROW(A4))/3,1))</f>
        <v>Ground Source Heat Pump Upgrade from Air Source Heat Pump - Without Desuperheater - New House less than 4000 square feet - Heating Zone 1 - Cooling Zone 1</v>
      </c>
      <c r="B9" s="255" t="s">
        <v>963</v>
      </c>
      <c r="C9" s="39">
        <f>IF(B9="heat",VLOOKUP($A9,WeightedSavings!$E$10:$K$81,2,FALSE),IF(B9="cool",VLOOKUP($A9,WeightedSavings!$E$10:$K$81,3,FALSE),IF(B9="DHW",VLOOKUP($A9,WeightedSavings!$E$10:$K$81,4,FALSE),0)))</f>
        <v>34.948501862500002</v>
      </c>
      <c r="D9" s="39">
        <v>20</v>
      </c>
      <c r="E9" s="256">
        <f>IF(B9="heat",VLOOKUP(A9,WeightedSavings!$E$10:$K$81,5,FALSE), IF(B9="cool",0, IF(B9="DHW",VLOOKUP(A9,WeightedSavings!$E$10:K82,6,FALSE))))</f>
        <v>0</v>
      </c>
      <c r="F9" s="39"/>
      <c r="G9" s="257" t="str">
        <f t="shared" ref="G9:G72" si="0">IF(B9="heat",IF(MID(A9,SEARCH("Heating Zone",A9)+13,1)="1","ResSpHtHPZ1",IF(MID(A9,SEARCH("Heating Zone",A9)+13,1)="2","ResSpHtHPZ2","ResSpHtHPZ3")),IF(B9="cool","ResCACPNW",IF(B9="DHW","ResDHW")))</f>
        <v>ResCACPNW</v>
      </c>
      <c r="H9" s="39">
        <f>IF(B9="heat",VLOOKUP($A9,WeightedSavings!$E$10:$K$81,5,FALSE),0)</f>
        <v>0</v>
      </c>
      <c r="I9" s="26"/>
      <c r="J9" s="26"/>
      <c r="K9" s="26"/>
      <c r="L9" s="26"/>
      <c r="M9" s="26"/>
      <c r="N9" s="26"/>
      <c r="O9" s="27"/>
      <c r="P9" s="26"/>
      <c r="Q9" s="28"/>
      <c r="R9" s="29"/>
      <c r="S9" s="30"/>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28"/>
      <c r="BU9" s="28"/>
      <c r="BV9" s="28"/>
      <c r="BW9" s="28"/>
      <c r="BX9" s="28"/>
      <c r="BY9" s="28"/>
      <c r="BZ9" s="28"/>
      <c r="CA9" s="28"/>
      <c r="CB9" s="28"/>
      <c r="CC9" s="28"/>
      <c r="CD9" s="28"/>
      <c r="CE9" s="28"/>
      <c r="CF9" s="28"/>
      <c r="CG9" s="28"/>
      <c r="CH9" s="28"/>
      <c r="CI9" s="28"/>
      <c r="CJ9" s="28"/>
      <c r="CK9" s="28"/>
      <c r="CL9" s="28"/>
      <c r="CM9" s="28"/>
      <c r="CN9" s="28"/>
      <c r="CO9" s="28"/>
      <c r="CP9" s="28"/>
      <c r="CQ9" s="28"/>
      <c r="CR9" s="28"/>
      <c r="CS9" s="28"/>
      <c r="CT9" s="28"/>
      <c r="CU9" s="28"/>
      <c r="CV9" s="28"/>
      <c r="CW9" s="28"/>
      <c r="CX9" s="28"/>
    </row>
    <row r="10" spans="1:105" ht="25.5">
      <c r="A10" s="255" t="str">
        <f>INDEX(WeightedSavings!$E$10:$E$81,FLOOR((ROW(A5))/3,1))</f>
        <v>Ground Source Heat Pump Upgrade from Air Source Heat Pump - Without Desuperheater - New House less than 4000 square feet - Heating Zone 1 - Cooling Zone 1</v>
      </c>
      <c r="B10" s="255" t="s">
        <v>964</v>
      </c>
      <c r="C10" s="39">
        <f>IF(B10="heat",VLOOKUP($A10,WeightedSavings!$E$10:$K$81,2,FALSE),IF(B10="cool",VLOOKUP($A10,WeightedSavings!$E$10:$K$81,3,FALSE),IF(B10="DHW",VLOOKUP($A10,WeightedSavings!$E$10:$K$81,4,FALSE),0)))</f>
        <v>0</v>
      </c>
      <c r="D10" s="39">
        <v>20</v>
      </c>
      <c r="E10" s="256">
        <f>IF(B10="heat",VLOOKUP(A10,WeightedSavings!$E$10:$K$81,5,FALSE), IF(B10="cool",0, IF(B10="DHW",VLOOKUP(A10,WeightedSavings!$E$10:K83,6,FALSE))))</f>
        <v>4097.9850750000005</v>
      </c>
      <c r="F10" s="39"/>
      <c r="G10" s="257" t="str">
        <f t="shared" si="0"/>
        <v>ResDHW</v>
      </c>
      <c r="H10" s="39">
        <f>IF(B10="heat",VLOOKUP($A10,WeightedSavings!$E$10:$K$81,5,FALSE),0)</f>
        <v>0</v>
      </c>
      <c r="I10" s="26"/>
      <c r="J10" s="26"/>
      <c r="K10" s="26"/>
      <c r="L10" s="26"/>
      <c r="M10" s="26"/>
      <c r="N10" s="26"/>
      <c r="O10" s="27"/>
      <c r="P10" s="26"/>
      <c r="Q10" s="28"/>
      <c r="R10" s="29"/>
      <c r="S10" s="30"/>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c r="CQ10" s="28"/>
      <c r="CR10" s="28"/>
      <c r="CS10" s="28"/>
      <c r="CT10" s="28"/>
      <c r="CU10" s="28"/>
      <c r="CV10" s="28"/>
      <c r="CW10" s="28"/>
      <c r="CX10" s="28"/>
    </row>
    <row r="11" spans="1:105" ht="25.5">
      <c r="A11" s="255" t="str">
        <f>INDEX(WeightedSavings!$E$10:$E$81,FLOOR((ROW(A6))/3,1))</f>
        <v>Ground Source Heat Pump Upgrade from Air Source Heat Pump - Without Desuperheater - New House less than 4000 square feet - Heating Zone 1 - Cooling Zone 2</v>
      </c>
      <c r="B11" s="255" t="str">
        <f>B8</f>
        <v>heat</v>
      </c>
      <c r="C11" s="39">
        <f>IF(B11="heat",VLOOKUP($A11,WeightedSavings!$E$10:$K$81,2,FALSE),IF(B11="cool",VLOOKUP($A11,WeightedSavings!$E$10:$K$81,3,FALSE),IF(B11="DHW",VLOOKUP($A11,WeightedSavings!$E$10:$K$81,4,FALSE),0)))</f>
        <v>820.78018270666314</v>
      </c>
      <c r="D11" s="39">
        <f t="shared" ref="D11:D16" si="1">D8</f>
        <v>20</v>
      </c>
      <c r="E11" s="256">
        <f>IF(B11="heat",VLOOKUP(A11,WeightedSavings!$E$10:$K$81,5,FALSE), IF(B11="cool",0, IF(B11="DHW",VLOOKUP(A11,WeightedSavings!$E$10:K84,6,FALSE))))</f>
        <v>58.329107224533132</v>
      </c>
      <c r="F11" s="39"/>
      <c r="G11" s="257" t="str">
        <f t="shared" si="0"/>
        <v>ResSpHtHPZ1</v>
      </c>
      <c r="H11" s="39">
        <f>IF(B11="heat",VLOOKUP($A11,WeightedSavings!$E$10:$K$81,5,FALSE),0)</f>
        <v>58.329107224533132</v>
      </c>
      <c r="I11" s="26"/>
      <c r="J11" s="26"/>
      <c r="K11" s="26"/>
      <c r="L11" s="26"/>
      <c r="M11" s="26"/>
      <c r="N11" s="26"/>
      <c r="O11" s="27"/>
      <c r="P11" s="26"/>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28"/>
      <c r="BO11" s="28"/>
      <c r="BP11" s="28"/>
      <c r="BQ11" s="28"/>
      <c r="BR11" s="28"/>
      <c r="BS11" s="28"/>
      <c r="BT11" s="28"/>
      <c r="BU11" s="28"/>
      <c r="BV11" s="28"/>
      <c r="BW11" s="28"/>
      <c r="BX11" s="28"/>
      <c r="BY11" s="28"/>
      <c r="BZ11" s="28"/>
      <c r="CA11" s="28"/>
      <c r="CB11" s="28"/>
      <c r="CC11" s="28"/>
      <c r="CD11" s="28"/>
      <c r="CE11" s="28"/>
      <c r="CF11" s="28"/>
      <c r="CG11" s="28"/>
      <c r="CH11" s="28"/>
      <c r="CI11" s="28"/>
      <c r="CJ11" s="28"/>
      <c r="CK11" s="28"/>
      <c r="CL11" s="28"/>
      <c r="CM11" s="28"/>
      <c r="CN11" s="28"/>
      <c r="CO11" s="28"/>
      <c r="CP11" s="28"/>
      <c r="CQ11" s="28"/>
      <c r="CR11" s="28"/>
      <c r="CS11" s="28"/>
      <c r="CT11" s="28"/>
      <c r="CU11" s="28"/>
      <c r="CV11" s="28"/>
      <c r="CW11" s="28"/>
      <c r="CX11" s="28"/>
    </row>
    <row r="12" spans="1:105" ht="25.5">
      <c r="A12" s="255" t="str">
        <f>INDEX(WeightedSavings!$E$10:$E$81,FLOOR((ROW(A7))/3,1))</f>
        <v>Ground Source Heat Pump Upgrade from Air Source Heat Pump - Without Desuperheater - New House less than 4000 square feet - Heating Zone 1 - Cooling Zone 2</v>
      </c>
      <c r="B12" s="255" t="str">
        <f t="shared" ref="B12:B75" si="2">B9</f>
        <v>cool</v>
      </c>
      <c r="C12" s="39">
        <f>IF(B12="heat",VLOOKUP($A12,WeightedSavings!$E$10:$K$81,2,FALSE),IF(B12="cool",VLOOKUP($A12,WeightedSavings!$E$10:$K$81,3,FALSE),IF(B12="DHW",VLOOKUP($A12,WeightedSavings!$E$10:$K$81,4,FALSE),0)))</f>
        <v>109.81328655535711</v>
      </c>
      <c r="D12" s="39">
        <f t="shared" si="1"/>
        <v>20</v>
      </c>
      <c r="E12" s="256">
        <f>IF(B12="heat",VLOOKUP(A12,WeightedSavings!$E$10:$K$81,5,FALSE), IF(B12="cool",0, IF(B12="DHW",VLOOKUP(A12,WeightedSavings!$E$10:K85,6,FALSE))))</f>
        <v>0</v>
      </c>
      <c r="F12" s="39"/>
      <c r="G12" s="257" t="str">
        <f t="shared" si="0"/>
        <v>ResCACPNW</v>
      </c>
      <c r="H12" s="39">
        <f>IF(B12="heat",VLOOKUP($A12,WeightedSavings!$E$10:$K$81,5,FALSE),0)</f>
        <v>0</v>
      </c>
      <c r="I12" s="26"/>
      <c r="J12" s="26"/>
      <c r="K12" s="26"/>
      <c r="L12" s="26"/>
      <c r="M12" s="26"/>
      <c r="N12" s="26"/>
      <c r="O12" s="27"/>
      <c r="P12" s="26"/>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28"/>
      <c r="BO12" s="28"/>
      <c r="BP12" s="28"/>
      <c r="BQ12" s="28"/>
      <c r="BR12" s="28"/>
      <c r="BS12" s="28"/>
      <c r="BT12" s="28"/>
      <c r="BU12" s="28"/>
      <c r="BV12" s="28"/>
      <c r="BW12" s="28"/>
      <c r="BX12" s="28"/>
      <c r="BY12" s="28"/>
      <c r="BZ12" s="28"/>
      <c r="CA12" s="28"/>
      <c r="CB12" s="28"/>
      <c r="CC12" s="28"/>
      <c r="CD12" s="28"/>
      <c r="CE12" s="28"/>
      <c r="CF12" s="28"/>
      <c r="CG12" s="28"/>
      <c r="CH12" s="28"/>
      <c r="CI12" s="28"/>
      <c r="CJ12" s="28"/>
      <c r="CK12" s="28"/>
      <c r="CL12" s="28"/>
      <c r="CM12" s="28"/>
      <c r="CN12" s="28"/>
      <c r="CO12" s="28"/>
      <c r="CP12" s="28"/>
      <c r="CQ12" s="28"/>
      <c r="CR12" s="28"/>
      <c r="CS12" s="28"/>
      <c r="CT12" s="28"/>
      <c r="CU12" s="28"/>
      <c r="CV12" s="28"/>
      <c r="CW12" s="28"/>
      <c r="CX12" s="28"/>
    </row>
    <row r="13" spans="1:105" ht="25.5">
      <c r="A13" s="255" t="str">
        <f>INDEX(WeightedSavings!$E$10:$E$81,FLOOR((ROW(A8))/3,1))</f>
        <v>Ground Source Heat Pump Upgrade from Air Source Heat Pump - Without Desuperheater - New House less than 4000 square feet - Heating Zone 1 - Cooling Zone 2</v>
      </c>
      <c r="B13" s="255" t="str">
        <f t="shared" si="2"/>
        <v>dhw</v>
      </c>
      <c r="C13" s="39">
        <f>IF(B13="heat",VLOOKUP($A13,WeightedSavings!$E$10:$K$81,2,FALSE),IF(B13="cool",VLOOKUP($A13,WeightedSavings!$E$10:$K$81,3,FALSE),IF(B13="DHW",VLOOKUP($A13,WeightedSavings!$E$10:$K$81,4,FALSE),0)))</f>
        <v>0</v>
      </c>
      <c r="D13" s="39">
        <f t="shared" si="1"/>
        <v>20</v>
      </c>
      <c r="E13" s="256">
        <f>IF(B13="heat",VLOOKUP(A13,WeightedSavings!$E$10:$K$81,5,FALSE), IF(B13="cool",0, IF(B13="DHW",VLOOKUP(A13,WeightedSavings!$E$10:K86,6,FALSE))))</f>
        <v>4097.9850750000005</v>
      </c>
      <c r="F13" s="39"/>
      <c r="G13" s="257" t="str">
        <f t="shared" si="0"/>
        <v>ResDHW</v>
      </c>
      <c r="H13" s="39">
        <f>IF(B13="heat",VLOOKUP($A13,WeightedSavings!$E$10:$K$81,5,FALSE),0)</f>
        <v>0</v>
      </c>
      <c r="I13" s="26"/>
      <c r="J13" s="26"/>
      <c r="K13" s="26"/>
      <c r="L13" s="26"/>
      <c r="M13" s="26"/>
      <c r="N13" s="26"/>
      <c r="O13" s="27"/>
      <c r="P13" s="26"/>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28"/>
      <c r="BQ13" s="28"/>
      <c r="BR13" s="28"/>
      <c r="BS13" s="28"/>
      <c r="BT13" s="28"/>
      <c r="BU13" s="28"/>
      <c r="BV13" s="28"/>
      <c r="BW13" s="28"/>
      <c r="BX13" s="28"/>
      <c r="BY13" s="28"/>
      <c r="BZ13" s="28"/>
      <c r="CA13" s="28"/>
      <c r="CB13" s="28"/>
      <c r="CC13" s="28"/>
      <c r="CD13" s="28"/>
      <c r="CE13" s="28"/>
      <c r="CF13" s="28"/>
      <c r="CG13" s="28"/>
      <c r="CH13" s="28"/>
      <c r="CI13" s="28"/>
      <c r="CJ13" s="28"/>
      <c r="CK13" s="28"/>
      <c r="CL13" s="28"/>
      <c r="CM13" s="28"/>
      <c r="CN13" s="28"/>
      <c r="CO13" s="28"/>
      <c r="CP13" s="28"/>
      <c r="CQ13" s="28"/>
      <c r="CR13" s="28"/>
      <c r="CS13" s="28"/>
      <c r="CT13" s="28"/>
      <c r="CU13" s="28"/>
      <c r="CV13" s="28"/>
      <c r="CW13" s="28"/>
      <c r="CX13" s="28"/>
    </row>
    <row r="14" spans="1:105" ht="25.5">
      <c r="A14" s="255" t="str">
        <f>INDEX(WeightedSavings!$E$10:$E$81,FLOOR((ROW(A9))/3,1))</f>
        <v>Ground Source Heat Pump Upgrade from Air Source Heat Pump - Without Desuperheater - New House less than 4000 square feet - Heating Zone 1 - Cooling Zone 3</v>
      </c>
      <c r="B14" s="255" t="str">
        <f t="shared" si="2"/>
        <v>heat</v>
      </c>
      <c r="C14" s="39">
        <f>IF(B14="heat",VLOOKUP($A14,WeightedSavings!$E$10:$K$81,2,FALSE),IF(B14="cool",VLOOKUP($A14,WeightedSavings!$E$10:$K$81,3,FALSE),IF(B14="DHW",VLOOKUP($A14,WeightedSavings!$E$10:$K$81,4,FALSE),0)))</f>
        <v>820.78018270666314</v>
      </c>
      <c r="D14" s="39">
        <f t="shared" si="1"/>
        <v>20</v>
      </c>
      <c r="E14" s="256">
        <f>IF(B14="heat",VLOOKUP(A14,WeightedSavings!$E$10:$K$81,5,FALSE), IF(B14="cool",0, IF(B14="DHW",VLOOKUP(A14,WeightedSavings!$E$10:K87,6,FALSE))))</f>
        <v>58.329107224533132</v>
      </c>
      <c r="F14" s="39"/>
      <c r="G14" s="257" t="str">
        <f t="shared" si="0"/>
        <v>ResSpHtHPZ1</v>
      </c>
      <c r="H14" s="39">
        <f>IF(B14="heat",VLOOKUP($A14,WeightedSavings!$E$10:$K$81,5,FALSE),0)</f>
        <v>58.329107224533132</v>
      </c>
      <c r="I14" s="26"/>
      <c r="J14" s="26"/>
      <c r="K14" s="26"/>
      <c r="L14" s="26"/>
      <c r="M14" s="26"/>
      <c r="N14" s="26"/>
      <c r="O14" s="27"/>
      <c r="P14" s="26"/>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8"/>
      <c r="BN14" s="28"/>
      <c r="BO14" s="28"/>
      <c r="BP14" s="28"/>
      <c r="BQ14" s="28"/>
      <c r="BR14" s="28"/>
      <c r="BS14" s="28"/>
      <c r="BT14" s="28"/>
      <c r="BU14" s="28"/>
      <c r="BV14" s="28"/>
      <c r="BW14" s="28"/>
      <c r="BX14" s="28"/>
      <c r="BY14" s="28"/>
      <c r="BZ14" s="28"/>
      <c r="CA14" s="28"/>
      <c r="CB14" s="28"/>
      <c r="CC14" s="28"/>
      <c r="CD14" s="28"/>
      <c r="CE14" s="28"/>
      <c r="CF14" s="28"/>
      <c r="CG14" s="28"/>
      <c r="CH14" s="28"/>
      <c r="CI14" s="28"/>
      <c r="CJ14" s="28"/>
      <c r="CK14" s="28"/>
      <c r="CL14" s="28"/>
      <c r="CM14" s="28"/>
      <c r="CN14" s="28"/>
      <c r="CO14" s="28"/>
      <c r="CP14" s="28"/>
      <c r="CQ14" s="28"/>
      <c r="CR14" s="28"/>
      <c r="CS14" s="28"/>
      <c r="CT14" s="28"/>
      <c r="CU14" s="28"/>
      <c r="CV14" s="28"/>
      <c r="CW14" s="28"/>
      <c r="CX14" s="28"/>
    </row>
    <row r="15" spans="1:105" ht="25.5">
      <c r="A15" s="255" t="str">
        <f>INDEX(WeightedSavings!$E$10:$E$81,FLOOR((ROW(A10))/3,1))</f>
        <v>Ground Source Heat Pump Upgrade from Air Source Heat Pump - Without Desuperheater - New House less than 4000 square feet - Heating Zone 1 - Cooling Zone 3</v>
      </c>
      <c r="B15" s="255" t="str">
        <f t="shared" si="2"/>
        <v>cool</v>
      </c>
      <c r="C15" s="39">
        <f>IF(B15="heat",VLOOKUP($A15,WeightedSavings!$E$10:$K$81,2,FALSE),IF(B15="cool",VLOOKUP($A15,WeightedSavings!$E$10:$K$81,3,FALSE),IF(B15="DHW",VLOOKUP($A15,WeightedSavings!$E$10:$K$81,4,FALSE),0)))</f>
        <v>232.87577088392862</v>
      </c>
      <c r="D15" s="39">
        <f t="shared" si="1"/>
        <v>20</v>
      </c>
      <c r="E15" s="256">
        <f>IF(B15="heat",VLOOKUP(A15,WeightedSavings!$E$10:$K$81,5,FALSE), IF(B15="cool",0, IF(B15="DHW",VLOOKUP(A15,WeightedSavings!$E$10:K88,6,FALSE))))</f>
        <v>0</v>
      </c>
      <c r="F15" s="39"/>
      <c r="G15" s="257" t="str">
        <f t="shared" si="0"/>
        <v>ResCACPNW</v>
      </c>
      <c r="H15" s="39">
        <f>IF(B15="heat",VLOOKUP($A15,WeightedSavings!$E$10:$K$81,5,FALSE),0)</f>
        <v>0</v>
      </c>
      <c r="I15" s="26"/>
      <c r="J15" s="26"/>
      <c r="K15" s="26"/>
      <c r="L15" s="26"/>
      <c r="M15" s="26"/>
      <c r="N15" s="26"/>
      <c r="O15" s="27"/>
      <c r="P15" s="26"/>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28"/>
      <c r="CG15" s="28"/>
      <c r="CH15" s="28"/>
      <c r="CI15" s="28"/>
      <c r="CJ15" s="28"/>
      <c r="CK15" s="28"/>
      <c r="CL15" s="28"/>
      <c r="CM15" s="28"/>
      <c r="CN15" s="28"/>
      <c r="CO15" s="28"/>
      <c r="CP15" s="28"/>
      <c r="CQ15" s="28"/>
      <c r="CR15" s="28"/>
      <c r="CS15" s="28"/>
      <c r="CT15" s="28"/>
      <c r="CU15" s="28"/>
      <c r="CV15" s="28"/>
      <c r="CW15" s="28"/>
      <c r="CX15" s="28"/>
    </row>
    <row r="16" spans="1:105" ht="25.5">
      <c r="A16" s="255" t="str">
        <f>INDEX(WeightedSavings!$E$10:$E$81,FLOOR((ROW(A11))/3,1))</f>
        <v>Ground Source Heat Pump Upgrade from Air Source Heat Pump - Without Desuperheater - New House less than 4000 square feet - Heating Zone 1 - Cooling Zone 3</v>
      </c>
      <c r="B16" s="255" t="str">
        <f t="shared" si="2"/>
        <v>dhw</v>
      </c>
      <c r="C16" s="39">
        <f>IF(B16="heat",VLOOKUP($A16,WeightedSavings!$E$10:$K$81,2,FALSE),IF(B16="cool",VLOOKUP($A16,WeightedSavings!$E$10:$K$81,3,FALSE),IF(B16="DHW",VLOOKUP($A16,WeightedSavings!$E$10:$K$81,4,FALSE),0)))</f>
        <v>0</v>
      </c>
      <c r="D16" s="39">
        <f t="shared" si="1"/>
        <v>20</v>
      </c>
      <c r="E16" s="256">
        <f>IF(B16="heat",VLOOKUP(A16,WeightedSavings!$E$10:$K$81,5,FALSE), IF(B16="cool",0, IF(B16="DHW",VLOOKUP(A16,WeightedSavings!$E$10:K89,6,FALSE))))</f>
        <v>4097.9850750000005</v>
      </c>
      <c r="F16" s="39"/>
      <c r="G16" s="257" t="str">
        <f t="shared" si="0"/>
        <v>ResDHW</v>
      </c>
      <c r="H16" s="39">
        <f>IF(B16="heat",VLOOKUP($A16,WeightedSavings!$E$10:$K$81,5,FALSE),0)</f>
        <v>0</v>
      </c>
      <c r="I16" s="26"/>
      <c r="J16" s="26"/>
      <c r="K16" s="26"/>
      <c r="L16" s="26"/>
      <c r="M16" s="26"/>
      <c r="N16" s="26"/>
      <c r="O16" s="27"/>
      <c r="P16" s="26"/>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8"/>
      <c r="BQ16" s="28"/>
      <c r="BR16" s="28"/>
      <c r="BS16" s="28"/>
      <c r="BT16" s="28"/>
      <c r="BU16" s="28"/>
      <c r="BV16" s="28"/>
      <c r="BW16" s="28"/>
      <c r="BX16" s="28"/>
      <c r="BY16" s="28"/>
      <c r="BZ16" s="28"/>
      <c r="CA16" s="28"/>
      <c r="CB16" s="28"/>
      <c r="CC16" s="28"/>
      <c r="CD16" s="28"/>
      <c r="CE16" s="28"/>
      <c r="CF16" s="28"/>
      <c r="CG16" s="28"/>
      <c r="CH16" s="28"/>
      <c r="CI16" s="28"/>
      <c r="CJ16" s="28"/>
      <c r="CK16" s="28"/>
      <c r="CL16" s="28"/>
      <c r="CM16" s="28"/>
      <c r="CN16" s="28"/>
      <c r="CO16" s="28"/>
      <c r="CP16" s="28"/>
      <c r="CQ16" s="28"/>
      <c r="CR16" s="28"/>
      <c r="CS16" s="28"/>
      <c r="CT16" s="28"/>
      <c r="CU16" s="28"/>
      <c r="CV16" s="28"/>
      <c r="CW16" s="28"/>
      <c r="CX16" s="28"/>
    </row>
    <row r="17" spans="1:102" ht="25.5">
      <c r="A17" s="255" t="str">
        <f>INDEX(WeightedSavings!$E$10:$E$81,FLOOR((ROW(A12))/3,1))</f>
        <v>Ground Source Heat Pump Upgrade from Air Source Heat Pump - Without Desuperheater - New House less than 4000 square feet - Heating Zone 2 - Cooling Zone 1</v>
      </c>
      <c r="B17" s="255" t="str">
        <f t="shared" si="2"/>
        <v>heat</v>
      </c>
      <c r="C17" s="39">
        <f>IF(B17="heat",VLOOKUP($A17,WeightedSavings!$E$10:$K$81,2,FALSE),IF(B17="cool",VLOOKUP($A17,WeightedSavings!$E$10:$K$81,3,FALSE),IF(B17="DHW",VLOOKUP($A17,WeightedSavings!$E$10:$K$81,4,FALSE),0)))</f>
        <v>1826.9177194005388</v>
      </c>
      <c r="D17" s="39">
        <f t="shared" ref="D17:D80" si="3">D8</f>
        <v>20</v>
      </c>
      <c r="E17" s="256">
        <f>IF(B17="heat",VLOOKUP(A17,WeightedSavings!$E$10:$K$81,5,FALSE), IF(B17="cool",0, IF(B17="DHW",VLOOKUP(A17,WeightedSavings!$E$10:K90,6,FALSE))))</f>
        <v>67.50518697184954</v>
      </c>
      <c r="F17" s="39"/>
      <c r="G17" s="257" t="str">
        <f t="shared" si="0"/>
        <v>ResSpHtHPZ2</v>
      </c>
      <c r="H17" s="39">
        <f>IF(B17="heat",VLOOKUP($A17,WeightedSavings!$E$10:$K$81,5,FALSE),0)</f>
        <v>67.50518697184954</v>
      </c>
      <c r="I17" s="26"/>
      <c r="J17" s="26"/>
      <c r="K17" s="26"/>
      <c r="L17" s="26"/>
      <c r="M17" s="26"/>
      <c r="N17" s="26"/>
      <c r="O17" s="27"/>
      <c r="P17" s="26"/>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28"/>
      <c r="BQ17" s="28"/>
      <c r="BR17" s="28"/>
      <c r="BS17" s="28"/>
      <c r="BT17" s="28"/>
      <c r="BU17" s="28"/>
      <c r="BV17" s="28"/>
      <c r="BW17" s="28"/>
      <c r="BX17" s="28"/>
      <c r="BY17" s="28"/>
      <c r="BZ17" s="28"/>
      <c r="CA17" s="28"/>
      <c r="CB17" s="28"/>
      <c r="CC17" s="28"/>
      <c r="CD17" s="28"/>
      <c r="CE17" s="28"/>
      <c r="CF17" s="28"/>
      <c r="CG17" s="28"/>
      <c r="CH17" s="28"/>
      <c r="CI17" s="28"/>
      <c r="CJ17" s="28"/>
      <c r="CK17" s="28"/>
      <c r="CL17" s="28"/>
      <c r="CM17" s="28"/>
      <c r="CN17" s="28"/>
      <c r="CO17" s="28"/>
      <c r="CP17" s="28"/>
      <c r="CQ17" s="28"/>
      <c r="CR17" s="28"/>
      <c r="CS17" s="28"/>
      <c r="CT17" s="28"/>
      <c r="CU17" s="28"/>
      <c r="CV17" s="28"/>
      <c r="CW17" s="28"/>
      <c r="CX17" s="28"/>
    </row>
    <row r="18" spans="1:102" ht="25.5">
      <c r="A18" s="255" t="str">
        <f>INDEX(WeightedSavings!$E$10:$E$81,FLOOR((ROW(A13))/3,1))</f>
        <v>Ground Source Heat Pump Upgrade from Air Source Heat Pump - Without Desuperheater - New House less than 4000 square feet - Heating Zone 2 - Cooling Zone 1</v>
      </c>
      <c r="B18" s="255" t="str">
        <f t="shared" si="2"/>
        <v>cool</v>
      </c>
      <c r="C18" s="39">
        <f>IF(B18="heat",VLOOKUP($A18,WeightedSavings!$E$10:$K$81,2,FALSE),IF(B18="cool",VLOOKUP($A18,WeightedSavings!$E$10:$K$81,3,FALSE),IF(B18="DHW",VLOOKUP($A18,WeightedSavings!$E$10:$K$81,4,FALSE),0)))</f>
        <v>34.948501862500002</v>
      </c>
      <c r="D18" s="39">
        <f t="shared" si="3"/>
        <v>20</v>
      </c>
      <c r="E18" s="256">
        <f>IF(B18="heat",VLOOKUP(A18,WeightedSavings!$E$10:$K$81,5,FALSE), IF(B18="cool",0, IF(B18="DHW",VLOOKUP(A18,WeightedSavings!$E$10:K91,6,FALSE))))</f>
        <v>0</v>
      </c>
      <c r="F18" s="39"/>
      <c r="G18" s="257" t="str">
        <f t="shared" si="0"/>
        <v>ResCACPNW</v>
      </c>
      <c r="H18" s="39">
        <f>IF(B18="heat",VLOOKUP($A18,WeightedSavings!$E$10:$K$81,5,FALSE),0)</f>
        <v>0</v>
      </c>
      <c r="I18" s="26"/>
      <c r="J18" s="26"/>
      <c r="K18" s="26"/>
      <c r="L18" s="26"/>
      <c r="M18" s="26"/>
      <c r="N18" s="26"/>
      <c r="O18" s="27"/>
      <c r="P18" s="26"/>
      <c r="Q18" s="31"/>
      <c r="R18" s="31"/>
      <c r="S18" s="31"/>
      <c r="T18" s="31"/>
      <c r="U18" s="31"/>
      <c r="V18" s="31"/>
      <c r="W18" s="31"/>
      <c r="X18" s="31"/>
      <c r="Y18" s="31"/>
      <c r="Z18" s="31"/>
      <c r="AA18" s="31"/>
      <c r="AB18" s="31"/>
      <c r="AC18" s="31"/>
      <c r="AD18" s="31"/>
      <c r="AE18" s="31"/>
      <c r="AF18" s="31"/>
      <c r="AG18" s="31"/>
      <c r="AH18" s="31"/>
      <c r="AI18" s="31"/>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c r="BI18" s="28"/>
      <c r="BJ18" s="28"/>
      <c r="BK18" s="28"/>
      <c r="BL18" s="28"/>
      <c r="BM18" s="28"/>
      <c r="BN18" s="28"/>
      <c r="BO18" s="28"/>
      <c r="BP18" s="28"/>
      <c r="BQ18" s="28"/>
      <c r="BR18" s="28"/>
      <c r="BS18" s="28"/>
      <c r="BT18" s="28"/>
      <c r="BU18" s="28"/>
      <c r="BV18" s="28"/>
      <c r="BW18" s="28"/>
      <c r="BX18" s="28"/>
      <c r="BY18" s="28"/>
      <c r="BZ18" s="28"/>
      <c r="CA18" s="28"/>
      <c r="CB18" s="28"/>
      <c r="CC18" s="28"/>
      <c r="CD18" s="28"/>
      <c r="CE18" s="28"/>
      <c r="CF18" s="28"/>
      <c r="CG18" s="28"/>
      <c r="CH18" s="28"/>
      <c r="CI18" s="28"/>
      <c r="CJ18" s="28"/>
      <c r="CK18" s="28"/>
      <c r="CL18" s="28"/>
      <c r="CM18" s="28"/>
      <c r="CN18" s="28"/>
      <c r="CO18" s="28"/>
      <c r="CP18" s="28"/>
      <c r="CQ18" s="28"/>
      <c r="CR18" s="28"/>
      <c r="CS18" s="28"/>
      <c r="CT18" s="28"/>
      <c r="CU18" s="28"/>
      <c r="CV18" s="28"/>
      <c r="CW18" s="28"/>
      <c r="CX18" s="28"/>
    </row>
    <row r="19" spans="1:102" ht="25.5">
      <c r="A19" s="255" t="str">
        <f>INDEX(WeightedSavings!$E$10:$E$81,FLOOR((ROW(A14))/3,1))</f>
        <v>Ground Source Heat Pump Upgrade from Air Source Heat Pump - Without Desuperheater - New House less than 4000 square feet - Heating Zone 2 - Cooling Zone 1</v>
      </c>
      <c r="B19" s="255" t="str">
        <f t="shared" si="2"/>
        <v>dhw</v>
      </c>
      <c r="C19" s="39">
        <f>IF(B19="heat",VLOOKUP($A19,WeightedSavings!$E$10:$K$81,2,FALSE),IF(B19="cool",VLOOKUP($A19,WeightedSavings!$E$10:$K$81,3,FALSE),IF(B19="DHW",VLOOKUP($A19,WeightedSavings!$E$10:$K$81,4,FALSE),0)))</f>
        <v>0</v>
      </c>
      <c r="D19" s="39">
        <f t="shared" si="3"/>
        <v>20</v>
      </c>
      <c r="E19" s="256">
        <f>IF(B19="heat",VLOOKUP(A19,WeightedSavings!$E$10:$K$81,5,FALSE), IF(B19="cool",0, IF(B19="DHW",VLOOKUP(A19,WeightedSavings!$E$10:K92,6,FALSE))))</f>
        <v>8135.5023250000022</v>
      </c>
      <c r="F19" s="39"/>
      <c r="G19" s="257" t="str">
        <f t="shared" si="0"/>
        <v>ResDHW</v>
      </c>
      <c r="H19" s="39">
        <f>IF(B19="heat",VLOOKUP($A19,WeightedSavings!$E$10:$K$81,5,FALSE),0)</f>
        <v>0</v>
      </c>
      <c r="I19" s="26"/>
      <c r="J19" s="26"/>
      <c r="K19" s="26"/>
      <c r="L19" s="26"/>
      <c r="M19" s="26"/>
      <c r="N19" s="26"/>
      <c r="O19" s="27"/>
      <c r="P19" s="26"/>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c r="BI19" s="28"/>
      <c r="BJ19" s="28"/>
      <c r="BK19" s="28"/>
      <c r="BL19" s="28"/>
      <c r="BM19" s="28"/>
      <c r="BN19" s="28"/>
      <c r="BO19" s="28"/>
      <c r="BP19" s="28"/>
      <c r="BQ19" s="28"/>
      <c r="BR19" s="28"/>
      <c r="BS19" s="28"/>
      <c r="BT19" s="28"/>
      <c r="BU19" s="28"/>
      <c r="BV19" s="28"/>
      <c r="BW19" s="28"/>
      <c r="BX19" s="28"/>
      <c r="BY19" s="28"/>
      <c r="BZ19" s="28"/>
      <c r="CA19" s="28"/>
      <c r="CB19" s="28"/>
      <c r="CC19" s="28"/>
      <c r="CD19" s="28"/>
      <c r="CE19" s="28"/>
      <c r="CF19" s="28"/>
      <c r="CG19" s="28"/>
      <c r="CH19" s="28"/>
      <c r="CI19" s="28"/>
      <c r="CJ19" s="28"/>
      <c r="CK19" s="28"/>
      <c r="CL19" s="28"/>
      <c r="CM19" s="28"/>
      <c r="CN19" s="28"/>
      <c r="CO19" s="28"/>
      <c r="CP19" s="28"/>
      <c r="CQ19" s="28"/>
      <c r="CR19" s="28"/>
      <c r="CS19" s="28"/>
      <c r="CT19" s="28"/>
      <c r="CU19" s="28"/>
      <c r="CV19" s="28"/>
      <c r="CW19" s="28"/>
      <c r="CX19" s="28"/>
    </row>
    <row r="20" spans="1:102" ht="25.5">
      <c r="A20" s="255" t="str">
        <f>INDEX(WeightedSavings!$E$10:$E$81,FLOOR((ROW(A15))/3,1))</f>
        <v>Ground Source Heat Pump Upgrade from Air Source Heat Pump - Without Desuperheater - New House less than 4000 square feet - Heating Zone 2 - Cooling Zone 2</v>
      </c>
      <c r="B20" s="255" t="str">
        <f t="shared" si="2"/>
        <v>heat</v>
      </c>
      <c r="C20" s="39">
        <f>IF(B20="heat",VLOOKUP($A20,WeightedSavings!$E$10:$K$81,2,FALSE),IF(B20="cool",VLOOKUP($A20,WeightedSavings!$E$10:$K$81,3,FALSE),IF(B20="DHW",VLOOKUP($A20,WeightedSavings!$E$10:$K$81,4,FALSE),0)))</f>
        <v>1826.9177194005388</v>
      </c>
      <c r="D20" s="39">
        <f t="shared" si="3"/>
        <v>20</v>
      </c>
      <c r="E20" s="256">
        <f>IF(B20="heat",VLOOKUP(A20,WeightedSavings!$E$10:$K$81,5,FALSE), IF(B20="cool",0, IF(B20="DHW",VLOOKUP(A20,WeightedSavings!$E$10:K93,6,FALSE))))</f>
        <v>67.50518697184954</v>
      </c>
      <c r="F20" s="39"/>
      <c r="G20" s="257" t="str">
        <f t="shared" si="0"/>
        <v>ResSpHtHPZ2</v>
      </c>
      <c r="H20" s="39">
        <f>IF(B20="heat",VLOOKUP($A20,WeightedSavings!$E$10:$K$81,5,FALSE),0)</f>
        <v>67.50518697184954</v>
      </c>
      <c r="I20" s="26"/>
      <c r="J20" s="26"/>
      <c r="K20" s="26"/>
      <c r="L20" s="26"/>
      <c r="M20" s="26"/>
      <c r="N20" s="26"/>
      <c r="O20" s="27"/>
      <c r="P20" s="26"/>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c r="BI20" s="28"/>
      <c r="BJ20" s="28"/>
      <c r="BK20" s="28"/>
      <c r="BL20" s="28"/>
      <c r="BM20" s="28"/>
      <c r="BN20" s="28"/>
      <c r="BO20" s="28"/>
      <c r="BP20" s="28"/>
      <c r="BQ20" s="28"/>
      <c r="BR20" s="28"/>
      <c r="BS20" s="28"/>
      <c r="BT20" s="28"/>
      <c r="BU20" s="28"/>
      <c r="BV20" s="28"/>
      <c r="BW20" s="28"/>
      <c r="BX20" s="28"/>
      <c r="BY20" s="28"/>
      <c r="BZ20" s="28"/>
      <c r="CA20" s="28"/>
      <c r="CB20" s="28"/>
      <c r="CC20" s="28"/>
      <c r="CD20" s="28"/>
      <c r="CE20" s="28"/>
      <c r="CF20" s="28"/>
      <c r="CG20" s="28"/>
      <c r="CH20" s="28"/>
      <c r="CI20" s="28"/>
      <c r="CJ20" s="28"/>
      <c r="CK20" s="28"/>
      <c r="CL20" s="28"/>
      <c r="CM20" s="28"/>
      <c r="CN20" s="28"/>
      <c r="CO20" s="28"/>
      <c r="CP20" s="28"/>
      <c r="CQ20" s="28"/>
      <c r="CR20" s="28"/>
      <c r="CS20" s="28"/>
      <c r="CT20" s="28"/>
      <c r="CU20" s="28"/>
      <c r="CV20" s="28"/>
      <c r="CW20" s="28"/>
      <c r="CX20" s="28"/>
    </row>
    <row r="21" spans="1:102" ht="25.5">
      <c r="A21" s="255" t="str">
        <f>INDEX(WeightedSavings!$E$10:$E$81,FLOOR((ROW(A16))/3,1))</f>
        <v>Ground Source Heat Pump Upgrade from Air Source Heat Pump - Without Desuperheater - New House less than 4000 square feet - Heating Zone 2 - Cooling Zone 2</v>
      </c>
      <c r="B21" s="255" t="str">
        <f t="shared" si="2"/>
        <v>cool</v>
      </c>
      <c r="C21" s="39">
        <f>IF(B21="heat",VLOOKUP($A21,WeightedSavings!$E$10:$K$81,2,FALSE),IF(B21="cool",VLOOKUP($A21,WeightedSavings!$E$10:$K$81,3,FALSE),IF(B21="DHW",VLOOKUP($A21,WeightedSavings!$E$10:$K$81,4,FALSE),0)))</f>
        <v>109.81328655535711</v>
      </c>
      <c r="D21" s="39">
        <f t="shared" si="3"/>
        <v>20</v>
      </c>
      <c r="E21" s="256">
        <f>IF(B21="heat",VLOOKUP(A21,WeightedSavings!$E$10:$K$81,5,FALSE), IF(B21="cool",0, IF(B21="DHW",VLOOKUP(A21,WeightedSavings!$E$10:K94,6,FALSE))))</f>
        <v>0</v>
      </c>
      <c r="F21" s="39"/>
      <c r="G21" s="257" t="str">
        <f t="shared" si="0"/>
        <v>ResCACPNW</v>
      </c>
      <c r="H21" s="39">
        <f>IF(B21="heat",VLOOKUP($A21,WeightedSavings!$E$10:$K$81,5,FALSE),0)</f>
        <v>0</v>
      </c>
      <c r="I21" s="26"/>
      <c r="J21" s="26"/>
      <c r="K21" s="26"/>
      <c r="L21" s="26"/>
      <c r="M21" s="26"/>
      <c r="N21" s="26"/>
      <c r="O21" s="27"/>
      <c r="P21" s="26"/>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8"/>
      <c r="BT21" s="28"/>
      <c r="BU21" s="28"/>
      <c r="BV21" s="28"/>
      <c r="BW21" s="28"/>
      <c r="BX21" s="28"/>
      <c r="BY21" s="28"/>
      <c r="BZ21" s="28"/>
      <c r="CA21" s="28"/>
      <c r="CB21" s="28"/>
      <c r="CC21" s="28"/>
      <c r="CD21" s="28"/>
      <c r="CE21" s="28"/>
      <c r="CF21" s="28"/>
      <c r="CG21" s="28"/>
      <c r="CH21" s="28"/>
      <c r="CI21" s="28"/>
      <c r="CJ21" s="28"/>
      <c r="CK21" s="28"/>
      <c r="CL21" s="28"/>
      <c r="CM21" s="28"/>
      <c r="CN21" s="28"/>
      <c r="CO21" s="28"/>
      <c r="CP21" s="28"/>
      <c r="CQ21" s="28"/>
      <c r="CR21" s="28"/>
      <c r="CS21" s="28"/>
      <c r="CT21" s="28"/>
      <c r="CU21" s="28"/>
      <c r="CV21" s="28"/>
      <c r="CW21" s="28"/>
      <c r="CX21" s="28"/>
    </row>
    <row r="22" spans="1:102" ht="25.5">
      <c r="A22" s="255" t="str">
        <f>INDEX(WeightedSavings!$E$10:$E$81,FLOOR((ROW(A17))/3,1))</f>
        <v>Ground Source Heat Pump Upgrade from Air Source Heat Pump - Without Desuperheater - New House less than 4000 square feet - Heating Zone 2 - Cooling Zone 2</v>
      </c>
      <c r="B22" s="255" t="str">
        <f t="shared" si="2"/>
        <v>dhw</v>
      </c>
      <c r="C22" s="39">
        <f>IF(B22="heat",VLOOKUP($A22,WeightedSavings!$E$10:$K$81,2,FALSE),IF(B22="cool",VLOOKUP($A22,WeightedSavings!$E$10:$K$81,3,FALSE),IF(B22="DHW",VLOOKUP($A22,WeightedSavings!$E$10:$K$81,4,FALSE),0)))</f>
        <v>0</v>
      </c>
      <c r="D22" s="39">
        <f t="shared" si="3"/>
        <v>20</v>
      </c>
      <c r="E22" s="256">
        <f>IF(B22="heat",VLOOKUP(A22,WeightedSavings!$E$10:$K$81,5,FALSE), IF(B22="cool",0, IF(B22="DHW",VLOOKUP(A22,WeightedSavings!$E$10:K95,6,FALSE))))</f>
        <v>8135.5023250000022</v>
      </c>
      <c r="F22" s="39"/>
      <c r="G22" s="257" t="str">
        <f t="shared" si="0"/>
        <v>ResDHW</v>
      </c>
      <c r="H22" s="39">
        <f>IF(B22="heat",VLOOKUP($A22,WeightedSavings!$E$10:$K$81,5,FALSE),0)</f>
        <v>0</v>
      </c>
      <c r="I22" s="26"/>
      <c r="J22" s="26"/>
      <c r="K22" s="26"/>
      <c r="L22" s="26"/>
      <c r="M22" s="26"/>
      <c r="N22" s="26"/>
      <c r="O22" s="27"/>
      <c r="P22" s="26"/>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28"/>
      <c r="AY22" s="28"/>
      <c r="AZ22" s="28"/>
      <c r="BA22" s="28"/>
      <c r="BB22" s="28"/>
      <c r="BC22" s="28"/>
      <c r="BD22" s="28"/>
      <c r="BE22" s="28"/>
      <c r="BF22" s="28"/>
      <c r="BG22" s="28"/>
      <c r="BH22" s="28"/>
      <c r="BI22" s="28"/>
      <c r="BJ22" s="28"/>
      <c r="BK22" s="28"/>
      <c r="BL22" s="28"/>
      <c r="BM22" s="28"/>
      <c r="BN22" s="28"/>
      <c r="BO22" s="28"/>
      <c r="BP22" s="28"/>
      <c r="BQ22" s="28"/>
      <c r="BR22" s="28"/>
      <c r="BS22" s="28"/>
      <c r="BT22" s="28"/>
      <c r="BU22" s="28"/>
      <c r="BV22" s="28"/>
      <c r="BW22" s="28"/>
      <c r="BX22" s="28"/>
      <c r="BY22" s="28"/>
      <c r="BZ22" s="28"/>
      <c r="CA22" s="28"/>
      <c r="CB22" s="28"/>
      <c r="CC22" s="28"/>
      <c r="CD22" s="28"/>
      <c r="CE22" s="28"/>
      <c r="CF22" s="28"/>
      <c r="CG22" s="28"/>
      <c r="CH22" s="28"/>
      <c r="CI22" s="28"/>
      <c r="CJ22" s="28"/>
      <c r="CK22" s="28"/>
      <c r="CL22" s="28"/>
      <c r="CM22" s="28"/>
      <c r="CN22" s="28"/>
      <c r="CO22" s="28"/>
      <c r="CP22" s="28"/>
      <c r="CQ22" s="28"/>
      <c r="CR22" s="28"/>
      <c r="CS22" s="28"/>
      <c r="CT22" s="28"/>
      <c r="CU22" s="28"/>
      <c r="CV22" s="28"/>
      <c r="CW22" s="28"/>
      <c r="CX22" s="28"/>
    </row>
    <row r="23" spans="1:102" ht="25.5">
      <c r="A23" s="255" t="str">
        <f>INDEX(WeightedSavings!$E$10:$E$81,FLOOR((ROW(A18))/3,1))</f>
        <v>Ground Source Heat Pump Upgrade from Air Source Heat Pump - Without Desuperheater - New House less than 4000 square feet - Heating Zone 2 - Cooling Zone 3</v>
      </c>
      <c r="B23" s="255" t="str">
        <f t="shared" si="2"/>
        <v>heat</v>
      </c>
      <c r="C23" s="39">
        <f>IF(B23="heat",VLOOKUP($A23,WeightedSavings!$E$10:$K$81,2,FALSE),IF(B23="cool",VLOOKUP($A23,WeightedSavings!$E$10:$K$81,3,FALSE),IF(B23="DHW",VLOOKUP($A23,WeightedSavings!$E$10:$K$81,4,FALSE),0)))</f>
        <v>1826.9177194005388</v>
      </c>
      <c r="D23" s="39">
        <f t="shared" si="3"/>
        <v>20</v>
      </c>
      <c r="E23" s="256">
        <f>IF(B23="heat",VLOOKUP(A23,WeightedSavings!$E$10:$K$81,5,FALSE), IF(B23="cool",0, IF(B23="DHW",VLOOKUP(A23,WeightedSavings!$E$10:K96,6,FALSE))))</f>
        <v>67.50518697184954</v>
      </c>
      <c r="F23" s="39"/>
      <c r="G23" s="257" t="str">
        <f t="shared" si="0"/>
        <v>ResSpHtHPZ2</v>
      </c>
      <c r="H23" s="39">
        <f>IF(B23="heat",VLOOKUP($A23,WeightedSavings!$E$10:$K$81,5,FALSE),0)</f>
        <v>67.50518697184954</v>
      </c>
    </row>
    <row r="24" spans="1:102" ht="25.5">
      <c r="A24" s="255" t="str">
        <f>INDEX(WeightedSavings!$E$10:$E$81,FLOOR((ROW(A19))/3,1))</f>
        <v>Ground Source Heat Pump Upgrade from Air Source Heat Pump - Without Desuperheater - New House less than 4000 square feet - Heating Zone 2 - Cooling Zone 3</v>
      </c>
      <c r="B24" s="255" t="str">
        <f t="shared" si="2"/>
        <v>cool</v>
      </c>
      <c r="C24" s="39">
        <f>IF(B24="heat",VLOOKUP($A24,WeightedSavings!$E$10:$K$81,2,FALSE),IF(B24="cool",VLOOKUP($A24,WeightedSavings!$E$10:$K$81,3,FALSE),IF(B24="DHW",VLOOKUP($A24,WeightedSavings!$E$10:$K$81,4,FALSE),0)))</f>
        <v>232.87577088392862</v>
      </c>
      <c r="D24" s="39">
        <f t="shared" si="3"/>
        <v>20</v>
      </c>
      <c r="E24" s="256">
        <f>IF(B24="heat",VLOOKUP(A24,WeightedSavings!$E$10:$K$81,5,FALSE), IF(B24="cool",0, IF(B24="DHW",VLOOKUP(A24,WeightedSavings!$E$10:K97,6,FALSE))))</f>
        <v>0</v>
      </c>
      <c r="F24" s="39"/>
      <c r="G24" s="257" t="str">
        <f t="shared" si="0"/>
        <v>ResCACPNW</v>
      </c>
      <c r="H24" s="39">
        <f>IF(B24="heat",VLOOKUP($A24,WeightedSavings!$E$10:$K$81,5,FALSE),0)</f>
        <v>0</v>
      </c>
    </row>
    <row r="25" spans="1:102" customFormat="1" ht="25.5">
      <c r="A25" s="255" t="str">
        <f>INDEX(WeightedSavings!$E$10:$E$81,FLOOR((ROW(A20))/3,1))</f>
        <v>Ground Source Heat Pump Upgrade from Air Source Heat Pump - Without Desuperheater - New House less than 4000 square feet - Heating Zone 2 - Cooling Zone 3</v>
      </c>
      <c r="B25" s="255" t="str">
        <f t="shared" si="2"/>
        <v>dhw</v>
      </c>
      <c r="C25" s="39">
        <f>IF(B25="heat",VLOOKUP($A25,WeightedSavings!$E$10:$K$81,2,FALSE),IF(B25="cool",VLOOKUP($A25,WeightedSavings!$E$10:$K$81,3,FALSE),IF(B25="DHW",VLOOKUP($A25,WeightedSavings!$E$10:$K$81,4,FALSE),0)))</f>
        <v>0</v>
      </c>
      <c r="D25" s="39">
        <f t="shared" si="3"/>
        <v>20</v>
      </c>
      <c r="E25" s="256">
        <f>IF(B25="heat",VLOOKUP(A25,WeightedSavings!$E$10:$K$81,5,FALSE), IF(B25="cool",0, IF(B25="DHW",VLOOKUP(A25,WeightedSavings!$E$10:K98,6,FALSE))))</f>
        <v>8135.5023250000022</v>
      </c>
      <c r="F25" s="39"/>
      <c r="G25" s="257" t="str">
        <f t="shared" si="0"/>
        <v>ResDHW</v>
      </c>
      <c r="H25" s="39">
        <f>IF(B25="heat",VLOOKUP($A25,WeightedSavings!$E$10:$K$81,5,FALSE),0)</f>
        <v>0</v>
      </c>
    </row>
    <row r="26" spans="1:102" customFormat="1" ht="25.5">
      <c r="A26" s="255" t="str">
        <f>INDEX(WeightedSavings!$E$10:$E$81,FLOOR((ROW(A21))/3,1))</f>
        <v>Ground Source Heat Pump Upgrade from Air Source Heat Pump - Without Desuperheater - New House less than 4000 square feet - Heating Zone 3 - Cooling Zone 1</v>
      </c>
      <c r="B26" s="255" t="str">
        <f t="shared" si="2"/>
        <v>heat</v>
      </c>
      <c r="C26" s="39">
        <f>IF(B26="heat",VLOOKUP($A26,WeightedSavings!$E$10:$K$81,2,FALSE),IF(B26="cool",VLOOKUP($A26,WeightedSavings!$E$10:$K$81,3,FALSE),IF(B26="DHW",VLOOKUP($A26,WeightedSavings!$E$10:$K$81,4,FALSE),0)))</f>
        <v>2560.3019436643517</v>
      </c>
      <c r="D26" s="39">
        <f t="shared" si="3"/>
        <v>20</v>
      </c>
      <c r="E26" s="256">
        <f>IF(B26="heat",VLOOKUP(A26,WeightedSavings!$E$10:$K$81,5,FALSE), IF(B26="cool",0, IF(B26="DHW",VLOOKUP(A26,WeightedSavings!$E$10:K99,6,FALSE))))</f>
        <v>79.914071561352898</v>
      </c>
      <c r="F26" s="39"/>
      <c r="G26" s="257" t="str">
        <f t="shared" si="0"/>
        <v>ResSpHtHPZ3</v>
      </c>
      <c r="H26" s="39">
        <f>IF(B26="heat",VLOOKUP($A26,WeightedSavings!$E$10:$K$81,5,FALSE),0)</f>
        <v>79.914071561352898</v>
      </c>
    </row>
    <row r="27" spans="1:102" customFormat="1" ht="25.5">
      <c r="A27" s="255" t="str">
        <f>INDEX(WeightedSavings!$E$10:$E$81,FLOOR((ROW(A22))/3,1))</f>
        <v>Ground Source Heat Pump Upgrade from Air Source Heat Pump - Without Desuperheater - New House less than 4000 square feet - Heating Zone 3 - Cooling Zone 1</v>
      </c>
      <c r="B27" s="255" t="str">
        <f t="shared" si="2"/>
        <v>cool</v>
      </c>
      <c r="C27" s="39">
        <f>IF(B27="heat",VLOOKUP($A27,WeightedSavings!$E$10:$K$81,2,FALSE),IF(B27="cool",VLOOKUP($A27,WeightedSavings!$E$10:$K$81,3,FALSE),IF(B27="DHW",VLOOKUP($A27,WeightedSavings!$E$10:$K$81,4,FALSE),0)))</f>
        <v>34.948501862500002</v>
      </c>
      <c r="D27" s="39">
        <f t="shared" si="3"/>
        <v>20</v>
      </c>
      <c r="E27" s="256">
        <f>IF(B27="heat",VLOOKUP(A27,WeightedSavings!$E$10:$K$81,5,FALSE), IF(B27="cool",0, IF(B27="DHW",VLOOKUP(A27,WeightedSavings!$E$10:K100,6,FALSE))))</f>
        <v>0</v>
      </c>
      <c r="F27" s="39"/>
      <c r="G27" s="257" t="str">
        <f t="shared" si="0"/>
        <v>ResCACPNW</v>
      </c>
      <c r="H27" s="39">
        <f>IF(B27="heat",VLOOKUP($A27,WeightedSavings!$E$10:$K$81,5,FALSE),0)</f>
        <v>0</v>
      </c>
    </row>
    <row r="28" spans="1:102" customFormat="1" ht="25.5">
      <c r="A28" s="255" t="str">
        <f>INDEX(WeightedSavings!$E$10:$E$81,FLOOR((ROW(A23))/3,1))</f>
        <v>Ground Source Heat Pump Upgrade from Air Source Heat Pump - Without Desuperheater - New House less than 4000 square feet - Heating Zone 3 - Cooling Zone 1</v>
      </c>
      <c r="B28" s="255" t="str">
        <f t="shared" si="2"/>
        <v>dhw</v>
      </c>
      <c r="C28" s="39">
        <f>IF(B28="heat",VLOOKUP($A28,WeightedSavings!$E$10:$K$81,2,FALSE),IF(B28="cool",VLOOKUP($A28,WeightedSavings!$E$10:$K$81,3,FALSE),IF(B28="DHW",VLOOKUP($A28,WeightedSavings!$E$10:$K$81,4,FALSE),0)))</f>
        <v>0</v>
      </c>
      <c r="D28" s="39">
        <f t="shared" si="3"/>
        <v>20</v>
      </c>
      <c r="E28" s="256">
        <f>IF(B28="heat",VLOOKUP(A28,WeightedSavings!$E$10:$K$81,5,FALSE), IF(B28="cool",0, IF(B28="DHW",VLOOKUP(A28,WeightedSavings!$E$10:K101,6,FALSE))))</f>
        <v>13124.290349999999</v>
      </c>
      <c r="F28" s="39"/>
      <c r="G28" s="257" t="str">
        <f t="shared" si="0"/>
        <v>ResDHW</v>
      </c>
      <c r="H28" s="39">
        <f>IF(B28="heat",VLOOKUP($A28,WeightedSavings!$E$10:$K$81,5,FALSE),0)</f>
        <v>0</v>
      </c>
    </row>
    <row r="29" spans="1:102" customFormat="1" ht="25.5">
      <c r="A29" s="255" t="str">
        <f>INDEX(WeightedSavings!$E$10:$E$81,FLOOR((ROW(A24))/3,1))</f>
        <v>Ground Source Heat Pump Upgrade from Air Source Heat Pump - Without Desuperheater - New House less than 4000 square feet - Heating Zone 3 - Cooling Zone 2</v>
      </c>
      <c r="B29" s="255" t="str">
        <f t="shared" si="2"/>
        <v>heat</v>
      </c>
      <c r="C29" s="39">
        <f>IF(B29="heat",VLOOKUP($A29,WeightedSavings!$E$10:$K$81,2,FALSE),IF(B29="cool",VLOOKUP($A29,WeightedSavings!$E$10:$K$81,3,FALSE),IF(B29="DHW",VLOOKUP($A29,WeightedSavings!$E$10:$K$81,4,FALSE),0)))</f>
        <v>2560.3019436643517</v>
      </c>
      <c r="D29" s="39">
        <f t="shared" si="3"/>
        <v>20</v>
      </c>
      <c r="E29" s="256">
        <f>IF(B29="heat",VLOOKUP(A29,WeightedSavings!$E$10:$K$81,5,FALSE), IF(B29="cool",0, IF(B29="DHW",VLOOKUP(A29,WeightedSavings!$E$10:K102,6,FALSE))))</f>
        <v>79.914071561352898</v>
      </c>
      <c r="F29" s="39"/>
      <c r="G29" s="257" t="str">
        <f t="shared" si="0"/>
        <v>ResSpHtHPZ3</v>
      </c>
      <c r="H29" s="39">
        <f>IF(B29="heat",VLOOKUP($A29,WeightedSavings!$E$10:$K$81,5,FALSE),0)</f>
        <v>79.914071561352898</v>
      </c>
    </row>
    <row r="30" spans="1:102" customFormat="1" ht="25.5">
      <c r="A30" s="255" t="str">
        <f>INDEX(WeightedSavings!$E$10:$E$81,FLOOR((ROW(A25))/3,1))</f>
        <v>Ground Source Heat Pump Upgrade from Air Source Heat Pump - Without Desuperheater - New House less than 4000 square feet - Heating Zone 3 - Cooling Zone 2</v>
      </c>
      <c r="B30" s="255" t="str">
        <f t="shared" si="2"/>
        <v>cool</v>
      </c>
      <c r="C30" s="39">
        <f>IF(B30="heat",VLOOKUP($A30,WeightedSavings!$E$10:$K$81,2,FALSE),IF(B30="cool",VLOOKUP($A30,WeightedSavings!$E$10:$K$81,3,FALSE),IF(B30="DHW",VLOOKUP($A30,WeightedSavings!$E$10:$K$81,4,FALSE),0)))</f>
        <v>109.81328655535711</v>
      </c>
      <c r="D30" s="39">
        <f t="shared" si="3"/>
        <v>20</v>
      </c>
      <c r="E30" s="256">
        <f>IF(B30="heat",VLOOKUP(A30,WeightedSavings!$E$10:$K$81,5,FALSE), IF(B30="cool",0, IF(B30="DHW",VLOOKUP(A30,WeightedSavings!$E$10:K103,6,FALSE))))</f>
        <v>0</v>
      </c>
      <c r="F30" s="39"/>
      <c r="G30" s="257" t="str">
        <f t="shared" si="0"/>
        <v>ResCACPNW</v>
      </c>
      <c r="H30" s="39">
        <f>IF(B30="heat",VLOOKUP($A30,WeightedSavings!$E$10:$K$81,5,FALSE),0)</f>
        <v>0</v>
      </c>
    </row>
    <row r="31" spans="1:102" customFormat="1" ht="25.5">
      <c r="A31" s="255" t="str">
        <f>INDEX(WeightedSavings!$E$10:$E$81,FLOOR((ROW(A26))/3,1))</f>
        <v>Ground Source Heat Pump Upgrade from Air Source Heat Pump - Without Desuperheater - New House less than 4000 square feet - Heating Zone 3 - Cooling Zone 2</v>
      </c>
      <c r="B31" s="255" t="str">
        <f t="shared" si="2"/>
        <v>dhw</v>
      </c>
      <c r="C31" s="39">
        <f>IF(B31="heat",VLOOKUP($A31,WeightedSavings!$E$10:$K$81,2,FALSE),IF(B31="cool",VLOOKUP($A31,WeightedSavings!$E$10:$K$81,3,FALSE),IF(B31="DHW",VLOOKUP($A31,WeightedSavings!$E$10:$K$81,4,FALSE),0)))</f>
        <v>0</v>
      </c>
      <c r="D31" s="39">
        <f t="shared" si="3"/>
        <v>20</v>
      </c>
      <c r="E31" s="256">
        <f>IF(B31="heat",VLOOKUP(A31,WeightedSavings!$E$10:$K$81,5,FALSE), IF(B31="cool",0, IF(B31="DHW",VLOOKUP(A31,WeightedSavings!$E$10:K104,6,FALSE))))</f>
        <v>13124.290349999999</v>
      </c>
      <c r="F31" s="39"/>
      <c r="G31" s="257" t="str">
        <f t="shared" si="0"/>
        <v>ResDHW</v>
      </c>
      <c r="H31" s="39">
        <f>IF(B31="heat",VLOOKUP($A31,WeightedSavings!$E$10:$K$81,5,FALSE),0)</f>
        <v>0</v>
      </c>
    </row>
    <row r="32" spans="1:102" customFormat="1" ht="25.5">
      <c r="A32" s="255" t="str">
        <f>INDEX(WeightedSavings!$E$10:$E$81,FLOOR((ROW(A27))/3,1))</f>
        <v>Ground Source Heat Pump Upgrade from Air Source Heat Pump - Without Desuperheater - New House less than 4000 square feet - Heating Zone 3 - Cooling Zone 3</v>
      </c>
      <c r="B32" s="255" t="str">
        <f t="shared" si="2"/>
        <v>heat</v>
      </c>
      <c r="C32" s="39">
        <f>IF(B32="heat",VLOOKUP($A32,WeightedSavings!$E$10:$K$81,2,FALSE),IF(B32="cool",VLOOKUP($A32,WeightedSavings!$E$10:$K$81,3,FALSE),IF(B32="DHW",VLOOKUP($A32,WeightedSavings!$E$10:$K$81,4,FALSE),0)))</f>
        <v>2560.3019436643517</v>
      </c>
      <c r="D32" s="39">
        <f t="shared" si="3"/>
        <v>20</v>
      </c>
      <c r="E32" s="256">
        <f>IF(B32="heat",VLOOKUP(A32,WeightedSavings!$E$10:$K$81,5,FALSE), IF(B32="cool",0, IF(B32="DHW",VLOOKUP(A32,WeightedSavings!$E$10:K105,6,FALSE))))</f>
        <v>79.914071561352898</v>
      </c>
      <c r="F32" s="39"/>
      <c r="G32" s="257" t="str">
        <f t="shared" si="0"/>
        <v>ResSpHtHPZ3</v>
      </c>
      <c r="H32" s="39">
        <f>IF(B32="heat",VLOOKUP($A32,WeightedSavings!$E$10:$K$81,5,FALSE),0)</f>
        <v>79.914071561352898</v>
      </c>
    </row>
    <row r="33" spans="1:8" customFormat="1" ht="25.5">
      <c r="A33" s="255" t="str">
        <f>INDEX(WeightedSavings!$E$10:$E$81,FLOOR((ROW(A28))/3,1))</f>
        <v>Ground Source Heat Pump Upgrade from Air Source Heat Pump - Without Desuperheater - New House less than 4000 square feet - Heating Zone 3 - Cooling Zone 3</v>
      </c>
      <c r="B33" s="255" t="str">
        <f t="shared" si="2"/>
        <v>cool</v>
      </c>
      <c r="C33" s="39">
        <f>IF(B33="heat",VLOOKUP($A33,WeightedSavings!$E$10:$K$81,2,FALSE),IF(B33="cool",VLOOKUP($A33,WeightedSavings!$E$10:$K$81,3,FALSE),IF(B33="DHW",VLOOKUP($A33,WeightedSavings!$E$10:$K$81,4,FALSE),0)))</f>
        <v>232.87577088392862</v>
      </c>
      <c r="D33" s="39">
        <f t="shared" si="3"/>
        <v>20</v>
      </c>
      <c r="E33" s="256">
        <f>IF(B33="heat",VLOOKUP(A33,WeightedSavings!$E$10:$K$81,5,FALSE), IF(B33="cool",0, IF(B33="DHW",VLOOKUP(A33,WeightedSavings!$E$10:K106,6,FALSE))))</f>
        <v>0</v>
      </c>
      <c r="F33" s="39"/>
      <c r="G33" s="257" t="str">
        <f t="shared" si="0"/>
        <v>ResCACPNW</v>
      </c>
      <c r="H33" s="39">
        <f>IF(B33="heat",VLOOKUP($A33,WeightedSavings!$E$10:$K$81,5,FALSE),0)</f>
        <v>0</v>
      </c>
    </row>
    <row r="34" spans="1:8" customFormat="1" ht="25.5">
      <c r="A34" s="255" t="str">
        <f>INDEX(WeightedSavings!$E$10:$E$81,FLOOR((ROW(A29))/3,1))</f>
        <v>Ground Source Heat Pump Upgrade from Air Source Heat Pump - Without Desuperheater - New House less than 4000 square feet - Heating Zone 3 - Cooling Zone 3</v>
      </c>
      <c r="B34" s="255" t="str">
        <f t="shared" si="2"/>
        <v>dhw</v>
      </c>
      <c r="C34" s="39">
        <f>IF(B34="heat",VLOOKUP($A34,WeightedSavings!$E$10:$K$81,2,FALSE),IF(B34="cool",VLOOKUP($A34,WeightedSavings!$E$10:$K$81,3,FALSE),IF(B34="DHW",VLOOKUP($A34,WeightedSavings!$E$10:$K$81,4,FALSE),0)))</f>
        <v>0</v>
      </c>
      <c r="D34" s="39">
        <f t="shared" si="3"/>
        <v>20</v>
      </c>
      <c r="E34" s="256">
        <f>IF(B34="heat",VLOOKUP(A34,WeightedSavings!$E$10:$K$81,5,FALSE), IF(B34="cool",0, IF(B34="DHW",VLOOKUP(A34,WeightedSavings!$E$10:K107,6,FALSE))))</f>
        <v>13124.290349999999</v>
      </c>
      <c r="F34" s="39"/>
      <c r="G34" s="257" t="str">
        <f t="shared" si="0"/>
        <v>ResDHW</v>
      </c>
      <c r="H34" s="39">
        <f>IF(B34="heat",VLOOKUP($A34,WeightedSavings!$E$10:$K$81,5,FALSE),0)</f>
        <v>0</v>
      </c>
    </row>
    <row r="35" spans="1:8" customFormat="1" ht="25.5">
      <c r="A35" s="255" t="str">
        <f>INDEX(WeightedSavings!$E$10:$E$81,FLOOR((ROW(A30))/3,1))</f>
        <v>Ground Source Heat Pump Upgrade from Air Source Heat Pump - Without Desuperheater - New House 4000 square feet or greater - Heating Zone 1 - Cooling Zone 1</v>
      </c>
      <c r="B35" s="255" t="str">
        <f t="shared" si="2"/>
        <v>heat</v>
      </c>
      <c r="C35" s="39">
        <f>IF(B35="heat",VLOOKUP($A35,WeightedSavings!$E$10:$K$81,2,FALSE),IF(B35="cool",VLOOKUP($A35,WeightedSavings!$E$10:$K$81,3,FALSE),IF(B35="DHW",VLOOKUP($A35,WeightedSavings!$E$10:$K$81,4,FALSE),0)))</f>
        <v>1686.6827345536467</v>
      </c>
      <c r="D35" s="39">
        <f t="shared" si="3"/>
        <v>20</v>
      </c>
      <c r="E35" s="256">
        <f>IF(B35="heat",VLOOKUP(A35,WeightedSavings!$E$10:$K$81,5,FALSE), IF(B35="cool",0, IF(B35="DHW",VLOOKUP(A35,WeightedSavings!$E$10:K108,6,FALSE))))</f>
        <v>113.61945113722719</v>
      </c>
      <c r="F35" s="39"/>
      <c r="G35" s="257" t="str">
        <f t="shared" si="0"/>
        <v>ResSpHtHPZ1</v>
      </c>
      <c r="H35" s="39">
        <f>IF(B35="heat",VLOOKUP($A35,WeightedSavings!$E$10:$K$81,5,FALSE),0)</f>
        <v>113.61945113722719</v>
      </c>
    </row>
    <row r="36" spans="1:8" customFormat="1" ht="25.5">
      <c r="A36" s="255" t="str">
        <f>INDEX(WeightedSavings!$E$10:$E$81,FLOOR((ROW(A31))/3,1))</f>
        <v>Ground Source Heat Pump Upgrade from Air Source Heat Pump - Without Desuperheater - New House 4000 square feet or greater - Heating Zone 1 - Cooling Zone 1</v>
      </c>
      <c r="B36" s="255" t="str">
        <f t="shared" si="2"/>
        <v>cool</v>
      </c>
      <c r="C36" s="39">
        <f>IF(B36="heat",VLOOKUP($A36,WeightedSavings!$E$10:$K$81,2,FALSE),IF(B36="cool",VLOOKUP($A36,WeightedSavings!$E$10:$K$81,3,FALSE),IF(B36="DHW",VLOOKUP($A36,WeightedSavings!$E$10:$K$81,4,FALSE),0)))</f>
        <v>58.658489142857093</v>
      </c>
      <c r="D36" s="39">
        <f t="shared" si="3"/>
        <v>20</v>
      </c>
      <c r="E36" s="256">
        <f>IF(B36="heat",VLOOKUP(A36,WeightedSavings!$E$10:$K$81,5,FALSE), IF(B36="cool",0, IF(B36="DHW",VLOOKUP(A36,WeightedSavings!$E$10:K109,6,FALSE))))</f>
        <v>0</v>
      </c>
      <c r="F36" s="39"/>
      <c r="G36" s="257" t="str">
        <f t="shared" si="0"/>
        <v>ResCACPNW</v>
      </c>
      <c r="H36" s="39">
        <f>IF(B36="heat",VLOOKUP($A36,WeightedSavings!$E$10:$K$81,5,FALSE),0)</f>
        <v>0</v>
      </c>
    </row>
    <row r="37" spans="1:8" customFormat="1" ht="25.5">
      <c r="A37" s="255" t="str">
        <f>INDEX(WeightedSavings!$E$10:$E$81,FLOOR((ROW(A32))/3,1))</f>
        <v>Ground Source Heat Pump Upgrade from Air Source Heat Pump - Without Desuperheater - New House 4000 square feet or greater - Heating Zone 1 - Cooling Zone 1</v>
      </c>
      <c r="B37" s="255" t="str">
        <f t="shared" si="2"/>
        <v>dhw</v>
      </c>
      <c r="C37" s="39">
        <f>IF(B37="heat",VLOOKUP($A37,WeightedSavings!$E$10:$K$81,2,FALSE),IF(B37="cool",VLOOKUP($A37,WeightedSavings!$E$10:$K$81,3,FALSE),IF(B37="DHW",VLOOKUP($A37,WeightedSavings!$E$10:$K$81,4,FALSE),0)))</f>
        <v>0</v>
      </c>
      <c r="D37" s="39">
        <f t="shared" si="3"/>
        <v>20</v>
      </c>
      <c r="E37" s="256">
        <f>IF(B37="heat",VLOOKUP(A37,WeightedSavings!$E$10:$K$81,5,FALSE), IF(B37="cool",0, IF(B37="DHW",VLOOKUP(A37,WeightedSavings!$E$10:K110,6,FALSE))))</f>
        <v>6009.2415000000001</v>
      </c>
      <c r="F37" s="39"/>
      <c r="G37" s="257" t="str">
        <f t="shared" si="0"/>
        <v>ResDHW</v>
      </c>
      <c r="H37" s="39">
        <f>IF(B37="heat",VLOOKUP($A37,WeightedSavings!$E$10:$K$81,5,FALSE),0)</f>
        <v>0</v>
      </c>
    </row>
    <row r="38" spans="1:8" customFormat="1" ht="25.5">
      <c r="A38" s="255" t="str">
        <f>INDEX(WeightedSavings!$E$10:$E$81,FLOOR((ROW(A33))/3,1))</f>
        <v>Ground Source Heat Pump Upgrade from Air Source Heat Pump - Without Desuperheater - New House 4000 square feet or greater - Heating Zone 1 - Cooling Zone 2</v>
      </c>
      <c r="B38" s="255" t="str">
        <f t="shared" si="2"/>
        <v>heat</v>
      </c>
      <c r="C38" s="39">
        <f>IF(B38="heat",VLOOKUP($A38,WeightedSavings!$E$10:$K$81,2,FALSE),IF(B38="cool",VLOOKUP($A38,WeightedSavings!$E$10:$K$81,3,FALSE),IF(B38="DHW",VLOOKUP($A38,WeightedSavings!$E$10:$K$81,4,FALSE),0)))</f>
        <v>1686.6827345536467</v>
      </c>
      <c r="D38" s="39">
        <f t="shared" si="3"/>
        <v>20</v>
      </c>
      <c r="E38" s="256">
        <f>IF(B38="heat",VLOOKUP(A38,WeightedSavings!$E$10:$K$81,5,FALSE), IF(B38="cool",0, IF(B38="DHW",VLOOKUP(A38,WeightedSavings!$E$10:K111,6,FALSE))))</f>
        <v>113.61945113722719</v>
      </c>
      <c r="F38" s="39"/>
      <c r="G38" s="257" t="str">
        <f t="shared" si="0"/>
        <v>ResSpHtHPZ1</v>
      </c>
      <c r="H38" s="39">
        <f>IF(B38="heat",VLOOKUP($A38,WeightedSavings!$E$10:$K$81,5,FALSE),0)</f>
        <v>113.61945113722719</v>
      </c>
    </row>
    <row r="39" spans="1:8" customFormat="1" ht="25.5">
      <c r="A39" s="255" t="str">
        <f>INDEX(WeightedSavings!$E$10:$E$81,FLOOR((ROW(A34))/3,1))</f>
        <v>Ground Source Heat Pump Upgrade from Air Source Heat Pump - Without Desuperheater - New House 4000 square feet or greater - Heating Zone 1 - Cooling Zone 2</v>
      </c>
      <c r="B39" s="255" t="str">
        <f t="shared" si="2"/>
        <v>cool</v>
      </c>
      <c r="C39" s="39">
        <f>IF(B39="heat",VLOOKUP($A39,WeightedSavings!$E$10:$K$81,2,FALSE),IF(B39="cool",VLOOKUP($A39,WeightedSavings!$E$10:$K$81,3,FALSE),IF(B39="DHW",VLOOKUP($A39,WeightedSavings!$E$10:$K$81,4,FALSE),0)))</f>
        <v>172.75853796428567</v>
      </c>
      <c r="D39" s="39">
        <f t="shared" si="3"/>
        <v>20</v>
      </c>
      <c r="E39" s="256">
        <f>IF(B39="heat",VLOOKUP(A39,WeightedSavings!$E$10:$K$81,5,FALSE), IF(B39="cool",0, IF(B39="DHW",VLOOKUP(A39,WeightedSavings!$E$10:K112,6,FALSE))))</f>
        <v>0</v>
      </c>
      <c r="F39" s="39"/>
      <c r="G39" s="257" t="str">
        <f t="shared" si="0"/>
        <v>ResCACPNW</v>
      </c>
      <c r="H39" s="39">
        <f>IF(B39="heat",VLOOKUP($A39,WeightedSavings!$E$10:$K$81,5,FALSE),0)</f>
        <v>0</v>
      </c>
    </row>
    <row r="40" spans="1:8" customFormat="1" ht="25.5">
      <c r="A40" s="255" t="str">
        <f>INDEX(WeightedSavings!$E$10:$E$81,FLOOR((ROW(A35))/3,1))</f>
        <v>Ground Source Heat Pump Upgrade from Air Source Heat Pump - Without Desuperheater - New House 4000 square feet or greater - Heating Zone 1 - Cooling Zone 2</v>
      </c>
      <c r="B40" s="255" t="str">
        <f t="shared" si="2"/>
        <v>dhw</v>
      </c>
      <c r="C40" s="39">
        <f>IF(B40="heat",VLOOKUP($A40,WeightedSavings!$E$10:$K$81,2,FALSE),IF(B40="cool",VLOOKUP($A40,WeightedSavings!$E$10:$K$81,3,FALSE),IF(B40="DHW",VLOOKUP($A40,WeightedSavings!$E$10:$K$81,4,FALSE),0)))</f>
        <v>0</v>
      </c>
      <c r="D40" s="39">
        <f t="shared" si="3"/>
        <v>20</v>
      </c>
      <c r="E40" s="256">
        <f>IF(B40="heat",VLOOKUP(A40,WeightedSavings!$E$10:$K$81,5,FALSE), IF(B40="cool",0, IF(B40="DHW",VLOOKUP(A40,WeightedSavings!$E$10:K113,6,FALSE))))</f>
        <v>6009.2415000000001</v>
      </c>
      <c r="F40" s="39"/>
      <c r="G40" s="257" t="str">
        <f t="shared" si="0"/>
        <v>ResDHW</v>
      </c>
      <c r="H40" s="39">
        <f>IF(B40="heat",VLOOKUP($A40,WeightedSavings!$E$10:$K$81,5,FALSE),0)</f>
        <v>0</v>
      </c>
    </row>
    <row r="41" spans="1:8" customFormat="1" ht="25.5">
      <c r="A41" s="255" t="str">
        <f>INDEX(WeightedSavings!$E$10:$E$81,FLOOR((ROW(A36))/3,1))</f>
        <v>Ground Source Heat Pump Upgrade from Air Source Heat Pump - Without Desuperheater - New House 4000 square feet or greater - Heating Zone 1 - Cooling Zone 3</v>
      </c>
      <c r="B41" s="255" t="str">
        <f t="shared" si="2"/>
        <v>heat</v>
      </c>
      <c r="C41" s="39">
        <f>IF(B41="heat",VLOOKUP($A41,WeightedSavings!$E$10:$K$81,2,FALSE),IF(B41="cool",VLOOKUP($A41,WeightedSavings!$E$10:$K$81,3,FALSE),IF(B41="DHW",VLOOKUP($A41,WeightedSavings!$E$10:$K$81,4,FALSE),0)))</f>
        <v>1686.6827345536467</v>
      </c>
      <c r="D41" s="39">
        <f t="shared" si="3"/>
        <v>20</v>
      </c>
      <c r="E41" s="256">
        <f>IF(B41="heat",VLOOKUP(A41,WeightedSavings!$E$10:$K$81,5,FALSE), IF(B41="cool",0, IF(B41="DHW",VLOOKUP(A41,WeightedSavings!$E$10:K114,6,FALSE))))</f>
        <v>113.61945113722719</v>
      </c>
      <c r="F41" s="39"/>
      <c r="G41" s="257" t="str">
        <f t="shared" si="0"/>
        <v>ResSpHtHPZ1</v>
      </c>
      <c r="H41" s="39">
        <f>IF(B41="heat",VLOOKUP($A41,WeightedSavings!$E$10:$K$81,5,FALSE),0)</f>
        <v>113.61945113722719</v>
      </c>
    </row>
    <row r="42" spans="1:8" customFormat="1" ht="25.5">
      <c r="A42" s="255" t="str">
        <f>INDEX(WeightedSavings!$E$10:$E$81,FLOOR((ROW(A37))/3,1))</f>
        <v>Ground Source Heat Pump Upgrade from Air Source Heat Pump - Without Desuperheater - New House 4000 square feet or greater - Heating Zone 1 - Cooling Zone 3</v>
      </c>
      <c r="B42" s="255" t="str">
        <f t="shared" si="2"/>
        <v>cool</v>
      </c>
      <c r="C42" s="39">
        <f>IF(B42="heat",VLOOKUP($A42,WeightedSavings!$E$10:$K$81,2,FALSE),IF(B42="cool",VLOOKUP($A42,WeightedSavings!$E$10:$K$81,3,FALSE),IF(B42="DHW",VLOOKUP($A42,WeightedSavings!$E$10:$K$81,4,FALSE),0)))</f>
        <v>361.56853514285717</v>
      </c>
      <c r="D42" s="39">
        <f t="shared" si="3"/>
        <v>20</v>
      </c>
      <c r="E42" s="256">
        <f>IF(B42="heat",VLOOKUP(A42,WeightedSavings!$E$10:$K$81,5,FALSE), IF(B42="cool",0, IF(B42="DHW",VLOOKUP(A42,WeightedSavings!$E$10:K115,6,FALSE))))</f>
        <v>0</v>
      </c>
      <c r="F42" s="39"/>
      <c r="G42" s="257" t="str">
        <f t="shared" si="0"/>
        <v>ResCACPNW</v>
      </c>
      <c r="H42" s="39">
        <f>IF(B42="heat",VLOOKUP($A42,WeightedSavings!$E$10:$K$81,5,FALSE),0)</f>
        <v>0</v>
      </c>
    </row>
    <row r="43" spans="1:8" customFormat="1" ht="25.5">
      <c r="A43" s="255" t="str">
        <f>INDEX(WeightedSavings!$E$10:$E$81,FLOOR((ROW(A38))/3,1))</f>
        <v>Ground Source Heat Pump Upgrade from Air Source Heat Pump - Without Desuperheater - New House 4000 square feet or greater - Heating Zone 1 - Cooling Zone 3</v>
      </c>
      <c r="B43" s="255" t="str">
        <f t="shared" si="2"/>
        <v>dhw</v>
      </c>
      <c r="C43" s="39">
        <f>IF(B43="heat",VLOOKUP($A43,WeightedSavings!$E$10:$K$81,2,FALSE),IF(B43="cool",VLOOKUP($A43,WeightedSavings!$E$10:$K$81,3,FALSE),IF(B43="DHW",VLOOKUP($A43,WeightedSavings!$E$10:$K$81,4,FALSE),0)))</f>
        <v>0</v>
      </c>
      <c r="D43" s="39">
        <f t="shared" si="3"/>
        <v>20</v>
      </c>
      <c r="E43" s="256">
        <f>IF(B43="heat",VLOOKUP(A43,WeightedSavings!$E$10:$K$81,5,FALSE), IF(B43="cool",0, IF(B43="DHW",VLOOKUP(A43,WeightedSavings!$E$10:K116,6,FALSE))))</f>
        <v>6009.2415000000001</v>
      </c>
      <c r="F43" s="39"/>
      <c r="G43" s="257" t="str">
        <f t="shared" si="0"/>
        <v>ResDHW</v>
      </c>
      <c r="H43" s="39">
        <f>IF(B43="heat",VLOOKUP($A43,WeightedSavings!$E$10:$K$81,5,FALSE),0)</f>
        <v>0</v>
      </c>
    </row>
    <row r="44" spans="1:8" customFormat="1" ht="25.5">
      <c r="A44" s="255" t="str">
        <f>INDEX(WeightedSavings!$E$10:$E$81,FLOOR((ROW(A39))/3,1))</f>
        <v>Ground Source Heat Pump Upgrade from Air Source Heat Pump - Without Desuperheater - New House 4000 square feet or greater - Heating Zone 2 - Cooling Zone 1</v>
      </c>
      <c r="B44" s="255" t="str">
        <f t="shared" si="2"/>
        <v>heat</v>
      </c>
      <c r="C44" s="39">
        <f>IF(B44="heat",VLOOKUP($A44,WeightedSavings!$E$10:$K$81,2,FALSE),IF(B44="cool",VLOOKUP($A44,WeightedSavings!$E$10:$K$81,3,FALSE),IF(B44="DHW",VLOOKUP($A44,WeightedSavings!$E$10:$K$81,4,FALSE),0)))</f>
        <v>3629.7216043188091</v>
      </c>
      <c r="D44" s="39">
        <f t="shared" si="3"/>
        <v>20</v>
      </c>
      <c r="E44" s="256">
        <f>IF(B44="heat",VLOOKUP(A44,WeightedSavings!$E$10:$K$81,5,FALSE), IF(B44="cool",0, IF(B44="DHW",VLOOKUP(A44,WeightedSavings!$E$10:K117,6,FALSE))))</f>
        <v>131.46443030299892</v>
      </c>
      <c r="F44" s="39"/>
      <c r="G44" s="257" t="str">
        <f t="shared" si="0"/>
        <v>ResSpHtHPZ2</v>
      </c>
      <c r="H44" s="39">
        <f>IF(B44="heat",VLOOKUP($A44,WeightedSavings!$E$10:$K$81,5,FALSE),0)</f>
        <v>131.46443030299892</v>
      </c>
    </row>
    <row r="45" spans="1:8" customFormat="1" ht="25.5">
      <c r="A45" s="255" t="str">
        <f>INDEX(WeightedSavings!$E$10:$E$81,FLOOR((ROW(A40))/3,1))</f>
        <v>Ground Source Heat Pump Upgrade from Air Source Heat Pump - Without Desuperheater - New House 4000 square feet or greater - Heating Zone 2 - Cooling Zone 1</v>
      </c>
      <c r="B45" s="255" t="str">
        <f t="shared" si="2"/>
        <v>cool</v>
      </c>
      <c r="C45" s="39">
        <f>IF(B45="heat",VLOOKUP($A45,WeightedSavings!$E$10:$K$81,2,FALSE),IF(B45="cool",VLOOKUP($A45,WeightedSavings!$E$10:$K$81,3,FALSE),IF(B45="DHW",VLOOKUP($A45,WeightedSavings!$E$10:$K$81,4,FALSE),0)))</f>
        <v>58.658489142857093</v>
      </c>
      <c r="D45" s="39">
        <f t="shared" si="3"/>
        <v>20</v>
      </c>
      <c r="E45" s="256">
        <f>IF(B45="heat",VLOOKUP(A45,WeightedSavings!$E$10:$K$81,5,FALSE), IF(B45="cool",0, IF(B45="DHW",VLOOKUP(A45,WeightedSavings!$E$10:K118,6,FALSE))))</f>
        <v>0</v>
      </c>
      <c r="F45" s="39"/>
      <c r="G45" s="257" t="str">
        <f t="shared" si="0"/>
        <v>ResCACPNW</v>
      </c>
      <c r="H45" s="39">
        <f>IF(B45="heat",VLOOKUP($A45,WeightedSavings!$E$10:$K$81,5,FALSE),0)</f>
        <v>0</v>
      </c>
    </row>
    <row r="46" spans="1:8" customFormat="1" ht="25.5">
      <c r="A46" s="255" t="str">
        <f>INDEX(WeightedSavings!$E$10:$E$81,FLOOR((ROW(A41))/3,1))</f>
        <v>Ground Source Heat Pump Upgrade from Air Source Heat Pump - Without Desuperheater - New House 4000 square feet or greater - Heating Zone 2 - Cooling Zone 1</v>
      </c>
      <c r="B46" s="255" t="str">
        <f t="shared" si="2"/>
        <v>dhw</v>
      </c>
      <c r="C46" s="39">
        <f>IF(B46="heat",VLOOKUP($A46,WeightedSavings!$E$10:$K$81,2,FALSE),IF(B46="cool",VLOOKUP($A46,WeightedSavings!$E$10:$K$81,3,FALSE),IF(B46="DHW",VLOOKUP($A46,WeightedSavings!$E$10:$K$81,4,FALSE),0)))</f>
        <v>0</v>
      </c>
      <c r="D46" s="39">
        <f t="shared" si="3"/>
        <v>20</v>
      </c>
      <c r="E46" s="256">
        <f>IF(B46="heat",VLOOKUP(A46,WeightedSavings!$E$10:$K$81,5,FALSE), IF(B46="cool",0, IF(B46="DHW",VLOOKUP(A46,WeightedSavings!$E$10:K119,6,FALSE))))</f>
        <v>11942.103499999997</v>
      </c>
      <c r="F46" s="39"/>
      <c r="G46" s="257" t="str">
        <f t="shared" si="0"/>
        <v>ResDHW</v>
      </c>
      <c r="H46" s="39">
        <f>IF(B46="heat",VLOOKUP($A46,WeightedSavings!$E$10:$K$81,5,FALSE),0)</f>
        <v>0</v>
      </c>
    </row>
    <row r="47" spans="1:8" customFormat="1" ht="25.5">
      <c r="A47" s="255" t="str">
        <f>INDEX(WeightedSavings!$E$10:$E$81,FLOOR((ROW(A42))/3,1))</f>
        <v>Ground Source Heat Pump Upgrade from Air Source Heat Pump - Without Desuperheater - New House 4000 square feet or greater - Heating Zone 2 - Cooling Zone 2</v>
      </c>
      <c r="B47" s="255" t="str">
        <f t="shared" si="2"/>
        <v>heat</v>
      </c>
      <c r="C47" s="39">
        <f>IF(B47="heat",VLOOKUP($A47,WeightedSavings!$E$10:$K$81,2,FALSE),IF(B47="cool",VLOOKUP($A47,WeightedSavings!$E$10:$K$81,3,FALSE),IF(B47="DHW",VLOOKUP($A47,WeightedSavings!$E$10:$K$81,4,FALSE),0)))</f>
        <v>3629.7216043188091</v>
      </c>
      <c r="D47" s="39">
        <f t="shared" si="3"/>
        <v>20</v>
      </c>
      <c r="E47" s="256">
        <f>IF(B47="heat",VLOOKUP(A47,WeightedSavings!$E$10:$K$81,5,FALSE), IF(B47="cool",0, IF(B47="DHW",VLOOKUP(A47,WeightedSavings!$E$10:K120,6,FALSE))))</f>
        <v>131.46443030299892</v>
      </c>
      <c r="F47" s="39"/>
      <c r="G47" s="257" t="str">
        <f t="shared" si="0"/>
        <v>ResSpHtHPZ2</v>
      </c>
      <c r="H47" s="39">
        <f>IF(B47="heat",VLOOKUP($A47,WeightedSavings!$E$10:$K$81,5,FALSE),0)</f>
        <v>131.46443030299892</v>
      </c>
    </row>
    <row r="48" spans="1:8" customFormat="1" ht="25.5">
      <c r="A48" s="255" t="str">
        <f>INDEX(WeightedSavings!$E$10:$E$81,FLOOR((ROW(A43))/3,1))</f>
        <v>Ground Source Heat Pump Upgrade from Air Source Heat Pump - Without Desuperheater - New House 4000 square feet or greater - Heating Zone 2 - Cooling Zone 2</v>
      </c>
      <c r="B48" s="255" t="str">
        <f t="shared" si="2"/>
        <v>cool</v>
      </c>
      <c r="C48" s="39">
        <f>IF(B48="heat",VLOOKUP($A48,WeightedSavings!$E$10:$K$81,2,FALSE),IF(B48="cool",VLOOKUP($A48,WeightedSavings!$E$10:$K$81,3,FALSE),IF(B48="DHW",VLOOKUP($A48,WeightedSavings!$E$10:$K$81,4,FALSE),0)))</f>
        <v>172.75853796428567</v>
      </c>
      <c r="D48" s="39">
        <f t="shared" si="3"/>
        <v>20</v>
      </c>
      <c r="E48" s="256">
        <f>IF(B48="heat",VLOOKUP(A48,WeightedSavings!$E$10:$K$81,5,FALSE), IF(B48="cool",0, IF(B48="DHW",VLOOKUP(A48,WeightedSavings!$E$10:K121,6,FALSE))))</f>
        <v>0</v>
      </c>
      <c r="F48" s="39"/>
      <c r="G48" s="257" t="str">
        <f t="shared" si="0"/>
        <v>ResCACPNW</v>
      </c>
      <c r="H48" s="39">
        <f>IF(B48="heat",VLOOKUP($A48,WeightedSavings!$E$10:$K$81,5,FALSE),0)</f>
        <v>0</v>
      </c>
    </row>
    <row r="49" spans="1:8" customFormat="1" ht="25.5">
      <c r="A49" s="255" t="str">
        <f>INDEX(WeightedSavings!$E$10:$E$81,FLOOR((ROW(A44))/3,1))</f>
        <v>Ground Source Heat Pump Upgrade from Air Source Heat Pump - Without Desuperheater - New House 4000 square feet or greater - Heating Zone 2 - Cooling Zone 2</v>
      </c>
      <c r="B49" s="255" t="str">
        <f t="shared" si="2"/>
        <v>dhw</v>
      </c>
      <c r="C49" s="39">
        <f>IF(B49="heat",VLOOKUP($A49,WeightedSavings!$E$10:$K$81,2,FALSE),IF(B49="cool",VLOOKUP($A49,WeightedSavings!$E$10:$K$81,3,FALSE),IF(B49="DHW",VLOOKUP($A49,WeightedSavings!$E$10:$K$81,4,FALSE),0)))</f>
        <v>0</v>
      </c>
      <c r="D49" s="39">
        <f t="shared" si="3"/>
        <v>20</v>
      </c>
      <c r="E49" s="256">
        <f>IF(B49="heat",VLOOKUP(A49,WeightedSavings!$E$10:$K$81,5,FALSE), IF(B49="cool",0, IF(B49="DHW",VLOOKUP(A49,WeightedSavings!$E$10:K122,6,FALSE))))</f>
        <v>11942.103499999997</v>
      </c>
      <c r="F49" s="39"/>
      <c r="G49" s="257" t="str">
        <f t="shared" si="0"/>
        <v>ResDHW</v>
      </c>
      <c r="H49" s="39">
        <f>IF(B49="heat",VLOOKUP($A49,WeightedSavings!$E$10:$K$81,5,FALSE),0)</f>
        <v>0</v>
      </c>
    </row>
    <row r="50" spans="1:8" customFormat="1" ht="25.5">
      <c r="A50" s="255" t="str">
        <f>INDEX(WeightedSavings!$E$10:$E$81,FLOOR((ROW(A45))/3,1))</f>
        <v>Ground Source Heat Pump Upgrade from Air Source Heat Pump - Without Desuperheater - New House 4000 square feet or greater - Heating Zone 2 - Cooling Zone 3</v>
      </c>
      <c r="B50" s="255" t="str">
        <f t="shared" si="2"/>
        <v>heat</v>
      </c>
      <c r="C50" s="39">
        <f>IF(B50="heat",VLOOKUP($A50,WeightedSavings!$E$10:$K$81,2,FALSE),IF(B50="cool",VLOOKUP($A50,WeightedSavings!$E$10:$K$81,3,FALSE),IF(B50="DHW",VLOOKUP($A50,WeightedSavings!$E$10:$K$81,4,FALSE),0)))</f>
        <v>3629.7216043188091</v>
      </c>
      <c r="D50" s="39">
        <f t="shared" si="3"/>
        <v>20</v>
      </c>
      <c r="E50" s="256">
        <f>IF(B50="heat",VLOOKUP(A50,WeightedSavings!$E$10:$K$81,5,FALSE), IF(B50="cool",0, IF(B50="DHW",VLOOKUP(A50,WeightedSavings!$E$10:K123,6,FALSE))))</f>
        <v>131.46443030299892</v>
      </c>
      <c r="F50" s="39"/>
      <c r="G50" s="257" t="str">
        <f t="shared" si="0"/>
        <v>ResSpHtHPZ2</v>
      </c>
      <c r="H50" s="39">
        <f>IF(B50="heat",VLOOKUP($A50,WeightedSavings!$E$10:$K$81,5,FALSE),0)</f>
        <v>131.46443030299892</v>
      </c>
    </row>
    <row r="51" spans="1:8" customFormat="1" ht="25.5">
      <c r="A51" s="255" t="str">
        <f>INDEX(WeightedSavings!$E$10:$E$81,FLOOR((ROW(A46))/3,1))</f>
        <v>Ground Source Heat Pump Upgrade from Air Source Heat Pump - Without Desuperheater - New House 4000 square feet or greater - Heating Zone 2 - Cooling Zone 3</v>
      </c>
      <c r="B51" s="255" t="str">
        <f t="shared" si="2"/>
        <v>cool</v>
      </c>
      <c r="C51" s="39">
        <f>IF(B51="heat",VLOOKUP($A51,WeightedSavings!$E$10:$K$81,2,FALSE),IF(B51="cool",VLOOKUP($A51,WeightedSavings!$E$10:$K$81,3,FALSE),IF(B51="DHW",VLOOKUP($A51,WeightedSavings!$E$10:$K$81,4,FALSE),0)))</f>
        <v>361.56853514285717</v>
      </c>
      <c r="D51" s="39">
        <f t="shared" si="3"/>
        <v>20</v>
      </c>
      <c r="E51" s="256">
        <f>IF(B51="heat",VLOOKUP(A51,WeightedSavings!$E$10:$K$81,5,FALSE), IF(B51="cool",0, IF(B51="DHW",VLOOKUP(A51,WeightedSavings!$E$10:K124,6,FALSE))))</f>
        <v>0</v>
      </c>
      <c r="F51" s="39"/>
      <c r="G51" s="257" t="str">
        <f t="shared" si="0"/>
        <v>ResCACPNW</v>
      </c>
      <c r="H51" s="39">
        <f>IF(B51="heat",VLOOKUP($A51,WeightedSavings!$E$10:$K$81,5,FALSE),0)</f>
        <v>0</v>
      </c>
    </row>
    <row r="52" spans="1:8" customFormat="1" ht="25.5">
      <c r="A52" s="255" t="str">
        <f>INDEX(WeightedSavings!$E$10:$E$81,FLOOR((ROW(A47))/3,1))</f>
        <v>Ground Source Heat Pump Upgrade from Air Source Heat Pump - Without Desuperheater - New House 4000 square feet or greater - Heating Zone 2 - Cooling Zone 3</v>
      </c>
      <c r="B52" s="255" t="str">
        <f t="shared" si="2"/>
        <v>dhw</v>
      </c>
      <c r="C52" s="39">
        <f>IF(B52="heat",VLOOKUP($A52,WeightedSavings!$E$10:$K$81,2,FALSE),IF(B52="cool",VLOOKUP($A52,WeightedSavings!$E$10:$K$81,3,FALSE),IF(B52="DHW",VLOOKUP($A52,WeightedSavings!$E$10:$K$81,4,FALSE),0)))</f>
        <v>0</v>
      </c>
      <c r="D52" s="39">
        <f t="shared" si="3"/>
        <v>20</v>
      </c>
      <c r="E52" s="256">
        <f>IF(B52="heat",VLOOKUP(A52,WeightedSavings!$E$10:$K$81,5,FALSE), IF(B52="cool",0, IF(B52="DHW",VLOOKUP(A52,WeightedSavings!$E$10:K125,6,FALSE))))</f>
        <v>11942.103499999997</v>
      </c>
      <c r="F52" s="39"/>
      <c r="G52" s="257" t="str">
        <f t="shared" si="0"/>
        <v>ResDHW</v>
      </c>
      <c r="H52" s="39">
        <f>IF(B52="heat",VLOOKUP($A52,WeightedSavings!$E$10:$K$81,5,FALSE),0)</f>
        <v>0</v>
      </c>
    </row>
    <row r="53" spans="1:8" customFormat="1" ht="25.5">
      <c r="A53" s="255" t="str">
        <f>INDEX(WeightedSavings!$E$10:$E$81,FLOOR((ROW(A48))/3,1))</f>
        <v>Ground Source Heat Pump Upgrade from Air Source Heat Pump - Without Desuperheater - New House 4000 square feet or greater - Heating Zone 3 - Cooling Zone 1</v>
      </c>
      <c r="B53" s="255" t="str">
        <f t="shared" si="2"/>
        <v>heat</v>
      </c>
      <c r="C53" s="39">
        <f>IF(B53="heat",VLOOKUP($A53,WeightedSavings!$E$10:$K$81,2,FALSE),IF(B53="cool",VLOOKUP($A53,WeightedSavings!$E$10:$K$81,3,FALSE),IF(B53="DHW",VLOOKUP($A53,WeightedSavings!$E$10:$K$81,4,FALSE),0)))</f>
        <v>4952.1283628844976</v>
      </c>
      <c r="D53" s="39">
        <f t="shared" si="3"/>
        <v>20</v>
      </c>
      <c r="E53" s="256">
        <f>IF(B53="heat",VLOOKUP(A53,WeightedSavings!$E$10:$K$81,5,FALSE), IF(B53="cool",0, IF(B53="DHW",VLOOKUP(A53,WeightedSavings!$E$10:K126,6,FALSE))))</f>
        <v>156.52875830308164</v>
      </c>
      <c r="F53" s="39"/>
      <c r="G53" s="257" t="str">
        <f t="shared" si="0"/>
        <v>ResSpHtHPZ3</v>
      </c>
      <c r="H53" s="39">
        <f>IF(B53="heat",VLOOKUP($A53,WeightedSavings!$E$10:$K$81,5,FALSE),0)</f>
        <v>156.52875830308164</v>
      </c>
    </row>
    <row r="54" spans="1:8" customFormat="1" ht="25.5">
      <c r="A54" s="255" t="str">
        <f>INDEX(WeightedSavings!$E$10:$E$81,FLOOR((ROW(A49))/3,1))</f>
        <v>Ground Source Heat Pump Upgrade from Air Source Heat Pump - Without Desuperheater - New House 4000 square feet or greater - Heating Zone 3 - Cooling Zone 1</v>
      </c>
      <c r="B54" s="255" t="str">
        <f t="shared" si="2"/>
        <v>cool</v>
      </c>
      <c r="C54" s="39">
        <f>IF(B54="heat",VLOOKUP($A54,WeightedSavings!$E$10:$K$81,2,FALSE),IF(B54="cool",VLOOKUP($A54,WeightedSavings!$E$10:$K$81,3,FALSE),IF(B54="DHW",VLOOKUP($A54,WeightedSavings!$E$10:$K$81,4,FALSE),0)))</f>
        <v>58.658489142857093</v>
      </c>
      <c r="D54" s="39">
        <f t="shared" si="3"/>
        <v>20</v>
      </c>
      <c r="E54" s="256">
        <f>IF(B54="heat",VLOOKUP(A54,WeightedSavings!$E$10:$K$81,5,FALSE), IF(B54="cool",0, IF(B54="DHW",VLOOKUP(A54,WeightedSavings!$E$10:K127,6,FALSE))))</f>
        <v>0</v>
      </c>
      <c r="F54" s="39"/>
      <c r="G54" s="257" t="str">
        <f t="shared" si="0"/>
        <v>ResCACPNW</v>
      </c>
      <c r="H54" s="39">
        <f>IF(B54="heat",VLOOKUP($A54,WeightedSavings!$E$10:$K$81,5,FALSE),0)</f>
        <v>0</v>
      </c>
    </row>
    <row r="55" spans="1:8" customFormat="1" ht="25.5">
      <c r="A55" s="255" t="str">
        <f>INDEX(WeightedSavings!$E$10:$E$81,FLOOR((ROW(A50))/3,1))</f>
        <v>Ground Source Heat Pump Upgrade from Air Source Heat Pump - Without Desuperheater - New House 4000 square feet or greater - Heating Zone 3 - Cooling Zone 1</v>
      </c>
      <c r="B55" s="255" t="str">
        <f t="shared" si="2"/>
        <v>dhw</v>
      </c>
      <c r="C55" s="39">
        <f>IF(B55="heat",VLOOKUP($A55,WeightedSavings!$E$10:$K$81,2,FALSE),IF(B55="cool",VLOOKUP($A55,WeightedSavings!$E$10:$K$81,3,FALSE),IF(B55="DHW",VLOOKUP($A55,WeightedSavings!$E$10:$K$81,4,FALSE),0)))</f>
        <v>0</v>
      </c>
      <c r="D55" s="39">
        <f t="shared" si="3"/>
        <v>20</v>
      </c>
      <c r="E55" s="256">
        <f>IF(B55="heat",VLOOKUP(A55,WeightedSavings!$E$10:$K$81,5,FALSE), IF(B55="cool",0, IF(B55="DHW",VLOOKUP(A55,WeightedSavings!$E$10:K128,6,FALSE))))</f>
        <v>19560.591</v>
      </c>
      <c r="F55" s="39"/>
      <c r="G55" s="257" t="str">
        <f t="shared" si="0"/>
        <v>ResDHW</v>
      </c>
      <c r="H55" s="39">
        <f>IF(B55="heat",VLOOKUP($A55,WeightedSavings!$E$10:$K$81,5,FALSE),0)</f>
        <v>0</v>
      </c>
    </row>
    <row r="56" spans="1:8" customFormat="1" ht="25.5">
      <c r="A56" s="255" t="str">
        <f>INDEX(WeightedSavings!$E$10:$E$81,FLOOR((ROW(A51))/3,1))</f>
        <v>Ground Source Heat Pump Upgrade from Air Source Heat Pump - Without Desuperheater - New House 4000 square feet or greater - Heating Zone 3 - Cooling Zone 2</v>
      </c>
      <c r="B56" s="255" t="str">
        <f t="shared" si="2"/>
        <v>heat</v>
      </c>
      <c r="C56" s="39">
        <f>IF(B56="heat",VLOOKUP($A56,WeightedSavings!$E$10:$K$81,2,FALSE),IF(B56="cool",VLOOKUP($A56,WeightedSavings!$E$10:$K$81,3,FALSE),IF(B56="DHW",VLOOKUP($A56,WeightedSavings!$E$10:$K$81,4,FALSE),0)))</f>
        <v>4952.1283628844976</v>
      </c>
      <c r="D56" s="39">
        <f t="shared" si="3"/>
        <v>20</v>
      </c>
      <c r="E56" s="256">
        <f>IF(B56="heat",VLOOKUP(A56,WeightedSavings!$E$10:$K$81,5,FALSE), IF(B56="cool",0, IF(B56="DHW",VLOOKUP(A56,WeightedSavings!$E$10:K129,6,FALSE))))</f>
        <v>156.52875830308164</v>
      </c>
      <c r="F56" s="39"/>
      <c r="G56" s="257" t="str">
        <f t="shared" si="0"/>
        <v>ResSpHtHPZ3</v>
      </c>
      <c r="H56" s="39">
        <f>IF(B56="heat",VLOOKUP($A56,WeightedSavings!$E$10:$K$81,5,FALSE),0)</f>
        <v>156.52875830308164</v>
      </c>
    </row>
    <row r="57" spans="1:8" customFormat="1" ht="25.5">
      <c r="A57" s="255" t="str">
        <f>INDEX(WeightedSavings!$E$10:$E$81,FLOOR((ROW(A52))/3,1))</f>
        <v>Ground Source Heat Pump Upgrade from Air Source Heat Pump - Without Desuperheater - New House 4000 square feet or greater - Heating Zone 3 - Cooling Zone 2</v>
      </c>
      <c r="B57" s="255" t="str">
        <f t="shared" si="2"/>
        <v>cool</v>
      </c>
      <c r="C57" s="39">
        <f>IF(B57="heat",VLOOKUP($A57,WeightedSavings!$E$10:$K$81,2,FALSE),IF(B57="cool",VLOOKUP($A57,WeightedSavings!$E$10:$K$81,3,FALSE),IF(B57="DHW",VLOOKUP($A57,WeightedSavings!$E$10:$K$81,4,FALSE),0)))</f>
        <v>172.75853796428567</v>
      </c>
      <c r="D57" s="39">
        <f t="shared" si="3"/>
        <v>20</v>
      </c>
      <c r="E57" s="256">
        <f>IF(B57="heat",VLOOKUP(A57,WeightedSavings!$E$10:$K$81,5,FALSE), IF(B57="cool",0, IF(B57="DHW",VLOOKUP(A57,WeightedSavings!$E$10:K130,6,FALSE))))</f>
        <v>0</v>
      </c>
      <c r="F57" s="39"/>
      <c r="G57" s="257" t="str">
        <f t="shared" si="0"/>
        <v>ResCACPNW</v>
      </c>
      <c r="H57" s="39">
        <f>IF(B57="heat",VLOOKUP($A57,WeightedSavings!$E$10:$K$81,5,FALSE),0)</f>
        <v>0</v>
      </c>
    </row>
    <row r="58" spans="1:8" customFormat="1" ht="25.5">
      <c r="A58" s="255" t="str">
        <f>INDEX(WeightedSavings!$E$10:$E$81,FLOOR((ROW(A53))/3,1))</f>
        <v>Ground Source Heat Pump Upgrade from Air Source Heat Pump - Without Desuperheater - New House 4000 square feet or greater - Heating Zone 3 - Cooling Zone 2</v>
      </c>
      <c r="B58" s="255" t="str">
        <f t="shared" si="2"/>
        <v>dhw</v>
      </c>
      <c r="C58" s="39">
        <f>IF(B58="heat",VLOOKUP($A58,WeightedSavings!$E$10:$K$81,2,FALSE),IF(B58="cool",VLOOKUP($A58,WeightedSavings!$E$10:$K$81,3,FALSE),IF(B58="DHW",VLOOKUP($A58,WeightedSavings!$E$10:$K$81,4,FALSE),0)))</f>
        <v>0</v>
      </c>
      <c r="D58" s="39">
        <f t="shared" si="3"/>
        <v>20</v>
      </c>
      <c r="E58" s="256">
        <f>IF(B58="heat",VLOOKUP(A58,WeightedSavings!$E$10:$K$81,5,FALSE), IF(B58="cool",0, IF(B58="DHW",VLOOKUP(A58,WeightedSavings!$E$10:K131,6,FALSE))))</f>
        <v>19560.591</v>
      </c>
      <c r="F58" s="39"/>
      <c r="G58" s="257" t="str">
        <f t="shared" si="0"/>
        <v>ResDHW</v>
      </c>
      <c r="H58" s="39">
        <f>IF(B58="heat",VLOOKUP($A58,WeightedSavings!$E$10:$K$81,5,FALSE),0)</f>
        <v>0</v>
      </c>
    </row>
    <row r="59" spans="1:8" customFormat="1" ht="25.5">
      <c r="A59" s="255" t="str">
        <f>INDEX(WeightedSavings!$E$10:$E$81,FLOOR((ROW(A54))/3,1))</f>
        <v>Ground Source Heat Pump Upgrade from Air Source Heat Pump - Without Desuperheater - New House 4000 square feet or greater - Heating Zone 3 - Cooling Zone 3</v>
      </c>
      <c r="B59" s="255" t="str">
        <f t="shared" si="2"/>
        <v>heat</v>
      </c>
      <c r="C59" s="39">
        <f>IF(B59="heat",VLOOKUP($A59,WeightedSavings!$E$10:$K$81,2,FALSE),IF(B59="cool",VLOOKUP($A59,WeightedSavings!$E$10:$K$81,3,FALSE),IF(B59="DHW",VLOOKUP($A59,WeightedSavings!$E$10:$K$81,4,FALSE),0)))</f>
        <v>4952.1283628844976</v>
      </c>
      <c r="D59" s="39">
        <f t="shared" si="3"/>
        <v>20</v>
      </c>
      <c r="E59" s="256">
        <f>IF(B59="heat",VLOOKUP(A59,WeightedSavings!$E$10:$K$81,5,FALSE), IF(B59="cool",0, IF(B59="DHW",VLOOKUP(A59,WeightedSavings!$E$10:K132,6,FALSE))))</f>
        <v>156.52875830308164</v>
      </c>
      <c r="F59" s="39"/>
      <c r="G59" s="257" t="str">
        <f t="shared" si="0"/>
        <v>ResSpHtHPZ3</v>
      </c>
      <c r="H59" s="39">
        <f>IF(B59="heat",VLOOKUP($A59,WeightedSavings!$E$10:$K$81,5,FALSE),0)</f>
        <v>156.52875830308164</v>
      </c>
    </row>
    <row r="60" spans="1:8" customFormat="1" ht="25.5">
      <c r="A60" s="255" t="str">
        <f>INDEX(WeightedSavings!$E$10:$E$81,FLOOR((ROW(A55))/3,1))</f>
        <v>Ground Source Heat Pump Upgrade from Air Source Heat Pump - Without Desuperheater - New House 4000 square feet or greater - Heating Zone 3 - Cooling Zone 3</v>
      </c>
      <c r="B60" s="255" t="str">
        <f t="shared" si="2"/>
        <v>cool</v>
      </c>
      <c r="C60" s="39">
        <f>IF(B60="heat",VLOOKUP($A60,WeightedSavings!$E$10:$K$81,2,FALSE),IF(B60="cool",VLOOKUP($A60,WeightedSavings!$E$10:$K$81,3,FALSE),IF(B60="DHW",VLOOKUP($A60,WeightedSavings!$E$10:$K$81,4,FALSE),0)))</f>
        <v>361.56853514285717</v>
      </c>
      <c r="D60" s="39">
        <f t="shared" si="3"/>
        <v>20</v>
      </c>
      <c r="E60" s="256">
        <f>IF(B60="heat",VLOOKUP(A60,WeightedSavings!$E$10:$K$81,5,FALSE), IF(B60="cool",0, IF(B60="DHW",VLOOKUP(A60,WeightedSavings!$E$10:K133,6,FALSE))))</f>
        <v>0</v>
      </c>
      <c r="F60" s="39"/>
      <c r="G60" s="257" t="str">
        <f t="shared" si="0"/>
        <v>ResCACPNW</v>
      </c>
      <c r="H60" s="39">
        <f>IF(B60="heat",VLOOKUP($A60,WeightedSavings!$E$10:$K$81,5,FALSE),0)</f>
        <v>0</v>
      </c>
    </row>
    <row r="61" spans="1:8" customFormat="1" ht="25.5">
      <c r="A61" s="255" t="str">
        <f>INDEX(WeightedSavings!$E$10:$E$81,FLOOR((ROW(A56))/3,1))</f>
        <v>Ground Source Heat Pump Upgrade from Air Source Heat Pump - Without Desuperheater - New House 4000 square feet or greater - Heating Zone 3 - Cooling Zone 3</v>
      </c>
      <c r="B61" s="255" t="str">
        <f t="shared" si="2"/>
        <v>dhw</v>
      </c>
      <c r="C61" s="39">
        <f>IF(B61="heat",VLOOKUP($A61,WeightedSavings!$E$10:$K$81,2,FALSE),IF(B61="cool",VLOOKUP($A61,WeightedSavings!$E$10:$K$81,3,FALSE),IF(B61="DHW",VLOOKUP($A61,WeightedSavings!$E$10:$K$81,4,FALSE),0)))</f>
        <v>0</v>
      </c>
      <c r="D61" s="39">
        <f t="shared" si="3"/>
        <v>20</v>
      </c>
      <c r="E61" s="256">
        <f>IF(B61="heat",VLOOKUP(A61,WeightedSavings!$E$10:$K$81,5,FALSE), IF(B61="cool",0, IF(B61="DHW",VLOOKUP(A61,WeightedSavings!$E$10:K134,6,FALSE))))</f>
        <v>19560.591</v>
      </c>
      <c r="F61" s="39"/>
      <c r="G61" s="257" t="str">
        <f t="shared" si="0"/>
        <v>ResDHW</v>
      </c>
      <c r="H61" s="39">
        <f>IF(B61="heat",VLOOKUP($A61,WeightedSavings!$E$10:$K$81,5,FALSE),0)</f>
        <v>0</v>
      </c>
    </row>
    <row r="62" spans="1:8" customFormat="1" ht="25.5">
      <c r="A62" s="255" t="str">
        <f>INDEX(WeightedSavings!$E$10:$E$81,FLOOR((ROW(A57))/3,1))</f>
        <v>Ground Source Heat Pump Upgrade from Air Source Heat Pump - With Desuperheater - New House less than 4000 square feet - Heating Zone 1 - Cooling Zone 1</v>
      </c>
      <c r="B62" s="255" t="str">
        <f>B59</f>
        <v>heat</v>
      </c>
      <c r="C62" s="39">
        <f>IF(B62="heat",VLOOKUP($A62,WeightedSavings!$E$10:$K$81,2,FALSE),IF(B62="cool",VLOOKUP($A62,WeightedSavings!$E$10:$K$81,3,FALSE),IF(B62="DHW",VLOOKUP($A62,WeightedSavings!$E$10:$K$81,4,FALSE),0)))</f>
        <v>318.22593693910511</v>
      </c>
      <c r="D62" s="39">
        <f t="shared" ref="D62:D70" si="4">D53</f>
        <v>20</v>
      </c>
      <c r="E62" s="256">
        <f>IF(B62="heat",VLOOKUP(A62,WeightedSavings!$E$10:$K$81,5,FALSE), IF(B62="cool",0, IF(B62="DHW",VLOOKUP(A62,WeightedSavings!$E$10:K135,6,FALSE))))</f>
        <v>45.720399079587551</v>
      </c>
      <c r="F62" s="39"/>
      <c r="G62" s="257" t="str">
        <f t="shared" si="0"/>
        <v>ResSpHtHPZ1</v>
      </c>
      <c r="H62" s="39">
        <f>IF(B62="heat",VLOOKUP($A62,WeightedSavings!$E$10:$K$81,5,FALSE),0)</f>
        <v>45.720399079587551</v>
      </c>
    </row>
    <row r="63" spans="1:8" customFormat="1" ht="25.5">
      <c r="A63" s="255" t="str">
        <f>INDEX(WeightedSavings!$E$10:$E$81,FLOOR((ROW(A58))/3,1))</f>
        <v>Ground Source Heat Pump Upgrade from Air Source Heat Pump - With Desuperheater - New House less than 4000 square feet - Heating Zone 1 - Cooling Zone 1</v>
      </c>
      <c r="B63" s="255" t="str">
        <f>B60</f>
        <v>cool</v>
      </c>
      <c r="C63" s="39">
        <f>IF(B63="heat",VLOOKUP($A63,WeightedSavings!$E$10:$K$81,2,FALSE),IF(B63="cool",VLOOKUP($A63,WeightedSavings!$E$10:$K$81,3,FALSE),IF(B63="DHW",VLOOKUP($A63,WeightedSavings!$E$10:$K$81,4,FALSE),0)))</f>
        <v>34.928832212499998</v>
      </c>
      <c r="D63" s="39">
        <f t="shared" si="4"/>
        <v>20</v>
      </c>
      <c r="E63" s="256">
        <f>IF(B63="heat",VLOOKUP(A63,WeightedSavings!$E$10:$K$81,5,FALSE), IF(B63="cool",0, IF(B63="DHW",VLOOKUP(A63,WeightedSavings!$E$10:K136,6,FALSE))))</f>
        <v>0</v>
      </c>
      <c r="F63" s="39"/>
      <c r="G63" s="257" t="str">
        <f t="shared" si="0"/>
        <v>ResCACPNW</v>
      </c>
      <c r="H63" s="39">
        <f>IF(B63="heat",VLOOKUP($A63,WeightedSavings!$E$10:$K$81,5,FALSE),0)</f>
        <v>0</v>
      </c>
    </row>
    <row r="64" spans="1:8" customFormat="1" ht="25.5">
      <c r="A64" s="255" t="str">
        <f>INDEX(WeightedSavings!$E$10:$E$81,FLOOR((ROW(A59))/3,1))</f>
        <v>Ground Source Heat Pump Upgrade from Air Source Heat Pump - With Desuperheater - New House less than 4000 square feet - Heating Zone 1 - Cooling Zone 1</v>
      </c>
      <c r="B64" s="255" t="str">
        <f>B61</f>
        <v>dhw</v>
      </c>
      <c r="C64" s="39">
        <f>IF(B64="heat",VLOOKUP($A64,WeightedSavings!$E$10:$K$81,2,FALSE),IF(B64="cool",VLOOKUP($A64,WeightedSavings!$E$10:$K$81,3,FALSE),IF(B64="DHW",VLOOKUP($A64,WeightedSavings!$E$10:$K$81,4,FALSE),0)))</f>
        <v>1362.5296059375</v>
      </c>
      <c r="D64" s="39">
        <f t="shared" si="4"/>
        <v>20</v>
      </c>
      <c r="E64" s="256">
        <f>IF(B64="heat",VLOOKUP(A64,WeightedSavings!$E$10:$K$81,5,FALSE), IF(B64="cool",0, IF(B64="DHW",VLOOKUP(A64,WeightedSavings!$E$10:K137,6,FALSE))))</f>
        <v>4097.9850750000005</v>
      </c>
      <c r="F64" s="39"/>
      <c r="G64" s="257" t="str">
        <f t="shared" si="0"/>
        <v>ResDHW</v>
      </c>
      <c r="H64" s="39">
        <f>IF(B64="heat",VLOOKUP($A64,WeightedSavings!$E$10:$K$81,5,FALSE),0)</f>
        <v>0</v>
      </c>
    </row>
    <row r="65" spans="1:8" customFormat="1" ht="25.5">
      <c r="A65" s="255" t="str">
        <f>INDEX(WeightedSavings!$E$10:$E$81,FLOOR((ROW(A60))/3,1))</f>
        <v>Ground Source Heat Pump Upgrade from Air Source Heat Pump - With Desuperheater - New House less than 4000 square feet - Heating Zone 1 - Cooling Zone 2</v>
      </c>
      <c r="B65" s="255" t="str">
        <f t="shared" si="2"/>
        <v>heat</v>
      </c>
      <c r="C65" s="39">
        <f>IF(B65="heat",VLOOKUP($A65,WeightedSavings!$E$10:$K$81,2,FALSE),IF(B65="cool",VLOOKUP($A65,WeightedSavings!$E$10:$K$81,3,FALSE),IF(B65="DHW",VLOOKUP($A65,WeightedSavings!$E$10:$K$81,4,FALSE),0)))</f>
        <v>318.22593693910511</v>
      </c>
      <c r="D65" s="39">
        <f t="shared" si="4"/>
        <v>20</v>
      </c>
      <c r="E65" s="256">
        <f>IF(B65="heat",VLOOKUP(A65,WeightedSavings!$E$10:$K$81,5,FALSE), IF(B65="cool",0, IF(B65="DHW",VLOOKUP(A65,WeightedSavings!$E$10:K138,6,FALSE))))</f>
        <v>45.720399079587551</v>
      </c>
      <c r="F65" s="39"/>
      <c r="G65" s="257" t="str">
        <f t="shared" si="0"/>
        <v>ResSpHtHPZ1</v>
      </c>
      <c r="H65" s="39">
        <f>IF(B65="heat",VLOOKUP($A65,WeightedSavings!$E$10:$K$81,5,FALSE),0)</f>
        <v>45.720399079587551</v>
      </c>
    </row>
    <row r="66" spans="1:8" customFormat="1" ht="25.5">
      <c r="A66" s="255" t="str">
        <f>INDEX(WeightedSavings!$E$10:$E$81,FLOOR((ROW(A61))/3,1))</f>
        <v>Ground Source Heat Pump Upgrade from Air Source Heat Pump - With Desuperheater - New House less than 4000 square feet - Heating Zone 1 - Cooling Zone 2</v>
      </c>
      <c r="B66" s="255" t="str">
        <f t="shared" si="2"/>
        <v>cool</v>
      </c>
      <c r="C66" s="39">
        <f>IF(B66="heat",VLOOKUP($A66,WeightedSavings!$E$10:$K$81,2,FALSE),IF(B66="cool",VLOOKUP($A66,WeightedSavings!$E$10:$K$81,3,FALSE),IF(B66="DHW",VLOOKUP($A66,WeightedSavings!$E$10:$K$81,4,FALSE),0)))</f>
        <v>109.77748595535709</v>
      </c>
      <c r="D66" s="39">
        <f t="shared" si="4"/>
        <v>20</v>
      </c>
      <c r="E66" s="256">
        <f>IF(B66="heat",VLOOKUP(A66,WeightedSavings!$E$10:$K$81,5,FALSE), IF(B66="cool",0, IF(B66="DHW",VLOOKUP(A66,WeightedSavings!$E$10:K139,6,FALSE))))</f>
        <v>0</v>
      </c>
      <c r="F66" s="39"/>
      <c r="G66" s="257" t="str">
        <f t="shared" si="0"/>
        <v>ResCACPNW</v>
      </c>
      <c r="H66" s="39">
        <f>IF(B66="heat",VLOOKUP($A66,WeightedSavings!$E$10:$K$81,5,FALSE),0)</f>
        <v>0</v>
      </c>
    </row>
    <row r="67" spans="1:8" customFormat="1" ht="25.5">
      <c r="A67" s="255" t="str">
        <f>INDEX(WeightedSavings!$E$10:$E$81,FLOOR((ROW(A62))/3,1))</f>
        <v>Ground Source Heat Pump Upgrade from Air Source Heat Pump - With Desuperheater - New House less than 4000 square feet - Heating Zone 1 - Cooling Zone 2</v>
      </c>
      <c r="B67" s="255" t="str">
        <f t="shared" si="2"/>
        <v>dhw</v>
      </c>
      <c r="C67" s="39">
        <f>IF(B67="heat",VLOOKUP($A67,WeightedSavings!$E$10:$K$81,2,FALSE),IF(B67="cool",VLOOKUP($A67,WeightedSavings!$E$10:$K$81,3,FALSE),IF(B67="DHW",VLOOKUP($A67,WeightedSavings!$E$10:$K$81,4,FALSE),0)))</f>
        <v>1362.5296059375</v>
      </c>
      <c r="D67" s="39">
        <f t="shared" si="4"/>
        <v>20</v>
      </c>
      <c r="E67" s="256">
        <f>IF(B67="heat",VLOOKUP(A67,WeightedSavings!$E$10:$K$81,5,FALSE), IF(B67="cool",0, IF(B67="DHW",VLOOKUP(A67,WeightedSavings!$E$10:K140,6,FALSE))))</f>
        <v>4097.9850750000005</v>
      </c>
      <c r="F67" s="39"/>
      <c r="G67" s="257" t="str">
        <f t="shared" si="0"/>
        <v>ResDHW</v>
      </c>
      <c r="H67" s="39">
        <f>IF(B67="heat",VLOOKUP($A67,WeightedSavings!$E$10:$K$81,5,FALSE),0)</f>
        <v>0</v>
      </c>
    </row>
    <row r="68" spans="1:8" customFormat="1" ht="25.5">
      <c r="A68" s="255" t="str">
        <f>INDEX(WeightedSavings!$E$10:$E$81,FLOOR((ROW(A63))/3,1))</f>
        <v>Ground Source Heat Pump Upgrade from Air Source Heat Pump - With Desuperheater - New House less than 4000 square feet - Heating Zone 1 - Cooling Zone 3</v>
      </c>
      <c r="B68" s="255" t="str">
        <f t="shared" si="2"/>
        <v>heat</v>
      </c>
      <c r="C68" s="39">
        <f>IF(B68="heat",VLOOKUP($A68,WeightedSavings!$E$10:$K$81,2,FALSE),IF(B68="cool",VLOOKUP($A68,WeightedSavings!$E$10:$K$81,3,FALSE),IF(B68="DHW",VLOOKUP($A68,WeightedSavings!$E$10:$K$81,4,FALSE),0)))</f>
        <v>318.22593693910511</v>
      </c>
      <c r="D68" s="39">
        <f t="shared" si="4"/>
        <v>20</v>
      </c>
      <c r="E68" s="256">
        <f>IF(B68="heat",VLOOKUP(A68,WeightedSavings!$E$10:$K$81,5,FALSE), IF(B68="cool",0, IF(B68="DHW",VLOOKUP(A68,WeightedSavings!$E$10:K141,6,FALSE))))</f>
        <v>45.720399079587551</v>
      </c>
      <c r="F68" s="39"/>
      <c r="G68" s="257" t="str">
        <f t="shared" si="0"/>
        <v>ResSpHtHPZ1</v>
      </c>
      <c r="H68" s="39">
        <f>IF(B68="heat",VLOOKUP($A68,WeightedSavings!$E$10:$K$81,5,FALSE),0)</f>
        <v>45.720399079587551</v>
      </c>
    </row>
    <row r="69" spans="1:8" customFormat="1" ht="25.5">
      <c r="A69" s="255" t="str">
        <f>INDEX(WeightedSavings!$E$10:$E$81,FLOOR((ROW(A64))/3,1))</f>
        <v>Ground Source Heat Pump Upgrade from Air Source Heat Pump - With Desuperheater - New House less than 4000 square feet - Heating Zone 1 - Cooling Zone 3</v>
      </c>
      <c r="B69" s="255" t="str">
        <f t="shared" si="2"/>
        <v>cool</v>
      </c>
      <c r="C69" s="39">
        <f>IF(B69="heat",VLOOKUP($A69,WeightedSavings!$E$10:$K$81,2,FALSE),IF(B69="cool",VLOOKUP($A69,WeightedSavings!$E$10:$K$81,3,FALSE),IF(B69="DHW",VLOOKUP($A69,WeightedSavings!$E$10:$K$81,4,FALSE),0)))</f>
        <v>232.84251668392858</v>
      </c>
      <c r="D69" s="39">
        <f t="shared" si="4"/>
        <v>20</v>
      </c>
      <c r="E69" s="256">
        <f>IF(B69="heat",VLOOKUP(A69,WeightedSavings!$E$10:$K$81,5,FALSE), IF(B69="cool",0, IF(B69="DHW",VLOOKUP(A69,WeightedSavings!$E$10:K142,6,FALSE))))</f>
        <v>0</v>
      </c>
      <c r="F69" s="39"/>
      <c r="G69" s="257" t="str">
        <f t="shared" si="0"/>
        <v>ResCACPNW</v>
      </c>
      <c r="H69" s="39">
        <f>IF(B69="heat",VLOOKUP($A69,WeightedSavings!$E$10:$K$81,5,FALSE),0)</f>
        <v>0</v>
      </c>
    </row>
    <row r="70" spans="1:8" customFormat="1" ht="25.5">
      <c r="A70" s="255" t="str">
        <f>INDEX(WeightedSavings!$E$10:$E$81,FLOOR((ROW(A65))/3,1))</f>
        <v>Ground Source Heat Pump Upgrade from Air Source Heat Pump - With Desuperheater - New House less than 4000 square feet - Heating Zone 1 - Cooling Zone 3</v>
      </c>
      <c r="B70" s="255" t="str">
        <f t="shared" si="2"/>
        <v>dhw</v>
      </c>
      <c r="C70" s="39">
        <f>IF(B70="heat",VLOOKUP($A70,WeightedSavings!$E$10:$K$81,2,FALSE),IF(B70="cool",VLOOKUP($A70,WeightedSavings!$E$10:$K$81,3,FALSE),IF(B70="DHW",VLOOKUP($A70,WeightedSavings!$E$10:$K$81,4,FALSE),0)))</f>
        <v>1362.5296059375</v>
      </c>
      <c r="D70" s="39">
        <f t="shared" si="4"/>
        <v>20</v>
      </c>
      <c r="E70" s="256">
        <f>IF(B70="heat",VLOOKUP(A70,WeightedSavings!$E$10:$K$81,5,FALSE), IF(B70="cool",0, IF(B70="DHW",VLOOKUP(A70,WeightedSavings!$E$10:K143,6,FALSE))))</f>
        <v>4097.9850750000005</v>
      </c>
      <c r="F70" s="39"/>
      <c r="G70" s="257" t="str">
        <f t="shared" si="0"/>
        <v>ResDHW</v>
      </c>
      <c r="H70" s="39">
        <f>IF(B70="heat",VLOOKUP($A70,WeightedSavings!$E$10:$K$81,5,FALSE),0)</f>
        <v>0</v>
      </c>
    </row>
    <row r="71" spans="1:8" customFormat="1" ht="25.5">
      <c r="A71" s="255" t="str">
        <f>INDEX(WeightedSavings!$E$10:$E$81,FLOOR((ROW(A66))/3,1))</f>
        <v>Ground Source Heat Pump Upgrade from Air Source Heat Pump - With Desuperheater - New House less than 4000 square feet - Heating Zone 2 - Cooling Zone 1</v>
      </c>
      <c r="B71" s="255" t="str">
        <f t="shared" si="2"/>
        <v>heat</v>
      </c>
      <c r="C71" s="39">
        <f>IF(B71="heat",VLOOKUP($A71,WeightedSavings!$E$10:$K$81,2,FALSE),IF(B71="cool",VLOOKUP($A71,WeightedSavings!$E$10:$K$81,3,FALSE),IF(B71="DHW",VLOOKUP($A71,WeightedSavings!$E$10:$K$81,4,FALSE),0)))</f>
        <v>1114.0280433216483</v>
      </c>
      <c r="D71" s="39">
        <f t="shared" si="3"/>
        <v>20</v>
      </c>
      <c r="E71" s="256">
        <f>IF(B71="heat",VLOOKUP(A71,WeightedSavings!$E$10:$K$81,5,FALSE), IF(B71="cool",0, IF(B71="DHW",VLOOKUP(A71,WeightedSavings!$E$10:K144,6,FALSE))))</f>
        <v>46.119765184035444</v>
      </c>
      <c r="F71" s="39"/>
      <c r="G71" s="257" t="str">
        <f t="shared" si="0"/>
        <v>ResSpHtHPZ2</v>
      </c>
      <c r="H71" s="39">
        <f>IF(B71="heat",VLOOKUP($A71,WeightedSavings!$E$10:$K$81,5,FALSE),0)</f>
        <v>46.119765184035444</v>
      </c>
    </row>
    <row r="72" spans="1:8" customFormat="1" ht="25.5">
      <c r="A72" s="255" t="str">
        <f>INDEX(WeightedSavings!$E$10:$E$81,FLOOR((ROW(A67))/3,1))</f>
        <v>Ground Source Heat Pump Upgrade from Air Source Heat Pump - With Desuperheater - New House less than 4000 square feet - Heating Zone 2 - Cooling Zone 1</v>
      </c>
      <c r="B72" s="255" t="str">
        <f t="shared" si="2"/>
        <v>cool</v>
      </c>
      <c r="C72" s="39">
        <f>IF(B72="heat",VLOOKUP($A72,WeightedSavings!$E$10:$K$81,2,FALSE),IF(B72="cool",VLOOKUP($A72,WeightedSavings!$E$10:$K$81,3,FALSE),IF(B72="DHW",VLOOKUP($A72,WeightedSavings!$E$10:$K$81,4,FALSE),0)))</f>
        <v>34.928832212499998</v>
      </c>
      <c r="D72" s="39">
        <f t="shared" si="3"/>
        <v>20</v>
      </c>
      <c r="E72" s="256">
        <f>IF(B72="heat",VLOOKUP(A72,WeightedSavings!$E$10:$K$81,5,FALSE), IF(B72="cool",0, IF(B72="DHW",VLOOKUP(A72,WeightedSavings!$E$10:K145,6,FALSE))))</f>
        <v>0</v>
      </c>
      <c r="F72" s="39"/>
      <c r="G72" s="257" t="str">
        <f t="shared" si="0"/>
        <v>ResCACPNW</v>
      </c>
      <c r="H72" s="39">
        <f>IF(B72="heat",VLOOKUP($A72,WeightedSavings!$E$10:$K$81,5,FALSE),0)</f>
        <v>0</v>
      </c>
    </row>
    <row r="73" spans="1:8" customFormat="1" ht="25.5">
      <c r="A73" s="255" t="str">
        <f>INDEX(WeightedSavings!$E$10:$E$81,FLOOR((ROW(A68))/3,1))</f>
        <v>Ground Source Heat Pump Upgrade from Air Source Heat Pump - With Desuperheater - New House less than 4000 square feet - Heating Zone 2 - Cooling Zone 1</v>
      </c>
      <c r="B73" s="255" t="str">
        <f t="shared" si="2"/>
        <v>dhw</v>
      </c>
      <c r="C73" s="39">
        <f>IF(B73="heat",VLOOKUP($A73,WeightedSavings!$E$10:$K$81,2,FALSE),IF(B73="cool",VLOOKUP($A73,WeightedSavings!$E$10:$K$81,3,FALSE),IF(B73="DHW",VLOOKUP($A73,WeightedSavings!$E$10:$K$81,4,FALSE),0)))</f>
        <v>1907.05213155</v>
      </c>
      <c r="D73" s="39">
        <f t="shared" si="3"/>
        <v>20</v>
      </c>
      <c r="E73" s="256">
        <f>IF(B73="heat",VLOOKUP(A73,WeightedSavings!$E$10:$K$81,5,FALSE), IF(B73="cool",0, IF(B73="DHW",VLOOKUP(A73,WeightedSavings!$E$10:K146,6,FALSE))))</f>
        <v>8135.5023250000022</v>
      </c>
      <c r="F73" s="39"/>
      <c r="G73" s="257" t="str">
        <f t="shared" ref="G73:G136" si="5">IF(B73="heat",IF(MID(A73,SEARCH("Heating Zone",A73)+13,1)="1","ResSpHtHPZ1",IF(MID(A73,SEARCH("Heating Zone",A73)+13,1)="2","ResSpHtHPZ2","ResSpHtHPZ3")),IF(B73="cool","ResCACPNW",IF(B73="DHW","ResDHW")))</f>
        <v>ResDHW</v>
      </c>
      <c r="H73" s="39">
        <f>IF(B73="heat",VLOOKUP($A73,WeightedSavings!$E$10:$K$81,5,FALSE),0)</f>
        <v>0</v>
      </c>
    </row>
    <row r="74" spans="1:8" customFormat="1" ht="25.5">
      <c r="A74" s="255" t="str">
        <f>INDEX(WeightedSavings!$E$10:$E$81,FLOOR((ROW(A69))/3,1))</f>
        <v>Ground Source Heat Pump Upgrade from Air Source Heat Pump - With Desuperheater - New House less than 4000 square feet - Heating Zone 2 - Cooling Zone 2</v>
      </c>
      <c r="B74" s="255" t="str">
        <f t="shared" si="2"/>
        <v>heat</v>
      </c>
      <c r="C74" s="39">
        <f>IF(B74="heat",VLOOKUP($A74,WeightedSavings!$E$10:$K$81,2,FALSE),IF(B74="cool",VLOOKUP($A74,WeightedSavings!$E$10:$K$81,3,FALSE),IF(B74="DHW",VLOOKUP($A74,WeightedSavings!$E$10:$K$81,4,FALSE),0)))</f>
        <v>1114.0280433216483</v>
      </c>
      <c r="D74" s="39">
        <f t="shared" si="3"/>
        <v>20</v>
      </c>
      <c r="E74" s="256">
        <f>IF(B74="heat",VLOOKUP(A74,WeightedSavings!$E$10:$K$81,5,FALSE), IF(B74="cool",0, IF(B74="DHW",VLOOKUP(A74,WeightedSavings!$E$10:K147,6,FALSE))))</f>
        <v>46.119765184035444</v>
      </c>
      <c r="F74" s="39"/>
      <c r="G74" s="257" t="str">
        <f t="shared" si="5"/>
        <v>ResSpHtHPZ2</v>
      </c>
      <c r="H74" s="39">
        <f>IF(B74="heat",VLOOKUP($A74,WeightedSavings!$E$10:$K$81,5,FALSE),0)</f>
        <v>46.119765184035444</v>
      </c>
    </row>
    <row r="75" spans="1:8" customFormat="1" ht="25.5">
      <c r="A75" s="255" t="str">
        <f>INDEX(WeightedSavings!$E$10:$E$81,FLOOR((ROW(A70))/3,1))</f>
        <v>Ground Source Heat Pump Upgrade from Air Source Heat Pump - With Desuperheater - New House less than 4000 square feet - Heating Zone 2 - Cooling Zone 2</v>
      </c>
      <c r="B75" s="255" t="str">
        <f t="shared" si="2"/>
        <v>cool</v>
      </c>
      <c r="C75" s="39">
        <f>IF(B75="heat",VLOOKUP($A75,WeightedSavings!$E$10:$K$81,2,FALSE),IF(B75="cool",VLOOKUP($A75,WeightedSavings!$E$10:$K$81,3,FALSE),IF(B75="DHW",VLOOKUP($A75,WeightedSavings!$E$10:$K$81,4,FALSE),0)))</f>
        <v>109.77748595535709</v>
      </c>
      <c r="D75" s="39">
        <f t="shared" si="3"/>
        <v>20</v>
      </c>
      <c r="E75" s="256">
        <f>IF(B75="heat",VLOOKUP(A75,WeightedSavings!$E$10:$K$81,5,FALSE), IF(B75="cool",0, IF(B75="DHW",VLOOKUP(A75,WeightedSavings!$E$10:K148,6,FALSE))))</f>
        <v>0</v>
      </c>
      <c r="F75" s="39"/>
      <c r="G75" s="257" t="str">
        <f t="shared" si="5"/>
        <v>ResCACPNW</v>
      </c>
      <c r="H75" s="39">
        <f>IF(B75="heat",VLOOKUP($A75,WeightedSavings!$E$10:$K$81,5,FALSE),0)</f>
        <v>0</v>
      </c>
    </row>
    <row r="76" spans="1:8" customFormat="1" ht="25.5">
      <c r="A76" s="255" t="str">
        <f>INDEX(WeightedSavings!$E$10:$E$81,FLOOR((ROW(A71))/3,1))</f>
        <v>Ground Source Heat Pump Upgrade from Air Source Heat Pump - With Desuperheater - New House less than 4000 square feet - Heating Zone 2 - Cooling Zone 2</v>
      </c>
      <c r="B76" s="255" t="str">
        <f t="shared" ref="B76:B139" si="6">B73</f>
        <v>dhw</v>
      </c>
      <c r="C76" s="39">
        <f>IF(B76="heat",VLOOKUP($A76,WeightedSavings!$E$10:$K$81,2,FALSE),IF(B76="cool",VLOOKUP($A76,WeightedSavings!$E$10:$K$81,3,FALSE),IF(B76="DHW",VLOOKUP($A76,WeightedSavings!$E$10:$K$81,4,FALSE),0)))</f>
        <v>1907.05213155</v>
      </c>
      <c r="D76" s="39">
        <f t="shared" si="3"/>
        <v>20</v>
      </c>
      <c r="E76" s="256">
        <f>IF(B76="heat",VLOOKUP(A76,WeightedSavings!$E$10:$K$81,5,FALSE), IF(B76="cool",0, IF(B76="DHW",VLOOKUP(A76,WeightedSavings!$E$10:K149,6,FALSE))))</f>
        <v>8135.5023250000022</v>
      </c>
      <c r="F76" s="39"/>
      <c r="G76" s="257" t="str">
        <f t="shared" si="5"/>
        <v>ResDHW</v>
      </c>
      <c r="H76" s="39">
        <f>IF(B76="heat",VLOOKUP($A76,WeightedSavings!$E$10:$K$81,5,FALSE),0)</f>
        <v>0</v>
      </c>
    </row>
    <row r="77" spans="1:8" customFormat="1" ht="25.5">
      <c r="A77" s="255" t="str">
        <f>INDEX(WeightedSavings!$E$10:$E$81,FLOOR((ROW(A72))/3,1))</f>
        <v>Ground Source Heat Pump Upgrade from Air Source Heat Pump - With Desuperheater - New House less than 4000 square feet - Heating Zone 2 - Cooling Zone 3</v>
      </c>
      <c r="B77" s="255" t="str">
        <f t="shared" si="6"/>
        <v>heat</v>
      </c>
      <c r="C77" s="39">
        <f>IF(B77="heat",VLOOKUP($A77,WeightedSavings!$E$10:$K$81,2,FALSE),IF(B77="cool",VLOOKUP($A77,WeightedSavings!$E$10:$K$81,3,FALSE),IF(B77="DHW",VLOOKUP($A77,WeightedSavings!$E$10:$K$81,4,FALSE),0)))</f>
        <v>1114.0280433216483</v>
      </c>
      <c r="D77" s="39">
        <f t="shared" si="3"/>
        <v>20</v>
      </c>
      <c r="E77" s="256">
        <f>IF(B77="heat",VLOOKUP(A77,WeightedSavings!$E$10:$K$81,5,FALSE), IF(B77="cool",0, IF(B77="DHW",VLOOKUP(A77,WeightedSavings!$E$10:K150,6,FALSE))))</f>
        <v>46.119765184035444</v>
      </c>
      <c r="F77" s="39"/>
      <c r="G77" s="257" t="str">
        <f t="shared" si="5"/>
        <v>ResSpHtHPZ2</v>
      </c>
      <c r="H77" s="39">
        <f>IF(B77="heat",VLOOKUP($A77,WeightedSavings!$E$10:$K$81,5,FALSE),0)</f>
        <v>46.119765184035444</v>
      </c>
    </row>
    <row r="78" spans="1:8" customFormat="1" ht="25.5">
      <c r="A78" s="255" t="str">
        <f>INDEX(WeightedSavings!$E$10:$E$81,FLOOR((ROW(A73))/3,1))</f>
        <v>Ground Source Heat Pump Upgrade from Air Source Heat Pump - With Desuperheater - New House less than 4000 square feet - Heating Zone 2 - Cooling Zone 3</v>
      </c>
      <c r="B78" s="255" t="str">
        <f t="shared" si="6"/>
        <v>cool</v>
      </c>
      <c r="C78" s="39">
        <f>IF(B78="heat",VLOOKUP($A78,WeightedSavings!$E$10:$K$81,2,FALSE),IF(B78="cool",VLOOKUP($A78,WeightedSavings!$E$10:$K$81,3,FALSE),IF(B78="DHW",VLOOKUP($A78,WeightedSavings!$E$10:$K$81,4,FALSE),0)))</f>
        <v>232.84251668392858</v>
      </c>
      <c r="D78" s="39">
        <f t="shared" si="3"/>
        <v>20</v>
      </c>
      <c r="E78" s="256">
        <f>IF(B78="heat",VLOOKUP(A78,WeightedSavings!$E$10:$K$81,5,FALSE), IF(B78="cool",0, IF(B78="DHW",VLOOKUP(A78,WeightedSavings!$E$10:K151,6,FALSE))))</f>
        <v>0</v>
      </c>
      <c r="F78" s="39"/>
      <c r="G78" s="257" t="str">
        <f t="shared" si="5"/>
        <v>ResCACPNW</v>
      </c>
      <c r="H78" s="39">
        <f>IF(B78="heat",VLOOKUP($A78,WeightedSavings!$E$10:$K$81,5,FALSE),0)</f>
        <v>0</v>
      </c>
    </row>
    <row r="79" spans="1:8" customFormat="1" ht="25.5">
      <c r="A79" s="255" t="str">
        <f>INDEX(WeightedSavings!$E$10:$E$81,FLOOR((ROW(A74))/3,1))</f>
        <v>Ground Source Heat Pump Upgrade from Air Source Heat Pump - With Desuperheater - New House less than 4000 square feet - Heating Zone 2 - Cooling Zone 3</v>
      </c>
      <c r="B79" s="255" t="str">
        <f t="shared" si="6"/>
        <v>dhw</v>
      </c>
      <c r="C79" s="39">
        <f>IF(B79="heat",VLOOKUP($A79,WeightedSavings!$E$10:$K$81,2,FALSE),IF(B79="cool",VLOOKUP($A79,WeightedSavings!$E$10:$K$81,3,FALSE),IF(B79="DHW",VLOOKUP($A79,WeightedSavings!$E$10:$K$81,4,FALSE),0)))</f>
        <v>1907.05213155</v>
      </c>
      <c r="D79" s="39">
        <f t="shared" si="3"/>
        <v>20</v>
      </c>
      <c r="E79" s="256">
        <f>IF(B79="heat",VLOOKUP(A79,WeightedSavings!$E$10:$K$81,5,FALSE), IF(B79="cool",0, IF(B79="DHW",VLOOKUP(A79,WeightedSavings!$E$10:K152,6,FALSE))))</f>
        <v>8135.5023250000022</v>
      </c>
      <c r="F79" s="39"/>
      <c r="G79" s="257" t="str">
        <f t="shared" si="5"/>
        <v>ResDHW</v>
      </c>
      <c r="H79" s="39">
        <f>IF(B79="heat",VLOOKUP($A79,WeightedSavings!$E$10:$K$81,5,FALSE),0)</f>
        <v>0</v>
      </c>
    </row>
    <row r="80" spans="1:8" customFormat="1" ht="25.5">
      <c r="A80" s="255" t="str">
        <f>INDEX(WeightedSavings!$E$10:$E$81,FLOOR((ROW(A75))/3,1))</f>
        <v>Ground Source Heat Pump Upgrade from Air Source Heat Pump - With Desuperheater - New House less than 4000 square feet - Heating Zone 3 - Cooling Zone 1</v>
      </c>
      <c r="B80" s="255" t="str">
        <f t="shared" si="6"/>
        <v>heat</v>
      </c>
      <c r="C80" s="39">
        <f>IF(B80="heat",VLOOKUP($A80,WeightedSavings!$E$10:$K$81,2,FALSE),IF(B80="cool",VLOOKUP($A80,WeightedSavings!$E$10:$K$81,3,FALSE),IF(B80="DHW",VLOOKUP($A80,WeightedSavings!$E$10:$K$81,4,FALSE),0)))</f>
        <v>1747.517137237355</v>
      </c>
      <c r="D80" s="39">
        <f t="shared" si="3"/>
        <v>20</v>
      </c>
      <c r="E80" s="256">
        <f>IF(B80="heat",VLOOKUP(A80,WeightedSavings!$E$10:$K$81,5,FALSE), IF(B80="cool",0, IF(B80="DHW",VLOOKUP(A80,WeightedSavings!$E$10:K153,6,FALSE))))</f>
        <v>49.943845541875454</v>
      </c>
      <c r="F80" s="39"/>
      <c r="G80" s="257" t="str">
        <f t="shared" si="5"/>
        <v>ResSpHtHPZ3</v>
      </c>
      <c r="H80" s="39">
        <f>IF(B80="heat",VLOOKUP($A80,WeightedSavings!$E$10:$K$81,5,FALSE),0)</f>
        <v>49.943845541875454</v>
      </c>
    </row>
    <row r="81" spans="1:8" customFormat="1" ht="25.5">
      <c r="A81" s="255" t="str">
        <f>INDEX(WeightedSavings!$E$10:$E$81,FLOOR((ROW(A76))/3,1))</f>
        <v>Ground Source Heat Pump Upgrade from Air Source Heat Pump - With Desuperheater - New House less than 4000 square feet - Heating Zone 3 - Cooling Zone 1</v>
      </c>
      <c r="B81" s="255" t="str">
        <f t="shared" si="6"/>
        <v>cool</v>
      </c>
      <c r="C81" s="39">
        <f>IF(B81="heat",VLOOKUP($A81,WeightedSavings!$E$10:$K$81,2,FALSE),IF(B81="cool",VLOOKUP($A81,WeightedSavings!$E$10:$K$81,3,FALSE),IF(B81="DHW",VLOOKUP($A81,WeightedSavings!$E$10:$K$81,4,FALSE),0)))</f>
        <v>34.928832212499998</v>
      </c>
      <c r="D81" s="39">
        <f t="shared" ref="D81:D144" si="7">D72</f>
        <v>20</v>
      </c>
      <c r="E81" s="256">
        <f>IF(B81="heat",VLOOKUP(A81,WeightedSavings!$E$10:$K$81,5,FALSE), IF(B81="cool",0, IF(B81="DHW",VLOOKUP(A81,WeightedSavings!$E$10:K154,6,FALSE))))</f>
        <v>0</v>
      </c>
      <c r="F81" s="39"/>
      <c r="G81" s="257" t="str">
        <f t="shared" si="5"/>
        <v>ResCACPNW</v>
      </c>
      <c r="H81" s="39">
        <f>IF(B81="heat",VLOOKUP($A81,WeightedSavings!$E$10:$K$81,5,FALSE),0)</f>
        <v>0</v>
      </c>
    </row>
    <row r="82" spans="1:8" customFormat="1" ht="25.5">
      <c r="A82" s="255" t="str">
        <f>INDEX(WeightedSavings!$E$10:$E$81,FLOOR((ROW(A77))/3,1))</f>
        <v>Ground Source Heat Pump Upgrade from Air Source Heat Pump - With Desuperheater - New House less than 4000 square feet - Heating Zone 3 - Cooling Zone 1</v>
      </c>
      <c r="B82" s="255" t="str">
        <f t="shared" si="6"/>
        <v>dhw</v>
      </c>
      <c r="C82" s="39">
        <f>IF(B82="heat",VLOOKUP($A82,WeightedSavings!$E$10:$K$81,2,FALSE),IF(B82="cool",VLOOKUP($A82,WeightedSavings!$E$10:$K$81,3,FALSE),IF(B82="DHW",VLOOKUP($A82,WeightedSavings!$E$10:$K$81,4,FALSE),0)))</f>
        <v>2199.8768644874999</v>
      </c>
      <c r="D82" s="39">
        <f t="shared" si="7"/>
        <v>20</v>
      </c>
      <c r="E82" s="256">
        <f>IF(B82="heat",VLOOKUP(A82,WeightedSavings!$E$10:$K$81,5,FALSE), IF(B82="cool",0, IF(B82="DHW",VLOOKUP(A82,WeightedSavings!$E$10:K155,6,FALSE))))</f>
        <v>13124.290349999999</v>
      </c>
      <c r="F82" s="39"/>
      <c r="G82" s="257" t="str">
        <f t="shared" si="5"/>
        <v>ResDHW</v>
      </c>
      <c r="H82" s="39">
        <f>IF(B82="heat",VLOOKUP($A82,WeightedSavings!$E$10:$K$81,5,FALSE),0)</f>
        <v>0</v>
      </c>
    </row>
    <row r="83" spans="1:8" customFormat="1" ht="25.5">
      <c r="A83" s="255" t="str">
        <f>INDEX(WeightedSavings!$E$10:$E$81,FLOOR((ROW(A78))/3,1))</f>
        <v>Ground Source Heat Pump Upgrade from Air Source Heat Pump - With Desuperheater - New House less than 4000 square feet - Heating Zone 3 - Cooling Zone 2</v>
      </c>
      <c r="B83" s="255" t="str">
        <f t="shared" si="6"/>
        <v>heat</v>
      </c>
      <c r="C83" s="39">
        <f>IF(B83="heat",VLOOKUP($A83,WeightedSavings!$E$10:$K$81,2,FALSE),IF(B83="cool",VLOOKUP($A83,WeightedSavings!$E$10:$K$81,3,FALSE),IF(B83="DHW",VLOOKUP($A83,WeightedSavings!$E$10:$K$81,4,FALSE),0)))</f>
        <v>1747.517137237355</v>
      </c>
      <c r="D83" s="39">
        <f t="shared" si="7"/>
        <v>20</v>
      </c>
      <c r="E83" s="256">
        <f>IF(B83="heat",VLOOKUP(A83,WeightedSavings!$E$10:$K$81,5,FALSE), IF(B83="cool",0, IF(B83="DHW",VLOOKUP(A83,WeightedSavings!$E$10:K156,6,FALSE))))</f>
        <v>49.943845541875454</v>
      </c>
      <c r="F83" s="39"/>
      <c r="G83" s="257" t="str">
        <f t="shared" si="5"/>
        <v>ResSpHtHPZ3</v>
      </c>
      <c r="H83" s="39">
        <f>IF(B83="heat",VLOOKUP($A83,WeightedSavings!$E$10:$K$81,5,FALSE),0)</f>
        <v>49.943845541875454</v>
      </c>
    </row>
    <row r="84" spans="1:8" customFormat="1" ht="25.5">
      <c r="A84" s="255" t="str">
        <f>INDEX(WeightedSavings!$E$10:$E$81,FLOOR((ROW(A79))/3,1))</f>
        <v>Ground Source Heat Pump Upgrade from Air Source Heat Pump - With Desuperheater - New House less than 4000 square feet - Heating Zone 3 - Cooling Zone 2</v>
      </c>
      <c r="B84" s="255" t="str">
        <f t="shared" si="6"/>
        <v>cool</v>
      </c>
      <c r="C84" s="39">
        <f>IF(B84="heat",VLOOKUP($A84,WeightedSavings!$E$10:$K$81,2,FALSE),IF(B84="cool",VLOOKUP($A84,WeightedSavings!$E$10:$K$81,3,FALSE),IF(B84="DHW",VLOOKUP($A84,WeightedSavings!$E$10:$K$81,4,FALSE),0)))</f>
        <v>109.77748595535709</v>
      </c>
      <c r="D84" s="39">
        <f t="shared" si="7"/>
        <v>20</v>
      </c>
      <c r="E84" s="256">
        <f>IF(B84="heat",VLOOKUP(A84,WeightedSavings!$E$10:$K$81,5,FALSE), IF(B84="cool",0, IF(B84="DHW",VLOOKUP(A84,WeightedSavings!$E$10:K157,6,FALSE))))</f>
        <v>0</v>
      </c>
      <c r="F84" s="39"/>
      <c r="G84" s="257" t="str">
        <f t="shared" si="5"/>
        <v>ResCACPNW</v>
      </c>
      <c r="H84" s="39">
        <f>IF(B84="heat",VLOOKUP($A84,WeightedSavings!$E$10:$K$81,5,FALSE),0)</f>
        <v>0</v>
      </c>
    </row>
    <row r="85" spans="1:8" customFormat="1" ht="25.5">
      <c r="A85" s="255" t="str">
        <f>INDEX(WeightedSavings!$E$10:$E$81,FLOOR((ROW(A80))/3,1))</f>
        <v>Ground Source Heat Pump Upgrade from Air Source Heat Pump - With Desuperheater - New House less than 4000 square feet - Heating Zone 3 - Cooling Zone 2</v>
      </c>
      <c r="B85" s="255" t="str">
        <f t="shared" si="6"/>
        <v>dhw</v>
      </c>
      <c r="C85" s="39">
        <f>IF(B85="heat",VLOOKUP($A85,WeightedSavings!$E$10:$K$81,2,FALSE),IF(B85="cool",VLOOKUP($A85,WeightedSavings!$E$10:$K$81,3,FALSE),IF(B85="DHW",VLOOKUP($A85,WeightedSavings!$E$10:$K$81,4,FALSE),0)))</f>
        <v>2199.8768644874999</v>
      </c>
      <c r="D85" s="39">
        <f t="shared" si="7"/>
        <v>20</v>
      </c>
      <c r="E85" s="256">
        <f>IF(B85="heat",VLOOKUP(A85,WeightedSavings!$E$10:$K$81,5,FALSE), IF(B85="cool",0, IF(B85="DHW",VLOOKUP(A85,WeightedSavings!$E$10:K158,6,FALSE))))</f>
        <v>13124.290349999999</v>
      </c>
      <c r="F85" s="39"/>
      <c r="G85" s="257" t="str">
        <f t="shared" si="5"/>
        <v>ResDHW</v>
      </c>
      <c r="H85" s="39">
        <f>IF(B85="heat",VLOOKUP($A85,WeightedSavings!$E$10:$K$81,5,FALSE),0)</f>
        <v>0</v>
      </c>
    </row>
    <row r="86" spans="1:8" customFormat="1" ht="25.5">
      <c r="A86" s="255" t="str">
        <f>INDEX(WeightedSavings!$E$10:$E$81,FLOOR((ROW(A81))/3,1))</f>
        <v>Ground Source Heat Pump Upgrade from Air Source Heat Pump - With Desuperheater - New House less than 4000 square feet - Heating Zone 3 - Cooling Zone 3</v>
      </c>
      <c r="B86" s="255" t="str">
        <f t="shared" si="6"/>
        <v>heat</v>
      </c>
      <c r="C86" s="39">
        <f>IF(B86="heat",VLOOKUP($A86,WeightedSavings!$E$10:$K$81,2,FALSE),IF(B86="cool",VLOOKUP($A86,WeightedSavings!$E$10:$K$81,3,FALSE),IF(B86="DHW",VLOOKUP($A86,WeightedSavings!$E$10:$K$81,4,FALSE),0)))</f>
        <v>1747.517137237355</v>
      </c>
      <c r="D86" s="39">
        <f t="shared" si="7"/>
        <v>20</v>
      </c>
      <c r="E86" s="256">
        <f>IF(B86="heat",VLOOKUP(A86,WeightedSavings!$E$10:$K$81,5,FALSE), IF(B86="cool",0, IF(B86="DHW",VLOOKUP(A86,WeightedSavings!$E$10:K159,6,FALSE))))</f>
        <v>49.943845541875454</v>
      </c>
      <c r="F86" s="39"/>
      <c r="G86" s="257" t="str">
        <f t="shared" si="5"/>
        <v>ResSpHtHPZ3</v>
      </c>
      <c r="H86" s="39">
        <f>IF(B86="heat",VLOOKUP($A86,WeightedSavings!$E$10:$K$81,5,FALSE),0)</f>
        <v>49.943845541875454</v>
      </c>
    </row>
    <row r="87" spans="1:8" customFormat="1" ht="25.5">
      <c r="A87" s="255" t="str">
        <f>INDEX(WeightedSavings!$E$10:$E$81,FLOOR((ROW(A82))/3,1))</f>
        <v>Ground Source Heat Pump Upgrade from Air Source Heat Pump - With Desuperheater - New House less than 4000 square feet - Heating Zone 3 - Cooling Zone 3</v>
      </c>
      <c r="B87" s="255" t="str">
        <f t="shared" si="6"/>
        <v>cool</v>
      </c>
      <c r="C87" s="39">
        <f>IF(B87="heat",VLOOKUP($A87,WeightedSavings!$E$10:$K$81,2,FALSE),IF(B87="cool",VLOOKUP($A87,WeightedSavings!$E$10:$K$81,3,FALSE),IF(B87="DHW",VLOOKUP($A87,WeightedSavings!$E$10:$K$81,4,FALSE),0)))</f>
        <v>232.84251668392858</v>
      </c>
      <c r="D87" s="39">
        <f t="shared" si="7"/>
        <v>20</v>
      </c>
      <c r="E87" s="256">
        <f>IF(B87="heat",VLOOKUP(A87,WeightedSavings!$E$10:$K$81,5,FALSE), IF(B87="cool",0, IF(B87="DHW",VLOOKUP(A87,WeightedSavings!$E$10:K160,6,FALSE))))</f>
        <v>0</v>
      </c>
      <c r="F87" s="39"/>
      <c r="G87" s="257" t="str">
        <f t="shared" si="5"/>
        <v>ResCACPNW</v>
      </c>
      <c r="H87" s="39">
        <f>IF(B87="heat",VLOOKUP($A87,WeightedSavings!$E$10:$K$81,5,FALSE),0)</f>
        <v>0</v>
      </c>
    </row>
    <row r="88" spans="1:8" customFormat="1" ht="25.5">
      <c r="A88" s="255" t="str">
        <f>INDEX(WeightedSavings!$E$10:$E$81,FLOOR((ROW(A83))/3,1))</f>
        <v>Ground Source Heat Pump Upgrade from Air Source Heat Pump - With Desuperheater - New House less than 4000 square feet - Heating Zone 3 - Cooling Zone 3</v>
      </c>
      <c r="B88" s="255" t="str">
        <f t="shared" si="6"/>
        <v>dhw</v>
      </c>
      <c r="C88" s="39">
        <f>IF(B88="heat",VLOOKUP($A88,WeightedSavings!$E$10:$K$81,2,FALSE),IF(B88="cool",VLOOKUP($A88,WeightedSavings!$E$10:$K$81,3,FALSE),IF(B88="DHW",VLOOKUP($A88,WeightedSavings!$E$10:$K$81,4,FALSE),0)))</f>
        <v>2199.8768644874999</v>
      </c>
      <c r="D88" s="39">
        <f t="shared" si="7"/>
        <v>20</v>
      </c>
      <c r="E88" s="256">
        <f>IF(B88="heat",VLOOKUP(A88,WeightedSavings!$E$10:$K$81,5,FALSE), IF(B88="cool",0, IF(B88="DHW",VLOOKUP(A88,WeightedSavings!$E$10:K161,6,FALSE))))</f>
        <v>13124.290349999999</v>
      </c>
      <c r="F88" s="39"/>
      <c r="G88" s="257" t="str">
        <f t="shared" si="5"/>
        <v>ResDHW</v>
      </c>
      <c r="H88" s="39">
        <f>IF(B88="heat",VLOOKUP($A88,WeightedSavings!$E$10:$K$81,5,FALSE),0)</f>
        <v>0</v>
      </c>
    </row>
    <row r="89" spans="1:8" customFormat="1" ht="25.5">
      <c r="A89" s="255" t="str">
        <f>INDEX(WeightedSavings!$E$10:$E$81,FLOOR((ROW(A84))/3,1))</f>
        <v>Ground Source Heat Pump Upgrade from Air Source Heat Pump - With Desuperheater - New House 4000 square feet or greater - Heating Zone 1 - Cooling Zone 1</v>
      </c>
      <c r="B89" s="255" t="str">
        <f t="shared" si="6"/>
        <v>heat</v>
      </c>
      <c r="C89" s="39">
        <f>IF(B89="heat",VLOOKUP($A89,WeightedSavings!$E$10:$K$81,2,FALSE),IF(B89="cool",VLOOKUP($A89,WeightedSavings!$E$10:$K$81,3,FALSE),IF(B89="DHW",VLOOKUP($A89,WeightedSavings!$E$10:$K$81,4,FALSE),0)))</f>
        <v>1068.7551114280368</v>
      </c>
      <c r="D89" s="39">
        <f t="shared" si="7"/>
        <v>20</v>
      </c>
      <c r="E89" s="256">
        <f>IF(B89="heat",VLOOKUP(A89,WeightedSavings!$E$10:$K$81,5,FALSE), IF(B89="cool",0, IF(B89="DHW",VLOOKUP(A89,WeightedSavings!$E$10:K162,6,FALSE))))</f>
        <v>87.708871445872504</v>
      </c>
      <c r="F89" s="39"/>
      <c r="G89" s="257" t="str">
        <f t="shared" si="5"/>
        <v>ResSpHtHPZ1</v>
      </c>
      <c r="H89" s="39">
        <f>IF(B89="heat",VLOOKUP($A89,WeightedSavings!$E$10:$K$81,5,FALSE),0)</f>
        <v>87.708871445872504</v>
      </c>
    </row>
    <row r="90" spans="1:8" customFormat="1" ht="25.5">
      <c r="A90" s="255" t="str">
        <f>INDEX(WeightedSavings!$E$10:$E$81,FLOOR((ROW(A85))/3,1))</f>
        <v>Ground Source Heat Pump Upgrade from Air Source Heat Pump - With Desuperheater - New House 4000 square feet or greater - Heating Zone 1 - Cooling Zone 1</v>
      </c>
      <c r="B90" s="255" t="str">
        <f t="shared" si="6"/>
        <v>cool</v>
      </c>
      <c r="C90" s="39">
        <f>IF(B90="heat",VLOOKUP($A90,WeightedSavings!$E$10:$K$81,2,FALSE),IF(B90="cool",VLOOKUP($A90,WeightedSavings!$E$10:$K$81,3,FALSE),IF(B90="DHW",VLOOKUP($A90,WeightedSavings!$E$10:$K$81,4,FALSE),0)))</f>
        <v>58.760069142857105</v>
      </c>
      <c r="D90" s="39">
        <f t="shared" si="7"/>
        <v>20</v>
      </c>
      <c r="E90" s="256">
        <f>IF(B90="heat",VLOOKUP(A90,WeightedSavings!$E$10:$K$81,5,FALSE), IF(B90="cool",0, IF(B90="DHW",VLOOKUP(A90,WeightedSavings!$E$10:K163,6,FALSE))))</f>
        <v>0</v>
      </c>
      <c r="F90" s="39"/>
      <c r="G90" s="257" t="str">
        <f t="shared" si="5"/>
        <v>ResCACPNW</v>
      </c>
      <c r="H90" s="39">
        <f>IF(B90="heat",VLOOKUP($A90,WeightedSavings!$E$10:$K$81,5,FALSE),0)</f>
        <v>0</v>
      </c>
    </row>
    <row r="91" spans="1:8" customFormat="1" ht="25.5">
      <c r="A91" s="255" t="str">
        <f>INDEX(WeightedSavings!$E$10:$E$81,FLOOR((ROW(A86))/3,1))</f>
        <v>Ground Source Heat Pump Upgrade from Air Source Heat Pump - With Desuperheater - New House 4000 square feet or greater - Heating Zone 1 - Cooling Zone 1</v>
      </c>
      <c r="B91" s="255" t="str">
        <f t="shared" si="6"/>
        <v>dhw</v>
      </c>
      <c r="C91" s="39">
        <f>IF(B91="heat",VLOOKUP($A91,WeightedSavings!$E$10:$K$81,2,FALSE),IF(B91="cool",VLOOKUP($A91,WeightedSavings!$E$10:$K$81,3,FALSE),IF(B91="DHW",VLOOKUP($A91,WeightedSavings!$E$10:$K$81,4,FALSE),0)))</f>
        <v>1671.5937367499998</v>
      </c>
      <c r="D91" s="39">
        <f t="shared" si="7"/>
        <v>20</v>
      </c>
      <c r="E91" s="256">
        <f>IF(B91="heat",VLOOKUP(A91,WeightedSavings!$E$10:$K$81,5,FALSE), IF(B91="cool",0, IF(B91="DHW",VLOOKUP(A91,WeightedSavings!$E$10:K164,6,FALSE))))</f>
        <v>6009.2415000000001</v>
      </c>
      <c r="F91" s="39"/>
      <c r="G91" s="257" t="str">
        <f t="shared" si="5"/>
        <v>ResDHW</v>
      </c>
      <c r="H91" s="39">
        <f>IF(B91="heat",VLOOKUP($A91,WeightedSavings!$E$10:$K$81,5,FALSE),0)</f>
        <v>0</v>
      </c>
    </row>
    <row r="92" spans="1:8" customFormat="1" ht="25.5">
      <c r="A92" s="255" t="str">
        <f>INDEX(WeightedSavings!$E$10:$E$81,FLOOR((ROW(A87))/3,1))</f>
        <v>Ground Source Heat Pump Upgrade from Air Source Heat Pump - With Desuperheater - New House 4000 square feet or greater - Heating Zone 1 - Cooling Zone 2</v>
      </c>
      <c r="B92" s="255" t="str">
        <f t="shared" si="6"/>
        <v>heat</v>
      </c>
      <c r="C92" s="39">
        <f>IF(B92="heat",VLOOKUP($A92,WeightedSavings!$E$10:$K$81,2,FALSE),IF(B92="cool",VLOOKUP($A92,WeightedSavings!$E$10:$K$81,3,FALSE),IF(B92="DHW",VLOOKUP($A92,WeightedSavings!$E$10:$K$81,4,FALSE),0)))</f>
        <v>1068.7551114280368</v>
      </c>
      <c r="D92" s="39">
        <f t="shared" si="7"/>
        <v>20</v>
      </c>
      <c r="E92" s="256">
        <f>IF(B92="heat",VLOOKUP(A92,WeightedSavings!$E$10:$K$81,5,FALSE), IF(B92="cool",0, IF(B92="DHW",VLOOKUP(A92,WeightedSavings!$E$10:K165,6,FALSE))))</f>
        <v>87.708871445872504</v>
      </c>
      <c r="F92" s="39"/>
      <c r="G92" s="257" t="str">
        <f t="shared" si="5"/>
        <v>ResSpHtHPZ1</v>
      </c>
      <c r="H92" s="39">
        <f>IF(B92="heat",VLOOKUP($A92,WeightedSavings!$E$10:$K$81,5,FALSE),0)</f>
        <v>87.708871445872504</v>
      </c>
    </row>
    <row r="93" spans="1:8" customFormat="1" ht="25.5">
      <c r="A93" s="255" t="str">
        <f>INDEX(WeightedSavings!$E$10:$E$81,FLOOR((ROW(A88))/3,1))</f>
        <v>Ground Source Heat Pump Upgrade from Air Source Heat Pump - With Desuperheater - New House 4000 square feet or greater - Heating Zone 1 - Cooling Zone 2</v>
      </c>
      <c r="B93" s="255" t="str">
        <f t="shared" si="6"/>
        <v>cool</v>
      </c>
      <c r="C93" s="39">
        <f>IF(B93="heat",VLOOKUP($A93,WeightedSavings!$E$10:$K$81,2,FALSE),IF(B93="cool",VLOOKUP($A93,WeightedSavings!$E$10:$K$81,3,FALSE),IF(B93="DHW",VLOOKUP($A93,WeightedSavings!$E$10:$K$81,4,FALSE),0)))</f>
        <v>172.8650609642857</v>
      </c>
      <c r="D93" s="39">
        <f t="shared" si="7"/>
        <v>20</v>
      </c>
      <c r="E93" s="256">
        <f>IF(B93="heat",VLOOKUP(A93,WeightedSavings!$E$10:$K$81,5,FALSE), IF(B93="cool",0, IF(B93="DHW",VLOOKUP(A93,WeightedSavings!$E$10:K166,6,FALSE))))</f>
        <v>0</v>
      </c>
      <c r="F93" s="39"/>
      <c r="G93" s="257" t="str">
        <f t="shared" si="5"/>
        <v>ResCACPNW</v>
      </c>
      <c r="H93" s="39">
        <f>IF(B93="heat",VLOOKUP($A93,WeightedSavings!$E$10:$K$81,5,FALSE),0)</f>
        <v>0</v>
      </c>
    </row>
    <row r="94" spans="1:8" customFormat="1" ht="25.5">
      <c r="A94" s="255" t="str">
        <f>INDEX(WeightedSavings!$E$10:$E$81,FLOOR((ROW(A89))/3,1))</f>
        <v>Ground Source Heat Pump Upgrade from Air Source Heat Pump - With Desuperheater - New House 4000 square feet or greater - Heating Zone 1 - Cooling Zone 2</v>
      </c>
      <c r="B94" s="255" t="str">
        <f t="shared" si="6"/>
        <v>dhw</v>
      </c>
      <c r="C94" s="39">
        <f>IF(B94="heat",VLOOKUP($A94,WeightedSavings!$E$10:$K$81,2,FALSE),IF(B94="cool",VLOOKUP($A94,WeightedSavings!$E$10:$K$81,3,FALSE),IF(B94="DHW",VLOOKUP($A94,WeightedSavings!$E$10:$K$81,4,FALSE),0)))</f>
        <v>1671.5937367499998</v>
      </c>
      <c r="D94" s="39">
        <f t="shared" si="7"/>
        <v>20</v>
      </c>
      <c r="E94" s="256">
        <f>IF(B94="heat",VLOOKUP(A94,WeightedSavings!$E$10:$K$81,5,FALSE), IF(B94="cool",0, IF(B94="DHW",VLOOKUP(A94,WeightedSavings!$E$10:K167,6,FALSE))))</f>
        <v>6009.2415000000001</v>
      </c>
      <c r="F94" s="39"/>
      <c r="G94" s="257" t="str">
        <f t="shared" si="5"/>
        <v>ResDHW</v>
      </c>
      <c r="H94" s="39">
        <f>IF(B94="heat",VLOOKUP($A94,WeightedSavings!$E$10:$K$81,5,FALSE),0)</f>
        <v>0</v>
      </c>
    </row>
    <row r="95" spans="1:8" customFormat="1" ht="25.5">
      <c r="A95" s="255" t="str">
        <f>INDEX(WeightedSavings!$E$10:$E$81,FLOOR((ROW(A90))/3,1))</f>
        <v>Ground Source Heat Pump Upgrade from Air Source Heat Pump - With Desuperheater - New House 4000 square feet or greater - Heating Zone 1 - Cooling Zone 3</v>
      </c>
      <c r="B95" s="255" t="str">
        <f t="shared" si="6"/>
        <v>heat</v>
      </c>
      <c r="C95" s="39">
        <f>IF(B95="heat",VLOOKUP($A95,WeightedSavings!$E$10:$K$81,2,FALSE),IF(B95="cool",VLOOKUP($A95,WeightedSavings!$E$10:$K$81,3,FALSE),IF(B95="DHW",VLOOKUP($A95,WeightedSavings!$E$10:$K$81,4,FALSE),0)))</f>
        <v>1068.7551114280368</v>
      </c>
      <c r="D95" s="39">
        <f t="shared" si="7"/>
        <v>20</v>
      </c>
      <c r="E95" s="256">
        <f>IF(B95="heat",VLOOKUP(A95,WeightedSavings!$E$10:$K$81,5,FALSE), IF(B95="cool",0, IF(B95="DHW",VLOOKUP(A95,WeightedSavings!$E$10:K168,6,FALSE))))</f>
        <v>87.708871445872504</v>
      </c>
      <c r="F95" s="39"/>
      <c r="G95" s="257" t="str">
        <f t="shared" si="5"/>
        <v>ResSpHtHPZ1</v>
      </c>
      <c r="H95" s="39">
        <f>IF(B95="heat",VLOOKUP($A95,WeightedSavings!$E$10:$K$81,5,FALSE),0)</f>
        <v>87.708871445872504</v>
      </c>
    </row>
    <row r="96" spans="1:8" customFormat="1" ht="25.5">
      <c r="A96" s="255" t="str">
        <f>INDEX(WeightedSavings!$E$10:$E$81,FLOOR((ROW(A91))/3,1))</f>
        <v>Ground Source Heat Pump Upgrade from Air Source Heat Pump - With Desuperheater - New House 4000 square feet or greater - Heating Zone 1 - Cooling Zone 3</v>
      </c>
      <c r="B96" s="255" t="str">
        <f t="shared" si="6"/>
        <v>cool</v>
      </c>
      <c r="C96" s="39">
        <f>IF(B96="heat",VLOOKUP($A96,WeightedSavings!$E$10:$K$81,2,FALSE),IF(B96="cool",VLOOKUP($A96,WeightedSavings!$E$10:$K$81,3,FALSE),IF(B96="DHW",VLOOKUP($A96,WeightedSavings!$E$10:$K$81,4,FALSE),0)))</f>
        <v>361.69300614285726</v>
      </c>
      <c r="D96" s="39">
        <f t="shared" si="7"/>
        <v>20</v>
      </c>
      <c r="E96" s="256">
        <f>IF(B96="heat",VLOOKUP(A96,WeightedSavings!$E$10:$K$81,5,FALSE), IF(B96="cool",0, IF(B96="DHW",VLOOKUP(A96,WeightedSavings!$E$10:K169,6,FALSE))))</f>
        <v>0</v>
      </c>
      <c r="F96" s="39"/>
      <c r="G96" s="257" t="str">
        <f t="shared" si="5"/>
        <v>ResCACPNW</v>
      </c>
      <c r="H96" s="39">
        <f>IF(B96="heat",VLOOKUP($A96,WeightedSavings!$E$10:$K$81,5,FALSE),0)</f>
        <v>0</v>
      </c>
    </row>
    <row r="97" spans="1:8" customFormat="1" ht="25.5">
      <c r="A97" s="255" t="str">
        <f>INDEX(WeightedSavings!$E$10:$E$81,FLOOR((ROW(A92))/3,1))</f>
        <v>Ground Source Heat Pump Upgrade from Air Source Heat Pump - With Desuperheater - New House 4000 square feet or greater - Heating Zone 1 - Cooling Zone 3</v>
      </c>
      <c r="B97" s="255" t="str">
        <f t="shared" si="6"/>
        <v>dhw</v>
      </c>
      <c r="C97" s="39">
        <f>IF(B97="heat",VLOOKUP($A97,WeightedSavings!$E$10:$K$81,2,FALSE),IF(B97="cool",VLOOKUP($A97,WeightedSavings!$E$10:$K$81,3,FALSE),IF(B97="DHW",VLOOKUP($A97,WeightedSavings!$E$10:$K$81,4,FALSE),0)))</f>
        <v>1671.5937367499998</v>
      </c>
      <c r="D97" s="39">
        <f t="shared" si="7"/>
        <v>20</v>
      </c>
      <c r="E97" s="256">
        <f>IF(B97="heat",VLOOKUP(A97,WeightedSavings!$E$10:$K$81,5,FALSE), IF(B97="cool",0, IF(B97="DHW",VLOOKUP(A97,WeightedSavings!$E$10:K170,6,FALSE))))</f>
        <v>6009.2415000000001</v>
      </c>
      <c r="F97" s="39"/>
      <c r="G97" s="257" t="str">
        <f t="shared" si="5"/>
        <v>ResDHW</v>
      </c>
      <c r="H97" s="39">
        <f>IF(B97="heat",VLOOKUP($A97,WeightedSavings!$E$10:$K$81,5,FALSE),0)</f>
        <v>0</v>
      </c>
    </row>
    <row r="98" spans="1:8" customFormat="1" ht="25.5">
      <c r="A98" s="255" t="str">
        <f>INDEX(WeightedSavings!$E$10:$E$81,FLOOR((ROW(A93))/3,1))</f>
        <v>Ground Source Heat Pump Upgrade from Air Source Heat Pump - With Desuperheater - New House 4000 square feet or greater - Heating Zone 2 - Cooling Zone 1</v>
      </c>
      <c r="B98" s="255" t="str">
        <f t="shared" si="6"/>
        <v>heat</v>
      </c>
      <c r="C98" s="39">
        <f>IF(B98="heat",VLOOKUP($A98,WeightedSavings!$E$10:$K$81,2,FALSE),IF(B98="cool",VLOOKUP($A98,WeightedSavings!$E$10:$K$81,3,FALSE),IF(B98="DHW",VLOOKUP($A98,WeightedSavings!$E$10:$K$81,4,FALSE),0)))</f>
        <v>2715.5016994170273</v>
      </c>
      <c r="D98" s="39">
        <f t="shared" si="7"/>
        <v>20</v>
      </c>
      <c r="E98" s="256">
        <f>IF(B98="heat",VLOOKUP(A98,WeightedSavings!$E$10:$K$81,5,FALSE), IF(B98="cool",0, IF(B98="DHW",VLOOKUP(A98,WeightedSavings!$E$10:K171,6,FALSE))))</f>
        <v>88.975856977337997</v>
      </c>
      <c r="F98" s="39"/>
      <c r="G98" s="257" t="str">
        <f t="shared" si="5"/>
        <v>ResSpHtHPZ2</v>
      </c>
      <c r="H98" s="39">
        <f>IF(B98="heat",VLOOKUP($A98,WeightedSavings!$E$10:$K$81,5,FALSE),0)</f>
        <v>88.975856977337997</v>
      </c>
    </row>
    <row r="99" spans="1:8" customFormat="1" ht="25.5">
      <c r="A99" s="255" t="str">
        <f>INDEX(WeightedSavings!$E$10:$E$81,FLOOR((ROW(A94))/3,1))</f>
        <v>Ground Source Heat Pump Upgrade from Air Source Heat Pump - With Desuperheater - New House 4000 square feet or greater - Heating Zone 2 - Cooling Zone 1</v>
      </c>
      <c r="B99" s="255" t="str">
        <f t="shared" si="6"/>
        <v>cool</v>
      </c>
      <c r="C99" s="39">
        <f>IF(B99="heat",VLOOKUP($A99,WeightedSavings!$E$10:$K$81,2,FALSE),IF(B99="cool",VLOOKUP($A99,WeightedSavings!$E$10:$K$81,3,FALSE),IF(B99="DHW",VLOOKUP($A99,WeightedSavings!$E$10:$K$81,4,FALSE),0)))</f>
        <v>58.760069142857105</v>
      </c>
      <c r="D99" s="39">
        <f t="shared" si="7"/>
        <v>20</v>
      </c>
      <c r="E99" s="256">
        <f>IF(B99="heat",VLOOKUP(A99,WeightedSavings!$E$10:$K$81,5,FALSE), IF(B99="cool",0, IF(B99="DHW",VLOOKUP(A99,WeightedSavings!$E$10:K172,6,FALSE))))</f>
        <v>0</v>
      </c>
      <c r="F99" s="39"/>
      <c r="G99" s="257" t="str">
        <f t="shared" si="5"/>
        <v>ResCACPNW</v>
      </c>
      <c r="H99" s="39">
        <f>IF(B99="heat",VLOOKUP($A99,WeightedSavings!$E$10:$K$81,5,FALSE),0)</f>
        <v>0</v>
      </c>
    </row>
    <row r="100" spans="1:8" customFormat="1" ht="25.5">
      <c r="A100" s="255" t="str">
        <f>INDEX(WeightedSavings!$E$10:$E$81,FLOOR((ROW(A95))/3,1))</f>
        <v>Ground Source Heat Pump Upgrade from Air Source Heat Pump - With Desuperheater - New House 4000 square feet or greater - Heating Zone 2 - Cooling Zone 1</v>
      </c>
      <c r="B100" s="255" t="str">
        <f t="shared" si="6"/>
        <v>dhw</v>
      </c>
      <c r="C100" s="39">
        <f>IF(B100="heat",VLOOKUP($A100,WeightedSavings!$E$10:$K$81,2,FALSE),IF(B100="cool",VLOOKUP($A100,WeightedSavings!$E$10:$K$81,3,FALSE),IF(B100="DHW",VLOOKUP($A100,WeightedSavings!$E$10:$K$81,4,FALSE),0)))</f>
        <v>2289.4819507500001</v>
      </c>
      <c r="D100" s="39">
        <f t="shared" si="7"/>
        <v>20</v>
      </c>
      <c r="E100" s="256">
        <f>IF(B100="heat",VLOOKUP(A100,WeightedSavings!$E$10:$K$81,5,FALSE), IF(B100="cool",0, IF(B100="DHW",VLOOKUP(A100,WeightedSavings!$E$10:K173,6,FALSE))))</f>
        <v>11942.103499999997</v>
      </c>
      <c r="F100" s="39"/>
      <c r="G100" s="257" t="str">
        <f t="shared" si="5"/>
        <v>ResDHW</v>
      </c>
      <c r="H100" s="39">
        <f>IF(B100="heat",VLOOKUP($A100,WeightedSavings!$E$10:$K$81,5,FALSE),0)</f>
        <v>0</v>
      </c>
    </row>
    <row r="101" spans="1:8" customFormat="1" ht="25.5">
      <c r="A101" s="255" t="str">
        <f>INDEX(WeightedSavings!$E$10:$E$81,FLOOR((ROW(A96))/3,1))</f>
        <v>Ground Source Heat Pump Upgrade from Air Source Heat Pump - With Desuperheater - New House 4000 square feet or greater - Heating Zone 2 - Cooling Zone 2</v>
      </c>
      <c r="B101" s="255" t="str">
        <f t="shared" si="6"/>
        <v>heat</v>
      </c>
      <c r="C101" s="39">
        <f>IF(B101="heat",VLOOKUP($A101,WeightedSavings!$E$10:$K$81,2,FALSE),IF(B101="cool",VLOOKUP($A101,WeightedSavings!$E$10:$K$81,3,FALSE),IF(B101="DHW",VLOOKUP($A101,WeightedSavings!$E$10:$K$81,4,FALSE),0)))</f>
        <v>2715.5016994170273</v>
      </c>
      <c r="D101" s="39">
        <f t="shared" si="7"/>
        <v>20</v>
      </c>
      <c r="E101" s="256">
        <f>IF(B101="heat",VLOOKUP(A101,WeightedSavings!$E$10:$K$81,5,FALSE), IF(B101="cool",0, IF(B101="DHW",VLOOKUP(A101,WeightedSavings!$E$10:K174,6,FALSE))))</f>
        <v>88.975856977337997</v>
      </c>
      <c r="F101" s="39"/>
      <c r="G101" s="257" t="str">
        <f t="shared" si="5"/>
        <v>ResSpHtHPZ2</v>
      </c>
      <c r="H101" s="39">
        <f>IF(B101="heat",VLOOKUP($A101,WeightedSavings!$E$10:$K$81,5,FALSE),0)</f>
        <v>88.975856977337997</v>
      </c>
    </row>
    <row r="102" spans="1:8" customFormat="1" ht="25.5">
      <c r="A102" s="255" t="str">
        <f>INDEX(WeightedSavings!$E$10:$E$81,FLOOR((ROW(A97))/3,1))</f>
        <v>Ground Source Heat Pump Upgrade from Air Source Heat Pump - With Desuperheater - New House 4000 square feet or greater - Heating Zone 2 - Cooling Zone 2</v>
      </c>
      <c r="B102" s="255" t="str">
        <f t="shared" si="6"/>
        <v>cool</v>
      </c>
      <c r="C102" s="39">
        <f>IF(B102="heat",VLOOKUP($A102,WeightedSavings!$E$10:$K$81,2,FALSE),IF(B102="cool",VLOOKUP($A102,WeightedSavings!$E$10:$K$81,3,FALSE),IF(B102="DHW",VLOOKUP($A102,WeightedSavings!$E$10:$K$81,4,FALSE),0)))</f>
        <v>172.8650609642857</v>
      </c>
      <c r="D102" s="39">
        <f t="shared" si="7"/>
        <v>20</v>
      </c>
      <c r="E102" s="256">
        <f>IF(B102="heat",VLOOKUP(A102,WeightedSavings!$E$10:$K$81,5,FALSE), IF(B102="cool",0, IF(B102="DHW",VLOOKUP(A102,WeightedSavings!$E$10:K175,6,FALSE))))</f>
        <v>0</v>
      </c>
      <c r="F102" s="39"/>
      <c r="G102" s="257" t="str">
        <f t="shared" si="5"/>
        <v>ResCACPNW</v>
      </c>
      <c r="H102" s="39">
        <f>IF(B102="heat",VLOOKUP($A102,WeightedSavings!$E$10:$K$81,5,FALSE),0)</f>
        <v>0</v>
      </c>
    </row>
    <row r="103" spans="1:8" customFormat="1" ht="25.5">
      <c r="A103" s="255" t="str">
        <f>INDEX(WeightedSavings!$E$10:$E$81,FLOOR((ROW(A98))/3,1))</f>
        <v>Ground Source Heat Pump Upgrade from Air Source Heat Pump - With Desuperheater - New House 4000 square feet or greater - Heating Zone 2 - Cooling Zone 2</v>
      </c>
      <c r="B103" s="255" t="str">
        <f t="shared" si="6"/>
        <v>dhw</v>
      </c>
      <c r="C103" s="39">
        <f>IF(B103="heat",VLOOKUP($A103,WeightedSavings!$E$10:$K$81,2,FALSE),IF(B103="cool",VLOOKUP($A103,WeightedSavings!$E$10:$K$81,3,FALSE),IF(B103="DHW",VLOOKUP($A103,WeightedSavings!$E$10:$K$81,4,FALSE),0)))</f>
        <v>2289.4819507500001</v>
      </c>
      <c r="D103" s="39">
        <f t="shared" si="7"/>
        <v>20</v>
      </c>
      <c r="E103" s="256">
        <f>IF(B103="heat",VLOOKUP(A103,WeightedSavings!$E$10:$K$81,5,FALSE), IF(B103="cool",0, IF(B103="DHW",VLOOKUP(A103,WeightedSavings!$E$10:K176,6,FALSE))))</f>
        <v>11942.103499999997</v>
      </c>
      <c r="F103" s="39"/>
      <c r="G103" s="257" t="str">
        <f t="shared" si="5"/>
        <v>ResDHW</v>
      </c>
      <c r="H103" s="39">
        <f>IF(B103="heat",VLOOKUP($A103,WeightedSavings!$E$10:$K$81,5,FALSE),0)</f>
        <v>0</v>
      </c>
    </row>
    <row r="104" spans="1:8" customFormat="1" ht="25.5">
      <c r="A104" s="255" t="str">
        <f>INDEX(WeightedSavings!$E$10:$E$81,FLOOR((ROW(A99))/3,1))</f>
        <v>Ground Source Heat Pump Upgrade from Air Source Heat Pump - With Desuperheater - New House 4000 square feet or greater - Heating Zone 2 - Cooling Zone 3</v>
      </c>
      <c r="B104" s="255" t="str">
        <f t="shared" si="6"/>
        <v>heat</v>
      </c>
      <c r="C104" s="39">
        <f>IF(B104="heat",VLOOKUP($A104,WeightedSavings!$E$10:$K$81,2,FALSE),IF(B104="cool",VLOOKUP($A104,WeightedSavings!$E$10:$K$81,3,FALSE),IF(B104="DHW",VLOOKUP($A104,WeightedSavings!$E$10:$K$81,4,FALSE),0)))</f>
        <v>2715.5016994170273</v>
      </c>
      <c r="D104" s="39">
        <f t="shared" si="7"/>
        <v>20</v>
      </c>
      <c r="E104" s="256">
        <f>IF(B104="heat",VLOOKUP(A104,WeightedSavings!$E$10:$K$81,5,FALSE), IF(B104="cool",0, IF(B104="DHW",VLOOKUP(A104,WeightedSavings!$E$10:K177,6,FALSE))))</f>
        <v>88.975856977337997</v>
      </c>
      <c r="F104" s="39"/>
      <c r="G104" s="257" t="str">
        <f t="shared" si="5"/>
        <v>ResSpHtHPZ2</v>
      </c>
      <c r="H104" s="39">
        <f>IF(B104="heat",VLOOKUP($A104,WeightedSavings!$E$10:$K$81,5,FALSE),0)</f>
        <v>88.975856977337997</v>
      </c>
    </row>
    <row r="105" spans="1:8" customFormat="1" ht="25.5">
      <c r="A105" s="255" t="str">
        <f>INDEX(WeightedSavings!$E$10:$E$81,FLOOR((ROW(A100))/3,1))</f>
        <v>Ground Source Heat Pump Upgrade from Air Source Heat Pump - With Desuperheater - New House 4000 square feet or greater - Heating Zone 2 - Cooling Zone 3</v>
      </c>
      <c r="B105" s="255" t="str">
        <f t="shared" si="6"/>
        <v>cool</v>
      </c>
      <c r="C105" s="39">
        <f>IF(B105="heat",VLOOKUP($A105,WeightedSavings!$E$10:$K$81,2,FALSE),IF(B105="cool",VLOOKUP($A105,WeightedSavings!$E$10:$K$81,3,FALSE),IF(B105="DHW",VLOOKUP($A105,WeightedSavings!$E$10:$K$81,4,FALSE),0)))</f>
        <v>361.69300614285726</v>
      </c>
      <c r="D105" s="39">
        <f t="shared" si="7"/>
        <v>20</v>
      </c>
      <c r="E105" s="256">
        <f>IF(B105="heat",VLOOKUP(A105,WeightedSavings!$E$10:$K$81,5,FALSE), IF(B105="cool",0, IF(B105="DHW",VLOOKUP(A105,WeightedSavings!$E$10:K178,6,FALSE))))</f>
        <v>0</v>
      </c>
      <c r="F105" s="39"/>
      <c r="G105" s="257" t="str">
        <f t="shared" si="5"/>
        <v>ResCACPNW</v>
      </c>
      <c r="H105" s="39">
        <f>IF(B105="heat",VLOOKUP($A105,WeightedSavings!$E$10:$K$81,5,FALSE),0)</f>
        <v>0</v>
      </c>
    </row>
    <row r="106" spans="1:8" customFormat="1" ht="25.5">
      <c r="A106" s="255" t="str">
        <f>INDEX(WeightedSavings!$E$10:$E$81,FLOOR((ROW(A101))/3,1))</f>
        <v>Ground Source Heat Pump Upgrade from Air Source Heat Pump - With Desuperheater - New House 4000 square feet or greater - Heating Zone 2 - Cooling Zone 3</v>
      </c>
      <c r="B106" s="255" t="str">
        <f t="shared" si="6"/>
        <v>dhw</v>
      </c>
      <c r="C106" s="39">
        <f>IF(B106="heat",VLOOKUP($A106,WeightedSavings!$E$10:$K$81,2,FALSE),IF(B106="cool",VLOOKUP($A106,WeightedSavings!$E$10:$K$81,3,FALSE),IF(B106="DHW",VLOOKUP($A106,WeightedSavings!$E$10:$K$81,4,FALSE),0)))</f>
        <v>2289.4819507500001</v>
      </c>
      <c r="D106" s="39">
        <f t="shared" si="7"/>
        <v>20</v>
      </c>
      <c r="E106" s="256">
        <f>IF(B106="heat",VLOOKUP(A106,WeightedSavings!$E$10:$K$81,5,FALSE), IF(B106="cool",0, IF(B106="DHW",VLOOKUP(A106,WeightedSavings!$E$10:K179,6,FALSE))))</f>
        <v>11942.103499999997</v>
      </c>
      <c r="F106" s="39"/>
      <c r="G106" s="257" t="str">
        <f t="shared" si="5"/>
        <v>ResDHW</v>
      </c>
      <c r="H106" s="39">
        <f>IF(B106="heat",VLOOKUP($A106,WeightedSavings!$E$10:$K$81,5,FALSE),0)</f>
        <v>0</v>
      </c>
    </row>
    <row r="107" spans="1:8" customFormat="1" ht="25.5">
      <c r="A107" s="255" t="str">
        <f>INDEX(WeightedSavings!$E$10:$E$81,FLOOR((ROW(A102))/3,1))</f>
        <v>Ground Source Heat Pump Upgrade from Air Source Heat Pump - With Desuperheater - New House 4000 square feet or greater - Heating Zone 3 - Cooling Zone 1</v>
      </c>
      <c r="B107" s="255" t="str">
        <f t="shared" si="6"/>
        <v>heat</v>
      </c>
      <c r="C107" s="39">
        <f>IF(B107="heat",VLOOKUP($A107,WeightedSavings!$E$10:$K$81,2,FALSE),IF(B107="cool",VLOOKUP($A107,WeightedSavings!$E$10:$K$81,3,FALSE),IF(B107="DHW",VLOOKUP($A107,WeightedSavings!$E$10:$K$81,4,FALSE),0)))</f>
        <v>3889.7038489031274</v>
      </c>
      <c r="D107" s="39">
        <f t="shared" si="7"/>
        <v>20</v>
      </c>
      <c r="E107" s="256">
        <f>IF(B107="heat",VLOOKUP(A107,WeightedSavings!$E$10:$K$81,5,FALSE), IF(B107="cool",0, IF(B107="DHW",VLOOKUP(A107,WeightedSavings!$E$10:K180,6,FALSE))))</f>
        <v>98.56043676179624</v>
      </c>
      <c r="F107" s="39"/>
      <c r="G107" s="257" t="str">
        <f t="shared" si="5"/>
        <v>ResSpHtHPZ3</v>
      </c>
      <c r="H107" s="39">
        <f>IF(B107="heat",VLOOKUP($A107,WeightedSavings!$E$10:$K$81,5,FALSE),0)</f>
        <v>98.56043676179624</v>
      </c>
    </row>
    <row r="108" spans="1:8" customFormat="1" ht="25.5">
      <c r="A108" s="255" t="str">
        <f>INDEX(WeightedSavings!$E$10:$E$81,FLOOR((ROW(A103))/3,1))</f>
        <v>Ground Source Heat Pump Upgrade from Air Source Heat Pump - With Desuperheater - New House 4000 square feet or greater - Heating Zone 3 - Cooling Zone 1</v>
      </c>
      <c r="B108" s="255" t="str">
        <f t="shared" si="6"/>
        <v>cool</v>
      </c>
      <c r="C108" s="39">
        <f>IF(B108="heat",VLOOKUP($A108,WeightedSavings!$E$10:$K$81,2,FALSE),IF(B108="cool",VLOOKUP($A108,WeightedSavings!$E$10:$K$81,3,FALSE),IF(B108="DHW",VLOOKUP($A108,WeightedSavings!$E$10:$K$81,4,FALSE),0)))</f>
        <v>58.760069142857105</v>
      </c>
      <c r="D108" s="39">
        <f t="shared" si="7"/>
        <v>20</v>
      </c>
      <c r="E108" s="256">
        <f>IF(B108="heat",VLOOKUP(A108,WeightedSavings!$E$10:$K$81,5,FALSE), IF(B108="cool",0, IF(B108="DHW",VLOOKUP(A108,WeightedSavings!$E$10:K181,6,FALSE))))</f>
        <v>0</v>
      </c>
      <c r="F108" s="39"/>
      <c r="G108" s="257" t="str">
        <f t="shared" si="5"/>
        <v>ResCACPNW</v>
      </c>
      <c r="H108" s="39">
        <f>IF(B108="heat",VLOOKUP($A108,WeightedSavings!$E$10:$K$81,5,FALSE),0)</f>
        <v>0</v>
      </c>
    </row>
    <row r="109" spans="1:8" customFormat="1" ht="25.5">
      <c r="A109" s="255" t="str">
        <f>INDEX(WeightedSavings!$E$10:$E$81,FLOOR((ROW(A104))/3,1))</f>
        <v>Ground Source Heat Pump Upgrade from Air Source Heat Pump - With Desuperheater - New House 4000 square feet or greater - Heating Zone 3 - Cooling Zone 1</v>
      </c>
      <c r="B109" s="255" t="str">
        <f t="shared" si="6"/>
        <v>dhw</v>
      </c>
      <c r="C109" s="39">
        <f>IF(B109="heat",VLOOKUP($A109,WeightedSavings!$E$10:$K$81,2,FALSE),IF(B109="cool",VLOOKUP($A109,WeightedSavings!$E$10:$K$81,3,FALSE),IF(B109="DHW",VLOOKUP($A109,WeightedSavings!$E$10:$K$81,4,FALSE),0)))</f>
        <v>2602.316718</v>
      </c>
      <c r="D109" s="39">
        <f t="shared" si="7"/>
        <v>20</v>
      </c>
      <c r="E109" s="256">
        <f>IF(B109="heat",VLOOKUP(A109,WeightedSavings!$E$10:$K$81,5,FALSE), IF(B109="cool",0, IF(B109="DHW",VLOOKUP(A109,WeightedSavings!$E$10:K182,6,FALSE))))</f>
        <v>19560.591</v>
      </c>
      <c r="F109" s="39"/>
      <c r="G109" s="257" t="str">
        <f t="shared" si="5"/>
        <v>ResDHW</v>
      </c>
      <c r="H109" s="39">
        <f>IF(B109="heat",VLOOKUP($A109,WeightedSavings!$E$10:$K$81,5,FALSE),0)</f>
        <v>0</v>
      </c>
    </row>
    <row r="110" spans="1:8" customFormat="1" ht="25.5">
      <c r="A110" s="255" t="str">
        <f>INDEX(WeightedSavings!$E$10:$E$81,FLOOR((ROW(A105))/3,1))</f>
        <v>Ground Source Heat Pump Upgrade from Air Source Heat Pump - With Desuperheater - New House 4000 square feet or greater - Heating Zone 3 - Cooling Zone 2</v>
      </c>
      <c r="B110" s="255" t="str">
        <f t="shared" si="6"/>
        <v>heat</v>
      </c>
      <c r="C110" s="39">
        <f>IF(B110="heat",VLOOKUP($A110,WeightedSavings!$E$10:$K$81,2,FALSE),IF(B110="cool",VLOOKUP($A110,WeightedSavings!$E$10:$K$81,3,FALSE),IF(B110="DHW",VLOOKUP($A110,WeightedSavings!$E$10:$K$81,4,FALSE),0)))</f>
        <v>3889.7038489031274</v>
      </c>
      <c r="D110" s="39">
        <f t="shared" si="7"/>
        <v>20</v>
      </c>
      <c r="E110" s="256">
        <f>IF(B110="heat",VLOOKUP(A110,WeightedSavings!$E$10:$K$81,5,FALSE), IF(B110="cool",0, IF(B110="DHW",VLOOKUP(A110,WeightedSavings!$E$10:K183,6,FALSE))))</f>
        <v>98.56043676179624</v>
      </c>
      <c r="F110" s="39"/>
      <c r="G110" s="257" t="str">
        <f t="shared" si="5"/>
        <v>ResSpHtHPZ3</v>
      </c>
      <c r="H110" s="39">
        <f>IF(B110="heat",VLOOKUP($A110,WeightedSavings!$E$10:$K$81,5,FALSE),0)</f>
        <v>98.56043676179624</v>
      </c>
    </row>
    <row r="111" spans="1:8" customFormat="1" ht="25.5">
      <c r="A111" s="255" t="str">
        <f>INDEX(WeightedSavings!$E$10:$E$81,FLOOR((ROW(A106))/3,1))</f>
        <v>Ground Source Heat Pump Upgrade from Air Source Heat Pump - With Desuperheater - New House 4000 square feet or greater - Heating Zone 3 - Cooling Zone 2</v>
      </c>
      <c r="B111" s="255" t="str">
        <f t="shared" si="6"/>
        <v>cool</v>
      </c>
      <c r="C111" s="39">
        <f>IF(B111="heat",VLOOKUP($A111,WeightedSavings!$E$10:$K$81,2,FALSE),IF(B111="cool",VLOOKUP($A111,WeightedSavings!$E$10:$K$81,3,FALSE),IF(B111="DHW",VLOOKUP($A111,WeightedSavings!$E$10:$K$81,4,FALSE),0)))</f>
        <v>172.8650609642857</v>
      </c>
      <c r="D111" s="39">
        <f t="shared" si="7"/>
        <v>20</v>
      </c>
      <c r="E111" s="256">
        <f>IF(B111="heat",VLOOKUP(A111,WeightedSavings!$E$10:$K$81,5,FALSE), IF(B111="cool",0, IF(B111="DHW",VLOOKUP(A111,WeightedSavings!$E$10:K184,6,FALSE))))</f>
        <v>0</v>
      </c>
      <c r="F111" s="39"/>
      <c r="G111" s="257" t="str">
        <f t="shared" si="5"/>
        <v>ResCACPNW</v>
      </c>
      <c r="H111" s="39">
        <f>IF(B111="heat",VLOOKUP($A111,WeightedSavings!$E$10:$K$81,5,FALSE),0)</f>
        <v>0</v>
      </c>
    </row>
    <row r="112" spans="1:8" customFormat="1" ht="25.5">
      <c r="A112" s="255" t="str">
        <f>INDEX(WeightedSavings!$E$10:$E$81,FLOOR((ROW(A107))/3,1))</f>
        <v>Ground Source Heat Pump Upgrade from Air Source Heat Pump - With Desuperheater - New House 4000 square feet or greater - Heating Zone 3 - Cooling Zone 2</v>
      </c>
      <c r="B112" s="255" t="str">
        <f t="shared" si="6"/>
        <v>dhw</v>
      </c>
      <c r="C112" s="39">
        <f>IF(B112="heat",VLOOKUP($A112,WeightedSavings!$E$10:$K$81,2,FALSE),IF(B112="cool",VLOOKUP($A112,WeightedSavings!$E$10:$K$81,3,FALSE),IF(B112="DHW",VLOOKUP($A112,WeightedSavings!$E$10:$K$81,4,FALSE),0)))</f>
        <v>2602.316718</v>
      </c>
      <c r="D112" s="39">
        <f t="shared" si="7"/>
        <v>20</v>
      </c>
      <c r="E112" s="256">
        <f>IF(B112="heat",VLOOKUP(A112,WeightedSavings!$E$10:$K$81,5,FALSE), IF(B112="cool",0, IF(B112="DHW",VLOOKUP(A112,WeightedSavings!$E$10:K185,6,FALSE))))</f>
        <v>19560.591</v>
      </c>
      <c r="F112" s="39"/>
      <c r="G112" s="257" t="str">
        <f t="shared" si="5"/>
        <v>ResDHW</v>
      </c>
      <c r="H112" s="39">
        <f>IF(B112="heat",VLOOKUP($A112,WeightedSavings!$E$10:$K$81,5,FALSE),0)</f>
        <v>0</v>
      </c>
    </row>
    <row r="113" spans="1:8" customFormat="1" ht="25.5">
      <c r="A113" s="255" t="str">
        <f>INDEX(WeightedSavings!$E$10:$E$81,FLOOR((ROW(A108))/3,1))</f>
        <v>Ground Source Heat Pump Upgrade from Air Source Heat Pump - With Desuperheater - New House 4000 square feet or greater - Heating Zone 3 - Cooling Zone 3</v>
      </c>
      <c r="B113" s="255" t="str">
        <f t="shared" si="6"/>
        <v>heat</v>
      </c>
      <c r="C113" s="39">
        <f>IF(B113="heat",VLOOKUP($A113,WeightedSavings!$E$10:$K$81,2,FALSE),IF(B113="cool",VLOOKUP($A113,WeightedSavings!$E$10:$K$81,3,FALSE),IF(B113="DHW",VLOOKUP($A113,WeightedSavings!$E$10:$K$81,4,FALSE),0)))</f>
        <v>3889.7038489031274</v>
      </c>
      <c r="D113" s="39">
        <f t="shared" si="7"/>
        <v>20</v>
      </c>
      <c r="E113" s="256">
        <f>IF(B113="heat",VLOOKUP(A113,WeightedSavings!$E$10:$K$81,5,FALSE), IF(B113="cool",0, IF(B113="DHW",VLOOKUP(A113,WeightedSavings!$E$10:K186,6,FALSE))))</f>
        <v>98.56043676179624</v>
      </c>
      <c r="F113" s="39"/>
      <c r="G113" s="257" t="str">
        <f t="shared" si="5"/>
        <v>ResSpHtHPZ3</v>
      </c>
      <c r="H113" s="39">
        <f>IF(B113="heat",VLOOKUP($A113,WeightedSavings!$E$10:$K$81,5,FALSE),0)</f>
        <v>98.56043676179624</v>
      </c>
    </row>
    <row r="114" spans="1:8" customFormat="1" ht="25.5">
      <c r="A114" s="255" t="str">
        <f>INDEX(WeightedSavings!$E$10:$E$81,FLOOR((ROW(A109))/3,1))</f>
        <v>Ground Source Heat Pump Upgrade from Air Source Heat Pump - With Desuperheater - New House 4000 square feet or greater - Heating Zone 3 - Cooling Zone 3</v>
      </c>
      <c r="B114" s="255" t="str">
        <f t="shared" si="6"/>
        <v>cool</v>
      </c>
      <c r="C114" s="39">
        <f>IF(B114="heat",VLOOKUP($A114,WeightedSavings!$E$10:$K$81,2,FALSE),IF(B114="cool",VLOOKUP($A114,WeightedSavings!$E$10:$K$81,3,FALSE),IF(B114="DHW",VLOOKUP($A114,WeightedSavings!$E$10:$K$81,4,FALSE),0)))</f>
        <v>361.69300614285726</v>
      </c>
      <c r="D114" s="39">
        <f t="shared" si="7"/>
        <v>20</v>
      </c>
      <c r="E114" s="256">
        <f>IF(B114="heat",VLOOKUP(A114,WeightedSavings!$E$10:$K$81,5,FALSE), IF(B114="cool",0, IF(B114="DHW",VLOOKUP(A114,WeightedSavings!$E$10:K187,6,FALSE))))</f>
        <v>0</v>
      </c>
      <c r="F114" s="39"/>
      <c r="G114" s="257" t="str">
        <f t="shared" si="5"/>
        <v>ResCACPNW</v>
      </c>
      <c r="H114" s="39">
        <f>IF(B114="heat",VLOOKUP($A114,WeightedSavings!$E$10:$K$81,5,FALSE),0)</f>
        <v>0</v>
      </c>
    </row>
    <row r="115" spans="1:8" customFormat="1" ht="25.5">
      <c r="A115" s="255" t="str">
        <f>INDEX(WeightedSavings!$E$10:$E$81,FLOOR((ROW(A110))/3,1))</f>
        <v>Ground Source Heat Pump Upgrade from Air Source Heat Pump - With Desuperheater - New House 4000 square feet or greater - Heating Zone 3 - Cooling Zone 3</v>
      </c>
      <c r="B115" s="255" t="str">
        <f t="shared" si="6"/>
        <v>dhw</v>
      </c>
      <c r="C115" s="39">
        <f>IF(B115="heat",VLOOKUP($A115,WeightedSavings!$E$10:$K$81,2,FALSE),IF(B115="cool",VLOOKUP($A115,WeightedSavings!$E$10:$K$81,3,FALSE),IF(B115="DHW",VLOOKUP($A115,WeightedSavings!$E$10:$K$81,4,FALSE),0)))</f>
        <v>2602.316718</v>
      </c>
      <c r="D115" s="39">
        <f t="shared" si="7"/>
        <v>20</v>
      </c>
      <c r="E115" s="256">
        <f>IF(B115="heat",VLOOKUP(A115,WeightedSavings!$E$10:$K$81,5,FALSE), IF(B115="cool",0, IF(B115="DHW",VLOOKUP(A115,WeightedSavings!$E$10:K188,6,FALSE))))</f>
        <v>19560.591</v>
      </c>
      <c r="F115" s="39"/>
      <c r="G115" s="257" t="str">
        <f t="shared" si="5"/>
        <v>ResDHW</v>
      </c>
      <c r="H115" s="39">
        <f>IF(B115="heat",VLOOKUP($A115,WeightedSavings!$E$10:$K$81,5,FALSE),0)</f>
        <v>0</v>
      </c>
    </row>
    <row r="116" spans="1:8" customFormat="1" ht="25.5">
      <c r="A116" s="255" t="str">
        <f>INDEX(WeightedSavings!$E$10:$E$81,FLOOR((ROW(A111))/3,1))</f>
        <v>Ground Source Heat Pump Upgrade from Air Source Heat Pump - Without Desuperheater - Existing House less than 4000 square feet - Heating Zone 1 - Cooling Zone 1</v>
      </c>
      <c r="B116" s="255" t="str">
        <f t="shared" si="6"/>
        <v>heat</v>
      </c>
      <c r="C116" s="39">
        <f>IF(B116="heat",VLOOKUP($A116,WeightedSavings!$E$10:$K$81,2,FALSE),IF(B116="cool",VLOOKUP($A116,WeightedSavings!$E$10:$K$81,3,FALSE),IF(B116="DHW",VLOOKUP($A116,WeightedSavings!$E$10:$K$81,4,FALSE),0)))</f>
        <v>912.81640592583653</v>
      </c>
      <c r="D116" s="39">
        <f t="shared" si="7"/>
        <v>20</v>
      </c>
      <c r="E116" s="256">
        <f>IF(B116="heat",VLOOKUP(A116,WeightedSavings!$E$10:$K$81,5,FALSE), IF(B116="cool",0, IF(B116="DHW",VLOOKUP(A116,WeightedSavings!$E$10:K189,6,FALSE))))</f>
        <v>65.640844494816903</v>
      </c>
      <c r="F116" s="39"/>
      <c r="G116" s="257" t="str">
        <f t="shared" si="5"/>
        <v>ResSpHtHPZ1</v>
      </c>
      <c r="H116" s="39">
        <f>IF(B116="heat",VLOOKUP($A116,WeightedSavings!$E$10:$K$81,5,FALSE),0)</f>
        <v>65.640844494816903</v>
      </c>
    </row>
    <row r="117" spans="1:8" customFormat="1" ht="25.5">
      <c r="A117" s="255" t="str">
        <f>INDEX(WeightedSavings!$E$10:$E$81,FLOOR((ROW(A112))/3,1))</f>
        <v>Ground Source Heat Pump Upgrade from Air Source Heat Pump - Without Desuperheater - Existing House less than 4000 square feet - Heating Zone 1 - Cooling Zone 1</v>
      </c>
      <c r="B117" s="255" t="str">
        <f t="shared" si="6"/>
        <v>cool</v>
      </c>
      <c r="C117" s="39">
        <f>IF(B117="heat",VLOOKUP($A117,WeightedSavings!$E$10:$K$81,2,FALSE),IF(B117="cool",VLOOKUP($A117,WeightedSavings!$E$10:$K$81,3,FALSE),IF(B117="DHW",VLOOKUP($A117,WeightedSavings!$E$10:$K$81,4,FALSE),0)))</f>
        <v>36.457379194642868</v>
      </c>
      <c r="D117" s="39">
        <f t="shared" si="7"/>
        <v>20</v>
      </c>
      <c r="E117" s="256">
        <f>IF(B117="heat",VLOOKUP(A117,WeightedSavings!$E$10:$K$81,5,FALSE), IF(B117="cool",0, IF(B117="DHW",VLOOKUP(A117,WeightedSavings!$E$10:K190,6,FALSE))))</f>
        <v>0</v>
      </c>
      <c r="F117" s="39"/>
      <c r="G117" s="257" t="str">
        <f t="shared" si="5"/>
        <v>ResCACPNW</v>
      </c>
      <c r="H117" s="39">
        <f>IF(B117="heat",VLOOKUP($A117,WeightedSavings!$E$10:$K$81,5,FALSE),0)</f>
        <v>0</v>
      </c>
    </row>
    <row r="118" spans="1:8" customFormat="1" ht="25.5">
      <c r="A118" s="255" t="str">
        <f>INDEX(WeightedSavings!$E$10:$E$81,FLOOR((ROW(A113))/3,1))</f>
        <v>Ground Source Heat Pump Upgrade from Air Source Heat Pump - Without Desuperheater - Existing House less than 4000 square feet - Heating Zone 1 - Cooling Zone 1</v>
      </c>
      <c r="B118" s="255" t="str">
        <f t="shared" si="6"/>
        <v>dhw</v>
      </c>
      <c r="C118" s="39">
        <f>IF(B118="heat",VLOOKUP($A118,WeightedSavings!$E$10:$K$81,2,FALSE),IF(B118="cool",VLOOKUP($A118,WeightedSavings!$E$10:$K$81,3,FALSE),IF(B118="DHW",VLOOKUP($A118,WeightedSavings!$E$10:$K$81,4,FALSE),0)))</f>
        <v>0</v>
      </c>
      <c r="D118" s="39">
        <f t="shared" si="7"/>
        <v>20</v>
      </c>
      <c r="E118" s="256">
        <f>IF(B118="heat",VLOOKUP(A118,WeightedSavings!$E$10:$K$81,5,FALSE), IF(B118="cool",0, IF(B118="DHW",VLOOKUP(A118,WeightedSavings!$E$10:K191,6,FALSE))))</f>
        <v>4434.0202749999999</v>
      </c>
      <c r="F118" s="39"/>
      <c r="G118" s="257" t="str">
        <f t="shared" si="5"/>
        <v>ResDHW</v>
      </c>
      <c r="H118" s="39">
        <f>IF(B118="heat",VLOOKUP($A118,WeightedSavings!$E$10:$K$81,5,FALSE),0)</f>
        <v>0</v>
      </c>
    </row>
    <row r="119" spans="1:8" customFormat="1" ht="25.5">
      <c r="A119" s="255" t="str">
        <f>INDEX(WeightedSavings!$E$10:$E$81,FLOOR((ROW(A114))/3,1))</f>
        <v>Ground Source Heat Pump Upgrade from Air Source Heat Pump - Without Desuperheater - Existing House less than 4000 square feet - Heating Zone 1 - Cooling Zone 2</v>
      </c>
      <c r="B119" s="255" t="str">
        <f t="shared" si="6"/>
        <v>heat</v>
      </c>
      <c r="C119" s="39">
        <f>IF(B119="heat",VLOOKUP($A119,WeightedSavings!$E$10:$K$81,2,FALSE),IF(B119="cool",VLOOKUP($A119,WeightedSavings!$E$10:$K$81,3,FALSE),IF(B119="DHW",VLOOKUP($A119,WeightedSavings!$E$10:$K$81,4,FALSE),0)))</f>
        <v>912.81640592583653</v>
      </c>
      <c r="D119" s="39">
        <f t="shared" si="7"/>
        <v>20</v>
      </c>
      <c r="E119" s="256">
        <f>IF(B119="heat",VLOOKUP(A119,WeightedSavings!$E$10:$K$81,5,FALSE), IF(B119="cool",0, IF(B119="DHW",VLOOKUP(A119,WeightedSavings!$E$10:K192,6,FALSE))))</f>
        <v>65.640844494816903</v>
      </c>
      <c r="F119" s="39"/>
      <c r="G119" s="257" t="str">
        <f t="shared" si="5"/>
        <v>ResSpHtHPZ1</v>
      </c>
      <c r="H119" s="39">
        <f>IF(B119="heat",VLOOKUP($A119,WeightedSavings!$E$10:$K$81,5,FALSE),0)</f>
        <v>65.640844494816903</v>
      </c>
    </row>
    <row r="120" spans="1:8" customFormat="1" ht="25.5">
      <c r="A120" s="255" t="str">
        <f>INDEX(WeightedSavings!$E$10:$E$81,FLOOR((ROW(A115))/3,1))</f>
        <v>Ground Source Heat Pump Upgrade from Air Source Heat Pump - Without Desuperheater - Existing House less than 4000 square feet - Heating Zone 1 - Cooling Zone 2</v>
      </c>
      <c r="B120" s="255" t="str">
        <f t="shared" si="6"/>
        <v>cool</v>
      </c>
      <c r="C120" s="39">
        <f>IF(B120="heat",VLOOKUP($A120,WeightedSavings!$E$10:$K$81,2,FALSE),IF(B120="cool",VLOOKUP($A120,WeightedSavings!$E$10:$K$81,3,FALSE),IF(B120="DHW",VLOOKUP($A120,WeightedSavings!$E$10:$K$81,4,FALSE),0)))</f>
        <v>115.74816613571434</v>
      </c>
      <c r="D120" s="39">
        <f t="shared" si="7"/>
        <v>20</v>
      </c>
      <c r="E120" s="256">
        <f>IF(B120="heat",VLOOKUP(A120,WeightedSavings!$E$10:$K$81,5,FALSE), IF(B120="cool",0, IF(B120="DHW",VLOOKUP(A120,WeightedSavings!$E$10:K193,6,FALSE))))</f>
        <v>0</v>
      </c>
      <c r="F120" s="39"/>
      <c r="G120" s="257" t="str">
        <f t="shared" si="5"/>
        <v>ResCACPNW</v>
      </c>
      <c r="H120" s="39">
        <f>IF(B120="heat",VLOOKUP($A120,WeightedSavings!$E$10:$K$81,5,FALSE),0)</f>
        <v>0</v>
      </c>
    </row>
    <row r="121" spans="1:8" customFormat="1" ht="25.5">
      <c r="A121" s="255" t="str">
        <f>INDEX(WeightedSavings!$E$10:$E$81,FLOOR((ROW(A116))/3,1))</f>
        <v>Ground Source Heat Pump Upgrade from Air Source Heat Pump - Without Desuperheater - Existing House less than 4000 square feet - Heating Zone 1 - Cooling Zone 2</v>
      </c>
      <c r="B121" s="255" t="str">
        <f t="shared" si="6"/>
        <v>dhw</v>
      </c>
      <c r="C121" s="39">
        <f>IF(B121="heat",VLOOKUP($A121,WeightedSavings!$E$10:$K$81,2,FALSE),IF(B121="cool",VLOOKUP($A121,WeightedSavings!$E$10:$K$81,3,FALSE),IF(B121="DHW",VLOOKUP($A121,WeightedSavings!$E$10:$K$81,4,FALSE),0)))</f>
        <v>0</v>
      </c>
      <c r="D121" s="39">
        <f t="shared" si="7"/>
        <v>20</v>
      </c>
      <c r="E121" s="256">
        <f>IF(B121="heat",VLOOKUP(A121,WeightedSavings!$E$10:$K$81,5,FALSE), IF(B121="cool",0, IF(B121="DHW",VLOOKUP(A121,WeightedSavings!$E$10:K194,6,FALSE))))</f>
        <v>4434.0202749999999</v>
      </c>
      <c r="F121" s="39"/>
      <c r="G121" s="257" t="str">
        <f t="shared" si="5"/>
        <v>ResDHW</v>
      </c>
      <c r="H121" s="39">
        <f>IF(B121="heat",VLOOKUP($A121,WeightedSavings!$E$10:$K$81,5,FALSE),0)</f>
        <v>0</v>
      </c>
    </row>
    <row r="122" spans="1:8" customFormat="1" ht="25.5">
      <c r="A122" s="255" t="str">
        <f>INDEX(WeightedSavings!$E$10:$E$81,FLOOR((ROW(A117))/3,1))</f>
        <v>Ground Source Heat Pump Upgrade from Air Source Heat Pump - Without Desuperheater - Existing House less than 4000 square feet - Heating Zone 1 - Cooling Zone 3</v>
      </c>
      <c r="B122" s="255" t="str">
        <f t="shared" si="6"/>
        <v>heat</v>
      </c>
      <c r="C122" s="39">
        <f>IF(B122="heat",VLOOKUP($A122,WeightedSavings!$E$10:$K$81,2,FALSE),IF(B122="cool",VLOOKUP($A122,WeightedSavings!$E$10:$K$81,3,FALSE),IF(B122="DHW",VLOOKUP($A122,WeightedSavings!$E$10:$K$81,4,FALSE),0)))</f>
        <v>912.81640592583653</v>
      </c>
      <c r="D122" s="39">
        <f t="shared" si="7"/>
        <v>20</v>
      </c>
      <c r="E122" s="256">
        <f>IF(B122="heat",VLOOKUP(A122,WeightedSavings!$E$10:$K$81,5,FALSE), IF(B122="cool",0, IF(B122="DHW",VLOOKUP(A122,WeightedSavings!$E$10:K195,6,FALSE))))</f>
        <v>65.640844494816903</v>
      </c>
      <c r="F122" s="39"/>
      <c r="G122" s="257" t="str">
        <f t="shared" si="5"/>
        <v>ResSpHtHPZ1</v>
      </c>
      <c r="H122" s="39">
        <f>IF(B122="heat",VLOOKUP($A122,WeightedSavings!$E$10:$K$81,5,FALSE),0)</f>
        <v>65.640844494816903</v>
      </c>
    </row>
    <row r="123" spans="1:8" customFormat="1" ht="25.5">
      <c r="A123" s="255" t="str">
        <f>INDEX(WeightedSavings!$E$10:$E$81,FLOOR((ROW(A118))/3,1))</f>
        <v>Ground Source Heat Pump Upgrade from Air Source Heat Pump - Without Desuperheater - Existing House less than 4000 square feet - Heating Zone 1 - Cooling Zone 3</v>
      </c>
      <c r="B123" s="255" t="str">
        <f t="shared" si="6"/>
        <v>cool</v>
      </c>
      <c r="C123" s="39">
        <f>IF(B123="heat",VLOOKUP($A123,WeightedSavings!$E$10:$K$81,2,FALSE),IF(B123="cool",VLOOKUP($A123,WeightedSavings!$E$10:$K$81,3,FALSE),IF(B123="DHW",VLOOKUP($A123,WeightedSavings!$E$10:$K$81,4,FALSE),0)))</f>
        <v>247.7897780875</v>
      </c>
      <c r="D123" s="39">
        <f t="shared" si="7"/>
        <v>20</v>
      </c>
      <c r="E123" s="256">
        <f>IF(B123="heat",VLOOKUP(A123,WeightedSavings!$E$10:$K$81,5,FALSE), IF(B123="cool",0, IF(B123="DHW",VLOOKUP(A123,WeightedSavings!$E$10:K196,6,FALSE))))</f>
        <v>0</v>
      </c>
      <c r="F123" s="39"/>
      <c r="G123" s="257" t="str">
        <f t="shared" si="5"/>
        <v>ResCACPNW</v>
      </c>
      <c r="H123" s="39">
        <f>IF(B123="heat",VLOOKUP($A123,WeightedSavings!$E$10:$K$81,5,FALSE),0)</f>
        <v>0</v>
      </c>
    </row>
    <row r="124" spans="1:8" customFormat="1" ht="25.5">
      <c r="A124" s="255" t="str">
        <f>INDEX(WeightedSavings!$E$10:$E$81,FLOOR((ROW(A119))/3,1))</f>
        <v>Ground Source Heat Pump Upgrade from Air Source Heat Pump - Without Desuperheater - Existing House less than 4000 square feet - Heating Zone 1 - Cooling Zone 3</v>
      </c>
      <c r="B124" s="255" t="str">
        <f t="shared" si="6"/>
        <v>dhw</v>
      </c>
      <c r="C124" s="39">
        <f>IF(B124="heat",VLOOKUP($A124,WeightedSavings!$E$10:$K$81,2,FALSE),IF(B124="cool",VLOOKUP($A124,WeightedSavings!$E$10:$K$81,3,FALSE),IF(B124="DHW",VLOOKUP($A124,WeightedSavings!$E$10:$K$81,4,FALSE),0)))</f>
        <v>0</v>
      </c>
      <c r="D124" s="39">
        <f t="shared" si="7"/>
        <v>20</v>
      </c>
      <c r="E124" s="256">
        <f>IF(B124="heat",VLOOKUP(A124,WeightedSavings!$E$10:$K$81,5,FALSE), IF(B124="cool",0, IF(B124="DHW",VLOOKUP(A124,WeightedSavings!$E$10:K197,6,FALSE))))</f>
        <v>4434.0202749999999</v>
      </c>
      <c r="F124" s="39"/>
      <c r="G124" s="257" t="str">
        <f t="shared" si="5"/>
        <v>ResDHW</v>
      </c>
      <c r="H124" s="39">
        <f>IF(B124="heat",VLOOKUP($A124,WeightedSavings!$E$10:$K$81,5,FALSE),0)</f>
        <v>0</v>
      </c>
    </row>
    <row r="125" spans="1:8" customFormat="1" ht="25.5">
      <c r="A125" s="255" t="str">
        <f>INDEX(WeightedSavings!$E$10:$E$81,FLOOR((ROW(A120))/3,1))</f>
        <v>Ground Source Heat Pump Upgrade from Air Source Heat Pump - Without Desuperheater - Existing House less than 4000 square feet - Heating Zone 2 - Cooling Zone 1</v>
      </c>
      <c r="B125" s="255" t="str">
        <f t="shared" si="6"/>
        <v>heat</v>
      </c>
      <c r="C125" s="39">
        <f>IF(B125="heat",VLOOKUP($A125,WeightedSavings!$E$10:$K$81,2,FALSE),IF(B125="cool",VLOOKUP($A125,WeightedSavings!$E$10:$K$81,3,FALSE),IF(B125="DHW",VLOOKUP($A125,WeightedSavings!$E$10:$K$81,4,FALSE),0)))</f>
        <v>2029.667923461272</v>
      </c>
      <c r="D125" s="39">
        <f t="shared" si="7"/>
        <v>20</v>
      </c>
      <c r="E125" s="256">
        <f>IF(B125="heat",VLOOKUP(A125,WeightedSavings!$E$10:$K$81,5,FALSE), IF(B125="cool",0, IF(B125="DHW",VLOOKUP(A125,WeightedSavings!$E$10:K198,6,FALSE))))</f>
        <v>74.734024017957523</v>
      </c>
      <c r="F125" s="39"/>
      <c r="G125" s="257" t="str">
        <f t="shared" si="5"/>
        <v>ResSpHtHPZ2</v>
      </c>
      <c r="H125" s="39">
        <f>IF(B125="heat",VLOOKUP($A125,WeightedSavings!$E$10:$K$81,5,FALSE),0)</f>
        <v>74.734024017957523</v>
      </c>
    </row>
    <row r="126" spans="1:8" customFormat="1" ht="25.5">
      <c r="A126" s="255" t="str">
        <f>INDEX(WeightedSavings!$E$10:$E$81,FLOOR((ROW(A121))/3,1))</f>
        <v>Ground Source Heat Pump Upgrade from Air Source Heat Pump - Without Desuperheater - Existing House less than 4000 square feet - Heating Zone 2 - Cooling Zone 1</v>
      </c>
      <c r="B126" s="255" t="str">
        <f t="shared" si="6"/>
        <v>cool</v>
      </c>
      <c r="C126" s="39">
        <f>IF(B126="heat",VLOOKUP($A126,WeightedSavings!$E$10:$K$81,2,FALSE),IF(B126="cool",VLOOKUP($A126,WeightedSavings!$E$10:$K$81,3,FALSE),IF(B126="DHW",VLOOKUP($A126,WeightedSavings!$E$10:$K$81,4,FALSE),0)))</f>
        <v>36.457379194642868</v>
      </c>
      <c r="D126" s="39">
        <f t="shared" si="7"/>
        <v>20</v>
      </c>
      <c r="E126" s="256">
        <f>IF(B126="heat",VLOOKUP(A126,WeightedSavings!$E$10:$K$81,5,FALSE), IF(B126="cool",0, IF(B126="DHW",VLOOKUP(A126,WeightedSavings!$E$10:K199,6,FALSE))))</f>
        <v>0</v>
      </c>
      <c r="F126" s="39"/>
      <c r="G126" s="257" t="str">
        <f t="shared" si="5"/>
        <v>ResCACPNW</v>
      </c>
      <c r="H126" s="39">
        <f>IF(B126="heat",VLOOKUP($A126,WeightedSavings!$E$10:$K$81,5,FALSE),0)</f>
        <v>0</v>
      </c>
    </row>
    <row r="127" spans="1:8" customFormat="1" ht="25.5">
      <c r="A127" s="255" t="str">
        <f>INDEX(WeightedSavings!$E$10:$E$81,FLOOR((ROW(A122))/3,1))</f>
        <v>Ground Source Heat Pump Upgrade from Air Source Heat Pump - Without Desuperheater - Existing House less than 4000 square feet - Heating Zone 2 - Cooling Zone 1</v>
      </c>
      <c r="B127" s="255" t="str">
        <f t="shared" si="6"/>
        <v>dhw</v>
      </c>
      <c r="C127" s="39">
        <f>IF(B127="heat",VLOOKUP($A127,WeightedSavings!$E$10:$K$81,2,FALSE),IF(B127="cool",VLOOKUP($A127,WeightedSavings!$E$10:$K$81,3,FALSE),IF(B127="DHW",VLOOKUP($A127,WeightedSavings!$E$10:$K$81,4,FALSE),0)))</f>
        <v>0</v>
      </c>
      <c r="D127" s="39">
        <f t="shared" si="7"/>
        <v>20</v>
      </c>
      <c r="E127" s="256">
        <f>IF(B127="heat",VLOOKUP(A127,WeightedSavings!$E$10:$K$81,5,FALSE), IF(B127="cool",0, IF(B127="DHW",VLOOKUP(A127,WeightedSavings!$E$10:K200,6,FALSE))))</f>
        <v>8878.381625</v>
      </c>
      <c r="F127" s="39"/>
      <c r="G127" s="257" t="str">
        <f t="shared" si="5"/>
        <v>ResDHW</v>
      </c>
      <c r="H127" s="39">
        <f>IF(B127="heat",VLOOKUP($A127,WeightedSavings!$E$10:$K$81,5,FALSE),0)</f>
        <v>0</v>
      </c>
    </row>
    <row r="128" spans="1:8" customFormat="1" ht="25.5">
      <c r="A128" s="255" t="str">
        <f>INDEX(WeightedSavings!$E$10:$E$81,FLOOR((ROW(A123))/3,1))</f>
        <v>Ground Source Heat Pump Upgrade from Air Source Heat Pump - Without Desuperheater - Existing House less than 4000 square feet - Heating Zone 2 - Cooling Zone 2</v>
      </c>
      <c r="B128" s="255" t="str">
        <f t="shared" si="6"/>
        <v>heat</v>
      </c>
      <c r="C128" s="39">
        <f>IF(B128="heat",VLOOKUP($A128,WeightedSavings!$E$10:$K$81,2,FALSE),IF(B128="cool",VLOOKUP($A128,WeightedSavings!$E$10:$K$81,3,FALSE),IF(B128="DHW",VLOOKUP($A128,WeightedSavings!$E$10:$K$81,4,FALSE),0)))</f>
        <v>2029.667923461272</v>
      </c>
      <c r="D128" s="39">
        <f t="shared" si="7"/>
        <v>20</v>
      </c>
      <c r="E128" s="256">
        <f>IF(B128="heat",VLOOKUP(A128,WeightedSavings!$E$10:$K$81,5,FALSE), IF(B128="cool",0, IF(B128="DHW",VLOOKUP(A128,WeightedSavings!$E$10:K201,6,FALSE))))</f>
        <v>74.734024017957523</v>
      </c>
      <c r="F128" s="39"/>
      <c r="G128" s="257" t="str">
        <f t="shared" si="5"/>
        <v>ResSpHtHPZ2</v>
      </c>
      <c r="H128" s="39">
        <f>IF(B128="heat",VLOOKUP($A128,WeightedSavings!$E$10:$K$81,5,FALSE),0)</f>
        <v>74.734024017957523</v>
      </c>
    </row>
    <row r="129" spans="1:8" customFormat="1" ht="25.5">
      <c r="A129" s="255" t="str">
        <f>INDEX(WeightedSavings!$E$10:$E$81,FLOOR((ROW(A124))/3,1))</f>
        <v>Ground Source Heat Pump Upgrade from Air Source Heat Pump - Without Desuperheater - Existing House less than 4000 square feet - Heating Zone 2 - Cooling Zone 2</v>
      </c>
      <c r="B129" s="255" t="str">
        <f t="shared" si="6"/>
        <v>cool</v>
      </c>
      <c r="C129" s="39">
        <f>IF(B129="heat",VLOOKUP($A129,WeightedSavings!$E$10:$K$81,2,FALSE),IF(B129="cool",VLOOKUP($A129,WeightedSavings!$E$10:$K$81,3,FALSE),IF(B129="DHW",VLOOKUP($A129,WeightedSavings!$E$10:$K$81,4,FALSE),0)))</f>
        <v>115.74816613571434</v>
      </c>
      <c r="D129" s="39">
        <f t="shared" si="7"/>
        <v>20</v>
      </c>
      <c r="E129" s="256">
        <f>IF(B129="heat",VLOOKUP(A129,WeightedSavings!$E$10:$K$81,5,FALSE), IF(B129="cool",0, IF(B129="DHW",VLOOKUP(A129,WeightedSavings!$E$10:K202,6,FALSE))))</f>
        <v>0</v>
      </c>
      <c r="F129" s="39"/>
      <c r="G129" s="257" t="str">
        <f t="shared" si="5"/>
        <v>ResCACPNW</v>
      </c>
      <c r="H129" s="39">
        <f>IF(B129="heat",VLOOKUP($A129,WeightedSavings!$E$10:$K$81,5,FALSE),0)</f>
        <v>0</v>
      </c>
    </row>
    <row r="130" spans="1:8" customFormat="1" ht="25.5">
      <c r="A130" s="255" t="str">
        <f>INDEX(WeightedSavings!$E$10:$E$81,FLOOR((ROW(A125))/3,1))</f>
        <v>Ground Source Heat Pump Upgrade from Air Source Heat Pump - Without Desuperheater - Existing House less than 4000 square feet - Heating Zone 2 - Cooling Zone 2</v>
      </c>
      <c r="B130" s="255" t="str">
        <f t="shared" si="6"/>
        <v>dhw</v>
      </c>
      <c r="C130" s="39">
        <f>IF(B130="heat",VLOOKUP($A130,WeightedSavings!$E$10:$K$81,2,FALSE),IF(B130="cool",VLOOKUP($A130,WeightedSavings!$E$10:$K$81,3,FALSE),IF(B130="DHW",VLOOKUP($A130,WeightedSavings!$E$10:$K$81,4,FALSE),0)))</f>
        <v>0</v>
      </c>
      <c r="D130" s="39">
        <f t="shared" si="7"/>
        <v>20</v>
      </c>
      <c r="E130" s="256">
        <f>IF(B130="heat",VLOOKUP(A130,WeightedSavings!$E$10:$K$81,5,FALSE), IF(B130="cool",0, IF(B130="DHW",VLOOKUP(A130,WeightedSavings!$E$10:K203,6,FALSE))))</f>
        <v>8878.381625</v>
      </c>
      <c r="F130" s="39"/>
      <c r="G130" s="257" t="str">
        <f t="shared" si="5"/>
        <v>ResDHW</v>
      </c>
      <c r="H130" s="39">
        <f>IF(B130="heat",VLOOKUP($A130,WeightedSavings!$E$10:$K$81,5,FALSE),0)</f>
        <v>0</v>
      </c>
    </row>
    <row r="131" spans="1:8" customFormat="1" ht="25.5">
      <c r="A131" s="255" t="str">
        <f>INDEX(WeightedSavings!$E$10:$E$81,FLOOR((ROW(A126))/3,1))</f>
        <v>Ground Source Heat Pump Upgrade from Air Source Heat Pump - Without Desuperheater - Existing House less than 4000 square feet - Heating Zone 2 - Cooling Zone 3</v>
      </c>
      <c r="B131" s="255" t="str">
        <f t="shared" si="6"/>
        <v>heat</v>
      </c>
      <c r="C131" s="39">
        <f>IF(B131="heat",VLOOKUP($A131,WeightedSavings!$E$10:$K$81,2,FALSE),IF(B131="cool",VLOOKUP($A131,WeightedSavings!$E$10:$K$81,3,FALSE),IF(B131="DHW",VLOOKUP($A131,WeightedSavings!$E$10:$K$81,4,FALSE),0)))</f>
        <v>2029.667923461272</v>
      </c>
      <c r="D131" s="39">
        <f t="shared" si="7"/>
        <v>20</v>
      </c>
      <c r="E131" s="256">
        <f>IF(B131="heat",VLOOKUP(A131,WeightedSavings!$E$10:$K$81,5,FALSE), IF(B131="cool",0, IF(B131="DHW",VLOOKUP(A131,WeightedSavings!$E$10:K204,6,FALSE))))</f>
        <v>74.734024017957523</v>
      </c>
      <c r="F131" s="39"/>
      <c r="G131" s="257" t="str">
        <f t="shared" si="5"/>
        <v>ResSpHtHPZ2</v>
      </c>
      <c r="H131" s="39">
        <f>IF(B131="heat",VLOOKUP($A131,WeightedSavings!$E$10:$K$81,5,FALSE),0)</f>
        <v>74.734024017957523</v>
      </c>
    </row>
    <row r="132" spans="1:8" customFormat="1" ht="25.5">
      <c r="A132" s="255" t="str">
        <f>INDEX(WeightedSavings!$E$10:$E$81,FLOOR((ROW(A127))/3,1))</f>
        <v>Ground Source Heat Pump Upgrade from Air Source Heat Pump - Without Desuperheater - Existing House less than 4000 square feet - Heating Zone 2 - Cooling Zone 3</v>
      </c>
      <c r="B132" s="255" t="str">
        <f t="shared" si="6"/>
        <v>cool</v>
      </c>
      <c r="C132" s="39">
        <f>IF(B132="heat",VLOOKUP($A132,WeightedSavings!$E$10:$K$81,2,FALSE),IF(B132="cool",VLOOKUP($A132,WeightedSavings!$E$10:$K$81,3,FALSE),IF(B132="DHW",VLOOKUP($A132,WeightedSavings!$E$10:$K$81,4,FALSE),0)))</f>
        <v>247.7897780875</v>
      </c>
      <c r="D132" s="39">
        <f t="shared" si="7"/>
        <v>20</v>
      </c>
      <c r="E132" s="256">
        <f>IF(B132="heat",VLOOKUP(A132,WeightedSavings!$E$10:$K$81,5,FALSE), IF(B132="cool",0, IF(B132="DHW",VLOOKUP(A132,WeightedSavings!$E$10:K205,6,FALSE))))</f>
        <v>0</v>
      </c>
      <c r="F132" s="39"/>
      <c r="G132" s="257" t="str">
        <f t="shared" si="5"/>
        <v>ResCACPNW</v>
      </c>
      <c r="H132" s="39">
        <f>IF(B132="heat",VLOOKUP($A132,WeightedSavings!$E$10:$K$81,5,FALSE),0)</f>
        <v>0</v>
      </c>
    </row>
    <row r="133" spans="1:8" customFormat="1" ht="25.5">
      <c r="A133" s="255" t="str">
        <f>INDEX(WeightedSavings!$E$10:$E$81,FLOOR((ROW(A128))/3,1))</f>
        <v>Ground Source Heat Pump Upgrade from Air Source Heat Pump - Without Desuperheater - Existing House less than 4000 square feet - Heating Zone 2 - Cooling Zone 3</v>
      </c>
      <c r="B133" s="255" t="str">
        <f t="shared" si="6"/>
        <v>dhw</v>
      </c>
      <c r="C133" s="39">
        <f>IF(B133="heat",VLOOKUP($A133,WeightedSavings!$E$10:$K$81,2,FALSE),IF(B133="cool",VLOOKUP($A133,WeightedSavings!$E$10:$K$81,3,FALSE),IF(B133="DHW",VLOOKUP($A133,WeightedSavings!$E$10:$K$81,4,FALSE),0)))</f>
        <v>0</v>
      </c>
      <c r="D133" s="39">
        <f t="shared" si="7"/>
        <v>20</v>
      </c>
      <c r="E133" s="256">
        <f>IF(B133="heat",VLOOKUP(A133,WeightedSavings!$E$10:$K$81,5,FALSE), IF(B133="cool",0, IF(B133="DHW",VLOOKUP(A133,WeightedSavings!$E$10:K206,6,FALSE))))</f>
        <v>8878.381625</v>
      </c>
      <c r="F133" s="39"/>
      <c r="G133" s="257" t="str">
        <f t="shared" si="5"/>
        <v>ResDHW</v>
      </c>
      <c r="H133" s="39">
        <f>IF(B133="heat",VLOOKUP($A133,WeightedSavings!$E$10:$K$81,5,FALSE),0)</f>
        <v>0</v>
      </c>
    </row>
    <row r="134" spans="1:8" customFormat="1" ht="25.5">
      <c r="A134" s="255" t="str">
        <f>INDEX(WeightedSavings!$E$10:$E$81,FLOOR((ROW(A129))/3,1))</f>
        <v>Ground Source Heat Pump Upgrade from Air Source Heat Pump - Without Desuperheater - Existing House less than 4000 square feet - Heating Zone 3 - Cooling Zone 1</v>
      </c>
      <c r="B134" s="255" t="str">
        <f t="shared" si="6"/>
        <v>heat</v>
      </c>
      <c r="C134" s="39">
        <f>IF(B134="heat",VLOOKUP($A134,WeightedSavings!$E$10:$K$81,2,FALSE),IF(B134="cool",VLOOKUP($A134,WeightedSavings!$E$10:$K$81,3,FALSE),IF(B134="DHW",VLOOKUP($A134,WeightedSavings!$E$10:$K$81,4,FALSE),0)))</f>
        <v>2846.9217547772409</v>
      </c>
      <c r="D134" s="39">
        <f t="shared" si="7"/>
        <v>20</v>
      </c>
      <c r="E134" s="256">
        <f>IF(B134="heat",VLOOKUP(A134,WeightedSavings!$E$10:$K$81,5,FALSE), IF(B134="cool",0, IF(B134="DHW",VLOOKUP(A134,WeightedSavings!$E$10:K207,6,FALSE))))</f>
        <v>88.202057501002372</v>
      </c>
      <c r="F134" s="39"/>
      <c r="G134" s="257" t="str">
        <f t="shared" si="5"/>
        <v>ResSpHtHPZ3</v>
      </c>
      <c r="H134" s="39">
        <f>IF(B134="heat",VLOOKUP($A134,WeightedSavings!$E$10:$K$81,5,FALSE),0)</f>
        <v>88.202057501002372</v>
      </c>
    </row>
    <row r="135" spans="1:8" customFormat="1" ht="25.5">
      <c r="A135" s="255" t="str">
        <f>INDEX(WeightedSavings!$E$10:$E$81,FLOOR((ROW(A130))/3,1))</f>
        <v>Ground Source Heat Pump Upgrade from Air Source Heat Pump - Without Desuperheater - Existing House less than 4000 square feet - Heating Zone 3 - Cooling Zone 1</v>
      </c>
      <c r="B135" s="255" t="str">
        <f t="shared" si="6"/>
        <v>cool</v>
      </c>
      <c r="C135" s="39">
        <f>IF(B135="heat",VLOOKUP($A135,WeightedSavings!$E$10:$K$81,2,FALSE),IF(B135="cool",VLOOKUP($A135,WeightedSavings!$E$10:$K$81,3,FALSE),IF(B135="DHW",VLOOKUP($A135,WeightedSavings!$E$10:$K$81,4,FALSE),0)))</f>
        <v>36.457379194642868</v>
      </c>
      <c r="D135" s="39">
        <f t="shared" si="7"/>
        <v>20</v>
      </c>
      <c r="E135" s="256">
        <f>IF(B135="heat",VLOOKUP(A135,WeightedSavings!$E$10:$K$81,5,FALSE), IF(B135="cool",0, IF(B135="DHW",VLOOKUP(A135,WeightedSavings!$E$10:K208,6,FALSE))))</f>
        <v>0</v>
      </c>
      <c r="F135" s="39"/>
      <c r="G135" s="257" t="str">
        <f t="shared" si="5"/>
        <v>ResCACPNW</v>
      </c>
      <c r="H135" s="39">
        <f>IF(B135="heat",VLOOKUP($A135,WeightedSavings!$E$10:$K$81,5,FALSE),0)</f>
        <v>0</v>
      </c>
    </row>
    <row r="136" spans="1:8" customFormat="1" ht="25.5">
      <c r="A136" s="255" t="str">
        <f>INDEX(WeightedSavings!$E$10:$E$81,FLOOR((ROW(A131))/3,1))</f>
        <v>Ground Source Heat Pump Upgrade from Air Source Heat Pump - Without Desuperheater - Existing House less than 4000 square feet - Heating Zone 3 - Cooling Zone 1</v>
      </c>
      <c r="B136" s="255" t="str">
        <f t="shared" si="6"/>
        <v>dhw</v>
      </c>
      <c r="C136" s="39">
        <f>IF(B136="heat",VLOOKUP($A136,WeightedSavings!$E$10:$K$81,2,FALSE),IF(B136="cool",VLOOKUP($A136,WeightedSavings!$E$10:$K$81,3,FALSE),IF(B136="DHW",VLOOKUP($A136,WeightedSavings!$E$10:$K$81,4,FALSE),0)))</f>
        <v>0</v>
      </c>
      <c r="D136" s="39">
        <f t="shared" si="7"/>
        <v>20</v>
      </c>
      <c r="E136" s="256">
        <f>IF(B136="heat",VLOOKUP(A136,WeightedSavings!$E$10:$K$81,5,FALSE), IF(B136="cool",0, IF(B136="DHW",VLOOKUP(A136,WeightedSavings!$E$10:K209,6,FALSE))))</f>
        <v>14478.166725000003</v>
      </c>
      <c r="F136" s="39"/>
      <c r="G136" s="257" t="str">
        <f t="shared" si="5"/>
        <v>ResDHW</v>
      </c>
      <c r="H136" s="39">
        <f>IF(B136="heat",VLOOKUP($A136,WeightedSavings!$E$10:$K$81,5,FALSE),0)</f>
        <v>0</v>
      </c>
    </row>
    <row r="137" spans="1:8" customFormat="1" ht="25.5">
      <c r="A137" s="255" t="str">
        <f>INDEX(WeightedSavings!$E$10:$E$81,FLOOR((ROW(A132))/3,1))</f>
        <v>Ground Source Heat Pump Upgrade from Air Source Heat Pump - Without Desuperheater - Existing House less than 4000 square feet - Heating Zone 3 - Cooling Zone 2</v>
      </c>
      <c r="B137" s="255" t="str">
        <f t="shared" si="6"/>
        <v>heat</v>
      </c>
      <c r="C137" s="39">
        <f>IF(B137="heat",VLOOKUP($A137,WeightedSavings!$E$10:$K$81,2,FALSE),IF(B137="cool",VLOOKUP($A137,WeightedSavings!$E$10:$K$81,3,FALSE),IF(B137="DHW",VLOOKUP($A137,WeightedSavings!$E$10:$K$81,4,FALSE),0)))</f>
        <v>2846.9217547772409</v>
      </c>
      <c r="D137" s="39">
        <f t="shared" si="7"/>
        <v>20</v>
      </c>
      <c r="E137" s="256">
        <f>IF(B137="heat",VLOOKUP(A137,WeightedSavings!$E$10:$K$81,5,FALSE), IF(B137="cool",0, IF(B137="DHW",VLOOKUP(A137,WeightedSavings!$E$10:K210,6,FALSE))))</f>
        <v>88.202057501002372</v>
      </c>
      <c r="F137" s="39"/>
      <c r="G137" s="257" t="str">
        <f t="shared" ref="G137:G200" si="8">IF(B137="heat",IF(MID(A137,SEARCH("Heating Zone",A137)+13,1)="1","ResSpHtHPZ1",IF(MID(A137,SEARCH("Heating Zone",A137)+13,1)="2","ResSpHtHPZ2","ResSpHtHPZ3")),IF(B137="cool","ResCACPNW",IF(B137="DHW","ResDHW")))</f>
        <v>ResSpHtHPZ3</v>
      </c>
      <c r="H137" s="39">
        <f>IF(B137="heat",VLOOKUP($A137,WeightedSavings!$E$10:$K$81,5,FALSE),0)</f>
        <v>88.202057501002372</v>
      </c>
    </row>
    <row r="138" spans="1:8" customFormat="1" ht="25.5">
      <c r="A138" s="255" t="str">
        <f>INDEX(WeightedSavings!$E$10:$E$81,FLOOR((ROW(A133))/3,1))</f>
        <v>Ground Source Heat Pump Upgrade from Air Source Heat Pump - Without Desuperheater - Existing House less than 4000 square feet - Heating Zone 3 - Cooling Zone 2</v>
      </c>
      <c r="B138" s="255" t="str">
        <f t="shared" si="6"/>
        <v>cool</v>
      </c>
      <c r="C138" s="39">
        <f>IF(B138="heat",VLOOKUP($A138,WeightedSavings!$E$10:$K$81,2,FALSE),IF(B138="cool",VLOOKUP($A138,WeightedSavings!$E$10:$K$81,3,FALSE),IF(B138="DHW",VLOOKUP($A138,WeightedSavings!$E$10:$K$81,4,FALSE),0)))</f>
        <v>115.74816613571434</v>
      </c>
      <c r="D138" s="39">
        <f t="shared" si="7"/>
        <v>20</v>
      </c>
      <c r="E138" s="256">
        <f>IF(B138="heat",VLOOKUP(A138,WeightedSavings!$E$10:$K$81,5,FALSE), IF(B138="cool",0, IF(B138="DHW",VLOOKUP(A138,WeightedSavings!$E$10:K211,6,FALSE))))</f>
        <v>0</v>
      </c>
      <c r="F138" s="39"/>
      <c r="G138" s="257" t="str">
        <f t="shared" si="8"/>
        <v>ResCACPNW</v>
      </c>
      <c r="H138" s="39">
        <f>IF(B138="heat",VLOOKUP($A138,WeightedSavings!$E$10:$K$81,5,FALSE),0)</f>
        <v>0</v>
      </c>
    </row>
    <row r="139" spans="1:8" customFormat="1" ht="25.5">
      <c r="A139" s="255" t="str">
        <f>INDEX(WeightedSavings!$E$10:$E$81,FLOOR((ROW(A134))/3,1))</f>
        <v>Ground Source Heat Pump Upgrade from Air Source Heat Pump - Without Desuperheater - Existing House less than 4000 square feet - Heating Zone 3 - Cooling Zone 2</v>
      </c>
      <c r="B139" s="255" t="str">
        <f t="shared" si="6"/>
        <v>dhw</v>
      </c>
      <c r="C139" s="39">
        <f>IF(B139="heat",VLOOKUP($A139,WeightedSavings!$E$10:$K$81,2,FALSE),IF(B139="cool",VLOOKUP($A139,WeightedSavings!$E$10:$K$81,3,FALSE),IF(B139="DHW",VLOOKUP($A139,WeightedSavings!$E$10:$K$81,4,FALSE),0)))</f>
        <v>0</v>
      </c>
      <c r="D139" s="39">
        <f t="shared" si="7"/>
        <v>20</v>
      </c>
      <c r="E139" s="256">
        <f>IF(B139="heat",VLOOKUP(A139,WeightedSavings!$E$10:$K$81,5,FALSE), IF(B139="cool",0, IF(B139="DHW",VLOOKUP(A139,WeightedSavings!$E$10:K212,6,FALSE))))</f>
        <v>14478.166725000003</v>
      </c>
      <c r="F139" s="39"/>
      <c r="G139" s="257" t="str">
        <f t="shared" si="8"/>
        <v>ResDHW</v>
      </c>
      <c r="H139" s="39">
        <f>IF(B139="heat",VLOOKUP($A139,WeightedSavings!$E$10:$K$81,5,FALSE),0)</f>
        <v>0</v>
      </c>
    </row>
    <row r="140" spans="1:8" customFormat="1" ht="25.5">
      <c r="A140" s="255" t="str">
        <f>INDEX(WeightedSavings!$E$10:$E$81,FLOOR((ROW(A135))/3,1))</f>
        <v>Ground Source Heat Pump Upgrade from Air Source Heat Pump - Without Desuperheater - Existing House less than 4000 square feet - Heating Zone 3 - Cooling Zone 3</v>
      </c>
      <c r="B140" s="255" t="str">
        <f t="shared" ref="B140:B203" si="9">B137</f>
        <v>heat</v>
      </c>
      <c r="C140" s="39">
        <f>IF(B140="heat",VLOOKUP($A140,WeightedSavings!$E$10:$K$81,2,FALSE),IF(B140="cool",VLOOKUP($A140,WeightedSavings!$E$10:$K$81,3,FALSE),IF(B140="DHW",VLOOKUP($A140,WeightedSavings!$E$10:$K$81,4,FALSE),0)))</f>
        <v>2846.9217547772409</v>
      </c>
      <c r="D140" s="39">
        <f t="shared" si="7"/>
        <v>20</v>
      </c>
      <c r="E140" s="256">
        <f>IF(B140="heat",VLOOKUP(A140,WeightedSavings!$E$10:$K$81,5,FALSE), IF(B140="cool",0, IF(B140="DHW",VLOOKUP(A140,WeightedSavings!$E$10:K213,6,FALSE))))</f>
        <v>88.202057501002372</v>
      </c>
      <c r="F140" s="39"/>
      <c r="G140" s="257" t="str">
        <f t="shared" si="8"/>
        <v>ResSpHtHPZ3</v>
      </c>
      <c r="H140" s="39">
        <f>IF(B140="heat",VLOOKUP($A140,WeightedSavings!$E$10:$K$81,5,FALSE),0)</f>
        <v>88.202057501002372</v>
      </c>
    </row>
    <row r="141" spans="1:8" customFormat="1" ht="25.5">
      <c r="A141" s="255" t="str">
        <f>INDEX(WeightedSavings!$E$10:$E$81,FLOOR((ROW(A136))/3,1))</f>
        <v>Ground Source Heat Pump Upgrade from Air Source Heat Pump - Without Desuperheater - Existing House less than 4000 square feet - Heating Zone 3 - Cooling Zone 3</v>
      </c>
      <c r="B141" s="255" t="str">
        <f t="shared" si="9"/>
        <v>cool</v>
      </c>
      <c r="C141" s="39">
        <f>IF(B141="heat",VLOOKUP($A141,WeightedSavings!$E$10:$K$81,2,FALSE),IF(B141="cool",VLOOKUP($A141,WeightedSavings!$E$10:$K$81,3,FALSE),IF(B141="DHW",VLOOKUP($A141,WeightedSavings!$E$10:$K$81,4,FALSE),0)))</f>
        <v>247.7897780875</v>
      </c>
      <c r="D141" s="39">
        <f t="shared" si="7"/>
        <v>20</v>
      </c>
      <c r="E141" s="256">
        <f>IF(B141="heat",VLOOKUP(A141,WeightedSavings!$E$10:$K$81,5,FALSE), IF(B141="cool",0, IF(B141="DHW",VLOOKUP(A141,WeightedSavings!$E$10:K214,6,FALSE))))</f>
        <v>0</v>
      </c>
      <c r="F141" s="39"/>
      <c r="G141" s="257" t="str">
        <f t="shared" si="8"/>
        <v>ResCACPNW</v>
      </c>
      <c r="H141" s="39">
        <f>IF(B141="heat",VLOOKUP($A141,WeightedSavings!$E$10:$K$81,5,FALSE),0)</f>
        <v>0</v>
      </c>
    </row>
    <row r="142" spans="1:8" customFormat="1" ht="25.5">
      <c r="A142" s="255" t="str">
        <f>INDEX(WeightedSavings!$E$10:$E$81,FLOOR((ROW(A137))/3,1))</f>
        <v>Ground Source Heat Pump Upgrade from Air Source Heat Pump - Without Desuperheater - Existing House less than 4000 square feet - Heating Zone 3 - Cooling Zone 3</v>
      </c>
      <c r="B142" s="255" t="str">
        <f t="shared" si="9"/>
        <v>dhw</v>
      </c>
      <c r="C142" s="39">
        <f>IF(B142="heat",VLOOKUP($A142,WeightedSavings!$E$10:$K$81,2,FALSE),IF(B142="cool",VLOOKUP($A142,WeightedSavings!$E$10:$K$81,3,FALSE),IF(B142="DHW",VLOOKUP($A142,WeightedSavings!$E$10:$K$81,4,FALSE),0)))</f>
        <v>0</v>
      </c>
      <c r="D142" s="39">
        <f t="shared" si="7"/>
        <v>20</v>
      </c>
      <c r="E142" s="256">
        <f>IF(B142="heat",VLOOKUP(A142,WeightedSavings!$E$10:$K$81,5,FALSE), IF(B142="cool",0, IF(B142="DHW",VLOOKUP(A142,WeightedSavings!$E$10:K215,6,FALSE))))</f>
        <v>14478.166725000003</v>
      </c>
      <c r="F142" s="39"/>
      <c r="G142" s="257" t="str">
        <f t="shared" si="8"/>
        <v>ResDHW</v>
      </c>
      <c r="H142" s="39">
        <f>IF(B142="heat",VLOOKUP($A142,WeightedSavings!$E$10:$K$81,5,FALSE),0)</f>
        <v>0</v>
      </c>
    </row>
    <row r="143" spans="1:8" customFormat="1" ht="25.5">
      <c r="A143" s="255" t="str">
        <f>INDEX(WeightedSavings!$E$10:$E$81,FLOOR((ROW(A138))/3,1))</f>
        <v>Ground Source Heat Pump Upgrade from Air Source Heat Pump - Without Desuperheater - Existing House 4000 square feet or greater - Heating Zone 1 - Cooling Zone 1</v>
      </c>
      <c r="B143" s="255" t="str">
        <f t="shared" si="9"/>
        <v>heat</v>
      </c>
      <c r="C143" s="39">
        <f>IF(B143="heat",VLOOKUP($A143,WeightedSavings!$E$10:$K$81,2,FALSE),IF(B143="cool",VLOOKUP($A143,WeightedSavings!$E$10:$K$81,3,FALSE),IF(B143="DHW",VLOOKUP($A143,WeightedSavings!$E$10:$K$81,4,FALSE),0)))</f>
        <v>1693.566363448037</v>
      </c>
      <c r="D143" s="39">
        <f t="shared" si="7"/>
        <v>20</v>
      </c>
      <c r="E143" s="256">
        <f>IF(B143="heat",VLOOKUP(A143,WeightedSavings!$E$10:$K$81,5,FALSE), IF(B143="cool",0, IF(B143="DHW",VLOOKUP(A143,WeightedSavings!$E$10:K216,6,FALSE))))</f>
        <v>118.40726694086749</v>
      </c>
      <c r="F143" s="39"/>
      <c r="G143" s="257" t="str">
        <f t="shared" si="8"/>
        <v>ResSpHtHPZ1</v>
      </c>
      <c r="H143" s="39">
        <f>IF(B143="heat",VLOOKUP($A143,WeightedSavings!$E$10:$K$81,5,FALSE),0)</f>
        <v>118.40726694086749</v>
      </c>
    </row>
    <row r="144" spans="1:8" customFormat="1" ht="25.5">
      <c r="A144" s="255" t="str">
        <f>INDEX(WeightedSavings!$E$10:$E$81,FLOOR((ROW(A139))/3,1))</f>
        <v>Ground Source Heat Pump Upgrade from Air Source Heat Pump - Without Desuperheater - Existing House 4000 square feet or greater - Heating Zone 1 - Cooling Zone 1</v>
      </c>
      <c r="B144" s="255" t="str">
        <f t="shared" si="9"/>
        <v>cool</v>
      </c>
      <c r="C144" s="39">
        <f>IF(B144="heat",VLOOKUP($A144,WeightedSavings!$E$10:$K$81,2,FALSE),IF(B144="cool",VLOOKUP($A144,WeightedSavings!$E$10:$K$81,3,FALSE),IF(B144="DHW",VLOOKUP($A144,WeightedSavings!$E$10:$K$81,4,FALSE),0)))</f>
        <v>61.308651749999967</v>
      </c>
      <c r="D144" s="39">
        <f t="shared" si="7"/>
        <v>20</v>
      </c>
      <c r="E144" s="256">
        <f>IF(B144="heat",VLOOKUP(A144,WeightedSavings!$E$10:$K$81,5,FALSE), IF(B144="cool",0, IF(B144="DHW",VLOOKUP(A144,WeightedSavings!$E$10:K217,6,FALSE))))</f>
        <v>0</v>
      </c>
      <c r="F144" s="39"/>
      <c r="G144" s="257" t="str">
        <f t="shared" si="8"/>
        <v>ResCACPNW</v>
      </c>
      <c r="H144" s="39">
        <f>IF(B144="heat",VLOOKUP($A144,WeightedSavings!$E$10:$K$81,5,FALSE),0)</f>
        <v>0</v>
      </c>
    </row>
    <row r="145" spans="1:8" customFormat="1" ht="25.5">
      <c r="A145" s="255" t="str">
        <f>INDEX(WeightedSavings!$E$10:$E$81,FLOOR((ROW(A140))/3,1))</f>
        <v>Ground Source Heat Pump Upgrade from Air Source Heat Pump - Without Desuperheater - Existing House 4000 square feet or greater - Heating Zone 1 - Cooling Zone 1</v>
      </c>
      <c r="B145" s="255" t="str">
        <f t="shared" si="9"/>
        <v>dhw</v>
      </c>
      <c r="C145" s="39">
        <f>IF(B145="heat",VLOOKUP($A145,WeightedSavings!$E$10:$K$81,2,FALSE),IF(B145="cool",VLOOKUP($A145,WeightedSavings!$E$10:$K$81,3,FALSE),IF(B145="DHW",VLOOKUP($A145,WeightedSavings!$E$10:$K$81,4,FALSE),0)))</f>
        <v>0</v>
      </c>
      <c r="D145" s="39">
        <f t="shared" ref="D145:D208" si="10">D136</f>
        <v>20</v>
      </c>
      <c r="E145" s="256">
        <f>IF(B145="heat",VLOOKUP(A145,WeightedSavings!$E$10:$K$81,5,FALSE), IF(B145="cool",0, IF(B145="DHW",VLOOKUP(A145,WeightedSavings!$E$10:K218,6,FALSE))))</f>
        <v>6948.3720000000003</v>
      </c>
      <c r="F145" s="39"/>
      <c r="G145" s="257" t="str">
        <f t="shared" si="8"/>
        <v>ResDHW</v>
      </c>
      <c r="H145" s="39">
        <f>IF(B145="heat",VLOOKUP($A145,WeightedSavings!$E$10:$K$81,5,FALSE),0)</f>
        <v>0</v>
      </c>
    </row>
    <row r="146" spans="1:8" customFormat="1" ht="25.5">
      <c r="A146" s="255" t="str">
        <f>INDEX(WeightedSavings!$E$10:$E$81,FLOOR((ROW(A141))/3,1))</f>
        <v>Ground Source Heat Pump Upgrade from Air Source Heat Pump - Without Desuperheater - Existing House 4000 square feet or greater - Heating Zone 1 - Cooling Zone 2</v>
      </c>
      <c r="B146" s="255" t="str">
        <f t="shared" si="9"/>
        <v>heat</v>
      </c>
      <c r="C146" s="39">
        <f>IF(B146="heat",VLOOKUP($A146,WeightedSavings!$E$10:$K$81,2,FALSE),IF(B146="cool",VLOOKUP($A146,WeightedSavings!$E$10:$K$81,3,FALSE),IF(B146="DHW",VLOOKUP($A146,WeightedSavings!$E$10:$K$81,4,FALSE),0)))</f>
        <v>1693.566363448037</v>
      </c>
      <c r="D146" s="39">
        <f t="shared" si="10"/>
        <v>20</v>
      </c>
      <c r="E146" s="256">
        <f>IF(B146="heat",VLOOKUP(A146,WeightedSavings!$E$10:$K$81,5,FALSE), IF(B146="cool",0, IF(B146="DHW",VLOOKUP(A146,WeightedSavings!$E$10:K219,6,FALSE))))</f>
        <v>118.40726694086749</v>
      </c>
      <c r="F146" s="39"/>
      <c r="G146" s="257" t="str">
        <f t="shared" si="8"/>
        <v>ResSpHtHPZ1</v>
      </c>
      <c r="H146" s="39">
        <f>IF(B146="heat",VLOOKUP($A146,WeightedSavings!$E$10:$K$81,5,FALSE),0)</f>
        <v>118.40726694086749</v>
      </c>
    </row>
    <row r="147" spans="1:8" customFormat="1" ht="25.5">
      <c r="A147" s="255" t="str">
        <f>INDEX(WeightedSavings!$E$10:$E$81,FLOOR((ROW(A142))/3,1))</f>
        <v>Ground Source Heat Pump Upgrade from Air Source Heat Pump - Without Desuperheater - Existing House 4000 square feet or greater - Heating Zone 1 - Cooling Zone 2</v>
      </c>
      <c r="B147" s="255" t="str">
        <f t="shared" si="9"/>
        <v>cool</v>
      </c>
      <c r="C147" s="39">
        <f>IF(B147="heat",VLOOKUP($A147,WeightedSavings!$E$10:$K$81,2,FALSE),IF(B147="cool",VLOOKUP($A147,WeightedSavings!$E$10:$K$81,3,FALSE),IF(B147="DHW",VLOOKUP($A147,WeightedSavings!$E$10:$K$81,4,FALSE),0)))</f>
        <v>181.72664803571422</v>
      </c>
      <c r="D147" s="39">
        <f t="shared" si="10"/>
        <v>20</v>
      </c>
      <c r="E147" s="256">
        <f>IF(B147="heat",VLOOKUP(A147,WeightedSavings!$E$10:$K$81,5,FALSE), IF(B147="cool",0, IF(B147="DHW",VLOOKUP(A147,WeightedSavings!$E$10:K220,6,FALSE))))</f>
        <v>0</v>
      </c>
      <c r="F147" s="39"/>
      <c r="G147" s="257" t="str">
        <f t="shared" si="8"/>
        <v>ResCACPNW</v>
      </c>
      <c r="H147" s="39">
        <f>IF(B147="heat",VLOOKUP($A147,WeightedSavings!$E$10:$K$81,5,FALSE),0)</f>
        <v>0</v>
      </c>
    </row>
    <row r="148" spans="1:8" customFormat="1" ht="25.5">
      <c r="A148" s="255" t="str">
        <f>INDEX(WeightedSavings!$E$10:$E$81,FLOOR((ROW(A143))/3,1))</f>
        <v>Ground Source Heat Pump Upgrade from Air Source Heat Pump - Without Desuperheater - Existing House 4000 square feet or greater - Heating Zone 1 - Cooling Zone 2</v>
      </c>
      <c r="B148" s="255" t="str">
        <f t="shared" si="9"/>
        <v>dhw</v>
      </c>
      <c r="C148" s="39">
        <f>IF(B148="heat",VLOOKUP($A148,WeightedSavings!$E$10:$K$81,2,FALSE),IF(B148="cool",VLOOKUP($A148,WeightedSavings!$E$10:$K$81,3,FALSE),IF(B148="DHW",VLOOKUP($A148,WeightedSavings!$E$10:$K$81,4,FALSE),0)))</f>
        <v>0</v>
      </c>
      <c r="D148" s="39">
        <f t="shared" si="10"/>
        <v>20</v>
      </c>
      <c r="E148" s="256">
        <f>IF(B148="heat",VLOOKUP(A148,WeightedSavings!$E$10:$K$81,5,FALSE), IF(B148="cool",0, IF(B148="DHW",VLOOKUP(A148,WeightedSavings!$E$10:K221,6,FALSE))))</f>
        <v>6948.3720000000003</v>
      </c>
      <c r="F148" s="39"/>
      <c r="G148" s="257" t="str">
        <f t="shared" si="8"/>
        <v>ResDHW</v>
      </c>
      <c r="H148" s="39">
        <f>IF(B148="heat",VLOOKUP($A148,WeightedSavings!$E$10:$K$81,5,FALSE),0)</f>
        <v>0</v>
      </c>
    </row>
    <row r="149" spans="1:8" customFormat="1" ht="25.5">
      <c r="A149" s="255" t="str">
        <f>INDEX(WeightedSavings!$E$10:$E$81,FLOOR((ROW(A144))/3,1))</f>
        <v>Ground Source Heat Pump Upgrade from Air Source Heat Pump - Without Desuperheater - Existing House 4000 square feet or greater - Heating Zone 1 - Cooling Zone 3</v>
      </c>
      <c r="B149" s="255" t="str">
        <f t="shared" si="9"/>
        <v>heat</v>
      </c>
      <c r="C149" s="39">
        <f>IF(B149="heat",VLOOKUP($A149,WeightedSavings!$E$10:$K$81,2,FALSE),IF(B149="cool",VLOOKUP($A149,WeightedSavings!$E$10:$K$81,3,FALSE),IF(B149="DHW",VLOOKUP($A149,WeightedSavings!$E$10:$K$81,4,FALSE),0)))</f>
        <v>1693.566363448037</v>
      </c>
      <c r="D149" s="39">
        <f t="shared" si="10"/>
        <v>20</v>
      </c>
      <c r="E149" s="256">
        <f>IF(B149="heat",VLOOKUP(A149,WeightedSavings!$E$10:$K$81,5,FALSE), IF(B149="cool",0, IF(B149="DHW",VLOOKUP(A149,WeightedSavings!$E$10:K222,6,FALSE))))</f>
        <v>118.40726694086749</v>
      </c>
      <c r="F149" s="39"/>
      <c r="G149" s="257" t="str">
        <f t="shared" si="8"/>
        <v>ResSpHtHPZ1</v>
      </c>
      <c r="H149" s="39">
        <f>IF(B149="heat",VLOOKUP($A149,WeightedSavings!$E$10:$K$81,5,FALSE),0)</f>
        <v>118.40726694086749</v>
      </c>
    </row>
    <row r="150" spans="1:8" customFormat="1" ht="25.5">
      <c r="A150" s="255" t="str">
        <f>INDEX(WeightedSavings!$E$10:$E$81,FLOOR((ROW(A145))/3,1))</f>
        <v>Ground Source Heat Pump Upgrade from Air Source Heat Pump - Without Desuperheater - Existing House 4000 square feet or greater - Heating Zone 1 - Cooling Zone 3</v>
      </c>
      <c r="B150" s="255" t="str">
        <f t="shared" si="9"/>
        <v>cool</v>
      </c>
      <c r="C150" s="39">
        <f>IF(B150="heat",VLOOKUP($A150,WeightedSavings!$E$10:$K$81,2,FALSE),IF(B150="cool",VLOOKUP($A150,WeightedSavings!$E$10:$K$81,3,FALSE),IF(B150="DHW",VLOOKUP($A150,WeightedSavings!$E$10:$K$81,4,FALSE),0)))</f>
        <v>381.58264585714278</v>
      </c>
      <c r="D150" s="39">
        <f t="shared" si="10"/>
        <v>20</v>
      </c>
      <c r="E150" s="256">
        <f>IF(B150="heat",VLOOKUP(A150,WeightedSavings!$E$10:$K$81,5,FALSE), IF(B150="cool",0, IF(B150="DHW",VLOOKUP(A150,WeightedSavings!$E$10:K223,6,FALSE))))</f>
        <v>0</v>
      </c>
      <c r="F150" s="39"/>
      <c r="G150" s="257" t="str">
        <f t="shared" si="8"/>
        <v>ResCACPNW</v>
      </c>
      <c r="H150" s="39">
        <f>IF(B150="heat",VLOOKUP($A150,WeightedSavings!$E$10:$K$81,5,FALSE),0)</f>
        <v>0</v>
      </c>
    </row>
    <row r="151" spans="1:8" customFormat="1" ht="25.5">
      <c r="A151" s="255" t="str">
        <f>INDEX(WeightedSavings!$E$10:$E$81,FLOOR((ROW(A146))/3,1))</f>
        <v>Ground Source Heat Pump Upgrade from Air Source Heat Pump - Without Desuperheater - Existing House 4000 square feet or greater - Heating Zone 1 - Cooling Zone 3</v>
      </c>
      <c r="B151" s="255" t="str">
        <f t="shared" si="9"/>
        <v>dhw</v>
      </c>
      <c r="C151" s="39">
        <f>IF(B151="heat",VLOOKUP($A151,WeightedSavings!$E$10:$K$81,2,FALSE),IF(B151="cool",VLOOKUP($A151,WeightedSavings!$E$10:$K$81,3,FALSE),IF(B151="DHW",VLOOKUP($A151,WeightedSavings!$E$10:$K$81,4,FALSE),0)))</f>
        <v>0</v>
      </c>
      <c r="D151" s="39">
        <f t="shared" si="10"/>
        <v>20</v>
      </c>
      <c r="E151" s="256">
        <f>IF(B151="heat",VLOOKUP(A151,WeightedSavings!$E$10:$K$81,5,FALSE), IF(B151="cool",0, IF(B151="DHW",VLOOKUP(A151,WeightedSavings!$E$10:K224,6,FALSE))))</f>
        <v>6948.3720000000003</v>
      </c>
      <c r="F151" s="39"/>
      <c r="G151" s="257" t="str">
        <f t="shared" si="8"/>
        <v>ResDHW</v>
      </c>
      <c r="H151" s="39">
        <f>IF(B151="heat",VLOOKUP($A151,WeightedSavings!$E$10:$K$81,5,FALSE),0)</f>
        <v>0</v>
      </c>
    </row>
    <row r="152" spans="1:8" customFormat="1" ht="25.5">
      <c r="A152" s="255" t="str">
        <f>INDEX(WeightedSavings!$E$10:$E$81,FLOOR((ROW(A147))/3,1))</f>
        <v>Ground Source Heat Pump Upgrade from Air Source Heat Pump - Without Desuperheater - Existing House 4000 square feet or greater - Heating Zone 2 - Cooling Zone 1</v>
      </c>
      <c r="B152" s="255" t="str">
        <f t="shared" si="9"/>
        <v>heat</v>
      </c>
      <c r="C152" s="39">
        <f>IF(B152="heat",VLOOKUP($A152,WeightedSavings!$E$10:$K$81,2,FALSE),IF(B152="cool",VLOOKUP($A152,WeightedSavings!$E$10:$K$81,3,FALSE),IF(B152="DHW",VLOOKUP($A152,WeightedSavings!$E$10:$K$81,4,FALSE),0)))</f>
        <v>3672.2917625412101</v>
      </c>
      <c r="D152" s="39">
        <f t="shared" si="10"/>
        <v>20</v>
      </c>
      <c r="E152" s="256">
        <f>IF(B152="heat",VLOOKUP(A152,WeightedSavings!$E$10:$K$81,5,FALSE), IF(B152="cool",0, IF(B152="DHW",VLOOKUP(A152,WeightedSavings!$E$10:K225,6,FALSE))))</f>
        <v>134.18552995192849</v>
      </c>
      <c r="F152" s="39"/>
      <c r="G152" s="257" t="str">
        <f t="shared" si="8"/>
        <v>ResSpHtHPZ2</v>
      </c>
      <c r="H152" s="39">
        <f>IF(B152="heat",VLOOKUP($A152,WeightedSavings!$E$10:$K$81,5,FALSE),0)</f>
        <v>134.18552995192849</v>
      </c>
    </row>
    <row r="153" spans="1:8" customFormat="1" ht="25.5">
      <c r="A153" s="255" t="str">
        <f>INDEX(WeightedSavings!$E$10:$E$81,FLOOR((ROW(A148))/3,1))</f>
        <v>Ground Source Heat Pump Upgrade from Air Source Heat Pump - Without Desuperheater - Existing House 4000 square feet or greater - Heating Zone 2 - Cooling Zone 1</v>
      </c>
      <c r="B153" s="255" t="str">
        <f t="shared" si="9"/>
        <v>cool</v>
      </c>
      <c r="C153" s="39">
        <f>IF(B153="heat",VLOOKUP($A153,WeightedSavings!$E$10:$K$81,2,FALSE),IF(B153="cool",VLOOKUP($A153,WeightedSavings!$E$10:$K$81,3,FALSE),IF(B153="DHW",VLOOKUP($A153,WeightedSavings!$E$10:$K$81,4,FALSE),0)))</f>
        <v>61.308651749999967</v>
      </c>
      <c r="D153" s="39">
        <f t="shared" si="10"/>
        <v>20</v>
      </c>
      <c r="E153" s="256">
        <f>IF(B153="heat",VLOOKUP(A153,WeightedSavings!$E$10:$K$81,5,FALSE), IF(B153="cool",0, IF(B153="DHW",VLOOKUP(A153,WeightedSavings!$E$10:K226,6,FALSE))))</f>
        <v>0</v>
      </c>
      <c r="F153" s="39"/>
      <c r="G153" s="257" t="str">
        <f t="shared" si="8"/>
        <v>ResCACPNW</v>
      </c>
      <c r="H153" s="39">
        <f>IF(B153="heat",VLOOKUP($A153,WeightedSavings!$E$10:$K$81,5,FALSE),0)</f>
        <v>0</v>
      </c>
    </row>
    <row r="154" spans="1:8" customFormat="1" ht="25.5">
      <c r="A154" s="255" t="str">
        <f>INDEX(WeightedSavings!$E$10:$E$81,FLOOR((ROW(A149))/3,1))</f>
        <v>Ground Source Heat Pump Upgrade from Air Source Heat Pump - Without Desuperheater - Existing House 4000 square feet or greater - Heating Zone 2 - Cooling Zone 1</v>
      </c>
      <c r="B154" s="255" t="str">
        <f t="shared" si="9"/>
        <v>dhw</v>
      </c>
      <c r="C154" s="39">
        <f>IF(B154="heat",VLOOKUP($A154,WeightedSavings!$E$10:$K$81,2,FALSE),IF(B154="cool",VLOOKUP($A154,WeightedSavings!$E$10:$K$81,3,FALSE),IF(B154="DHW",VLOOKUP($A154,WeightedSavings!$E$10:$K$81,4,FALSE),0)))</f>
        <v>0</v>
      </c>
      <c r="D154" s="39">
        <f t="shared" si="10"/>
        <v>20</v>
      </c>
      <c r="E154" s="256">
        <f>IF(B154="heat",VLOOKUP(A154,WeightedSavings!$E$10:$K$81,5,FALSE), IF(B154="cool",0, IF(B154="DHW",VLOOKUP(A154,WeightedSavings!$E$10:K227,6,FALSE))))</f>
        <v>13713.364000000003</v>
      </c>
      <c r="F154" s="39"/>
      <c r="G154" s="257" t="str">
        <f t="shared" si="8"/>
        <v>ResDHW</v>
      </c>
      <c r="H154" s="39">
        <f>IF(B154="heat",VLOOKUP($A154,WeightedSavings!$E$10:$K$81,5,FALSE),0)</f>
        <v>0</v>
      </c>
    </row>
    <row r="155" spans="1:8" customFormat="1" ht="25.5">
      <c r="A155" s="255" t="str">
        <f>INDEX(WeightedSavings!$E$10:$E$81,FLOOR((ROW(A150))/3,1))</f>
        <v>Ground Source Heat Pump Upgrade from Air Source Heat Pump - Without Desuperheater - Existing House 4000 square feet or greater - Heating Zone 2 - Cooling Zone 2</v>
      </c>
      <c r="B155" s="255" t="str">
        <f t="shared" si="9"/>
        <v>heat</v>
      </c>
      <c r="C155" s="39">
        <f>IF(B155="heat",VLOOKUP($A155,WeightedSavings!$E$10:$K$81,2,FALSE),IF(B155="cool",VLOOKUP($A155,WeightedSavings!$E$10:$K$81,3,FALSE),IF(B155="DHW",VLOOKUP($A155,WeightedSavings!$E$10:$K$81,4,FALSE),0)))</f>
        <v>3672.2917625412101</v>
      </c>
      <c r="D155" s="39">
        <f t="shared" si="10"/>
        <v>20</v>
      </c>
      <c r="E155" s="256">
        <f>IF(B155="heat",VLOOKUP(A155,WeightedSavings!$E$10:$K$81,5,FALSE), IF(B155="cool",0, IF(B155="DHW",VLOOKUP(A155,WeightedSavings!$E$10:K228,6,FALSE))))</f>
        <v>134.18552995192849</v>
      </c>
      <c r="F155" s="39"/>
      <c r="G155" s="257" t="str">
        <f t="shared" si="8"/>
        <v>ResSpHtHPZ2</v>
      </c>
      <c r="H155" s="39">
        <f>IF(B155="heat",VLOOKUP($A155,WeightedSavings!$E$10:$K$81,5,FALSE),0)</f>
        <v>134.18552995192849</v>
      </c>
    </row>
    <row r="156" spans="1:8" customFormat="1" ht="25.5">
      <c r="A156" s="255" t="str">
        <f>INDEX(WeightedSavings!$E$10:$E$81,FLOOR((ROW(A151))/3,1))</f>
        <v>Ground Source Heat Pump Upgrade from Air Source Heat Pump - Without Desuperheater - Existing House 4000 square feet or greater - Heating Zone 2 - Cooling Zone 2</v>
      </c>
      <c r="B156" s="255" t="str">
        <f t="shared" si="9"/>
        <v>cool</v>
      </c>
      <c r="C156" s="39">
        <f>IF(B156="heat",VLOOKUP($A156,WeightedSavings!$E$10:$K$81,2,FALSE),IF(B156="cool",VLOOKUP($A156,WeightedSavings!$E$10:$K$81,3,FALSE),IF(B156="DHW",VLOOKUP($A156,WeightedSavings!$E$10:$K$81,4,FALSE),0)))</f>
        <v>181.72664803571422</v>
      </c>
      <c r="D156" s="39">
        <f t="shared" si="10"/>
        <v>20</v>
      </c>
      <c r="E156" s="256">
        <f>IF(B156="heat",VLOOKUP(A156,WeightedSavings!$E$10:$K$81,5,FALSE), IF(B156="cool",0, IF(B156="DHW",VLOOKUP(A156,WeightedSavings!$E$10:K229,6,FALSE))))</f>
        <v>0</v>
      </c>
      <c r="F156" s="39"/>
      <c r="G156" s="257" t="str">
        <f t="shared" si="8"/>
        <v>ResCACPNW</v>
      </c>
      <c r="H156" s="39">
        <f>IF(B156="heat",VLOOKUP($A156,WeightedSavings!$E$10:$K$81,5,FALSE),0)</f>
        <v>0</v>
      </c>
    </row>
    <row r="157" spans="1:8" customFormat="1" ht="25.5">
      <c r="A157" s="255" t="str">
        <f>INDEX(WeightedSavings!$E$10:$E$81,FLOOR((ROW(A152))/3,1))</f>
        <v>Ground Source Heat Pump Upgrade from Air Source Heat Pump - Without Desuperheater - Existing House 4000 square feet or greater - Heating Zone 2 - Cooling Zone 2</v>
      </c>
      <c r="B157" s="255" t="str">
        <f t="shared" si="9"/>
        <v>dhw</v>
      </c>
      <c r="C157" s="39">
        <f>IF(B157="heat",VLOOKUP($A157,WeightedSavings!$E$10:$K$81,2,FALSE),IF(B157="cool",VLOOKUP($A157,WeightedSavings!$E$10:$K$81,3,FALSE),IF(B157="DHW",VLOOKUP($A157,WeightedSavings!$E$10:$K$81,4,FALSE),0)))</f>
        <v>0</v>
      </c>
      <c r="D157" s="39">
        <f t="shared" si="10"/>
        <v>20</v>
      </c>
      <c r="E157" s="256">
        <f>IF(B157="heat",VLOOKUP(A157,WeightedSavings!$E$10:$K$81,5,FALSE), IF(B157="cool",0, IF(B157="DHW",VLOOKUP(A157,WeightedSavings!$E$10:K230,6,FALSE))))</f>
        <v>13713.364000000003</v>
      </c>
      <c r="F157" s="39"/>
      <c r="G157" s="257" t="str">
        <f t="shared" si="8"/>
        <v>ResDHW</v>
      </c>
      <c r="H157" s="39">
        <f>IF(B157="heat",VLOOKUP($A157,WeightedSavings!$E$10:$K$81,5,FALSE),0)</f>
        <v>0</v>
      </c>
    </row>
    <row r="158" spans="1:8" customFormat="1" ht="25.5">
      <c r="A158" s="255" t="str">
        <f>INDEX(WeightedSavings!$E$10:$E$81,FLOOR((ROW(A153))/3,1))</f>
        <v>Ground Source Heat Pump Upgrade from Air Source Heat Pump - Without Desuperheater - Existing House 4000 square feet or greater - Heating Zone 2 - Cooling Zone 3</v>
      </c>
      <c r="B158" s="255" t="str">
        <f t="shared" si="9"/>
        <v>heat</v>
      </c>
      <c r="C158" s="39">
        <f>IF(B158="heat",VLOOKUP($A158,WeightedSavings!$E$10:$K$81,2,FALSE),IF(B158="cool",VLOOKUP($A158,WeightedSavings!$E$10:$K$81,3,FALSE),IF(B158="DHW",VLOOKUP($A158,WeightedSavings!$E$10:$K$81,4,FALSE),0)))</f>
        <v>3672.2917625412101</v>
      </c>
      <c r="D158" s="39">
        <f t="shared" si="10"/>
        <v>20</v>
      </c>
      <c r="E158" s="256">
        <f>IF(B158="heat",VLOOKUP(A158,WeightedSavings!$E$10:$K$81,5,FALSE), IF(B158="cool",0, IF(B158="DHW",VLOOKUP(A158,WeightedSavings!$E$10:K231,6,FALSE))))</f>
        <v>134.18552995192849</v>
      </c>
      <c r="F158" s="39"/>
      <c r="G158" s="257" t="str">
        <f t="shared" si="8"/>
        <v>ResSpHtHPZ2</v>
      </c>
      <c r="H158" s="39">
        <f>IF(B158="heat",VLOOKUP($A158,WeightedSavings!$E$10:$K$81,5,FALSE),0)</f>
        <v>134.18552995192849</v>
      </c>
    </row>
    <row r="159" spans="1:8" customFormat="1" ht="25.5">
      <c r="A159" s="255" t="str">
        <f>INDEX(WeightedSavings!$E$10:$E$81,FLOOR((ROW(A154))/3,1))</f>
        <v>Ground Source Heat Pump Upgrade from Air Source Heat Pump - Without Desuperheater - Existing House 4000 square feet or greater - Heating Zone 2 - Cooling Zone 3</v>
      </c>
      <c r="B159" s="255" t="str">
        <f t="shared" si="9"/>
        <v>cool</v>
      </c>
      <c r="C159" s="39">
        <f>IF(B159="heat",VLOOKUP($A159,WeightedSavings!$E$10:$K$81,2,FALSE),IF(B159="cool",VLOOKUP($A159,WeightedSavings!$E$10:$K$81,3,FALSE),IF(B159="DHW",VLOOKUP($A159,WeightedSavings!$E$10:$K$81,4,FALSE),0)))</f>
        <v>381.58264585714278</v>
      </c>
      <c r="D159" s="39">
        <f t="shared" si="10"/>
        <v>20</v>
      </c>
      <c r="E159" s="256">
        <f>IF(B159="heat",VLOOKUP(A159,WeightedSavings!$E$10:$K$81,5,FALSE), IF(B159="cool",0, IF(B159="DHW",VLOOKUP(A159,WeightedSavings!$E$10:K232,6,FALSE))))</f>
        <v>0</v>
      </c>
      <c r="F159" s="39"/>
      <c r="G159" s="257" t="str">
        <f t="shared" si="8"/>
        <v>ResCACPNW</v>
      </c>
      <c r="H159" s="39">
        <f>IF(B159="heat",VLOOKUP($A159,WeightedSavings!$E$10:$K$81,5,FALSE),0)</f>
        <v>0</v>
      </c>
    </row>
    <row r="160" spans="1:8" customFormat="1" ht="25.5">
      <c r="A160" s="255" t="str">
        <f>INDEX(WeightedSavings!$E$10:$E$81,FLOOR((ROW(A155))/3,1))</f>
        <v>Ground Source Heat Pump Upgrade from Air Source Heat Pump - Without Desuperheater - Existing House 4000 square feet or greater - Heating Zone 2 - Cooling Zone 3</v>
      </c>
      <c r="B160" s="255" t="str">
        <f t="shared" si="9"/>
        <v>dhw</v>
      </c>
      <c r="C160" s="39">
        <f>IF(B160="heat",VLOOKUP($A160,WeightedSavings!$E$10:$K$81,2,FALSE),IF(B160="cool",VLOOKUP($A160,WeightedSavings!$E$10:$K$81,3,FALSE),IF(B160="DHW",VLOOKUP($A160,WeightedSavings!$E$10:$K$81,4,FALSE),0)))</f>
        <v>0</v>
      </c>
      <c r="D160" s="39">
        <f t="shared" si="10"/>
        <v>20</v>
      </c>
      <c r="E160" s="256">
        <f>IF(B160="heat",VLOOKUP(A160,WeightedSavings!$E$10:$K$81,5,FALSE), IF(B160="cool",0, IF(B160="DHW",VLOOKUP(A160,WeightedSavings!$E$10:K233,6,FALSE))))</f>
        <v>13713.364000000003</v>
      </c>
      <c r="F160" s="39"/>
      <c r="G160" s="257" t="str">
        <f t="shared" si="8"/>
        <v>ResDHW</v>
      </c>
      <c r="H160" s="39">
        <f>IF(B160="heat",VLOOKUP($A160,WeightedSavings!$E$10:$K$81,5,FALSE),0)</f>
        <v>0</v>
      </c>
    </row>
    <row r="161" spans="1:8" customFormat="1" ht="25.5">
      <c r="A161" s="255" t="str">
        <f>INDEX(WeightedSavings!$E$10:$E$81,FLOOR((ROW(A156))/3,1))</f>
        <v>Ground Source Heat Pump Upgrade from Air Source Heat Pump - Without Desuperheater - Existing House 4000 square feet or greater - Heating Zone 3 - Cooling Zone 1</v>
      </c>
      <c r="B161" s="255" t="str">
        <f t="shared" si="9"/>
        <v>heat</v>
      </c>
      <c r="C161" s="39">
        <f>IF(B161="heat",VLOOKUP($A161,WeightedSavings!$E$10:$K$81,2,FALSE),IF(B161="cool",VLOOKUP($A161,WeightedSavings!$E$10:$K$81,3,FALSE),IF(B161="DHW",VLOOKUP($A161,WeightedSavings!$E$10:$K$81,4,FALSE),0)))</f>
        <v>5069.2275520225176</v>
      </c>
      <c r="D161" s="39">
        <f t="shared" si="10"/>
        <v>20</v>
      </c>
      <c r="E161" s="256">
        <f>IF(B161="heat",VLOOKUP(A161,WeightedSavings!$E$10:$K$81,5,FALSE), IF(B161="cool",0, IF(B161="DHW",VLOOKUP(A161,WeightedSavings!$E$10:K234,6,FALSE))))</f>
        <v>158.92676412845148</v>
      </c>
      <c r="F161" s="39"/>
      <c r="G161" s="257" t="str">
        <f t="shared" si="8"/>
        <v>ResSpHtHPZ3</v>
      </c>
      <c r="H161" s="39">
        <f>IF(B161="heat",VLOOKUP($A161,WeightedSavings!$E$10:$K$81,5,FALSE),0)</f>
        <v>158.92676412845148</v>
      </c>
    </row>
    <row r="162" spans="1:8" customFormat="1" ht="25.5">
      <c r="A162" s="255" t="str">
        <f>INDEX(WeightedSavings!$E$10:$E$81,FLOOR((ROW(A157))/3,1))</f>
        <v>Ground Source Heat Pump Upgrade from Air Source Heat Pump - Without Desuperheater - Existing House 4000 square feet or greater - Heating Zone 3 - Cooling Zone 1</v>
      </c>
      <c r="B162" s="255" t="str">
        <f t="shared" si="9"/>
        <v>cool</v>
      </c>
      <c r="C162" s="39">
        <f>IF(B162="heat",VLOOKUP($A162,WeightedSavings!$E$10:$K$81,2,FALSE),IF(B162="cool",VLOOKUP($A162,WeightedSavings!$E$10:$K$81,3,FALSE),IF(B162="DHW",VLOOKUP($A162,WeightedSavings!$E$10:$K$81,4,FALSE),0)))</f>
        <v>61.308651749999967</v>
      </c>
      <c r="D162" s="39">
        <f t="shared" si="10"/>
        <v>20</v>
      </c>
      <c r="E162" s="256">
        <f>IF(B162="heat",VLOOKUP(A162,WeightedSavings!$E$10:$K$81,5,FALSE), IF(B162="cool",0, IF(B162="DHW",VLOOKUP(A162,WeightedSavings!$E$10:K235,6,FALSE))))</f>
        <v>0</v>
      </c>
      <c r="F162" s="39"/>
      <c r="G162" s="257" t="str">
        <f t="shared" si="8"/>
        <v>ResCACPNW</v>
      </c>
      <c r="H162" s="39">
        <f>IF(B162="heat",VLOOKUP($A162,WeightedSavings!$E$10:$K$81,5,FALSE),0)</f>
        <v>0</v>
      </c>
    </row>
    <row r="163" spans="1:8" customFormat="1" ht="25.5">
      <c r="A163" s="255" t="str">
        <f>INDEX(WeightedSavings!$E$10:$E$81,FLOOR((ROW(A158))/3,1))</f>
        <v>Ground Source Heat Pump Upgrade from Air Source Heat Pump - Without Desuperheater - Existing House 4000 square feet or greater - Heating Zone 3 - Cooling Zone 1</v>
      </c>
      <c r="B163" s="255" t="str">
        <f t="shared" si="9"/>
        <v>dhw</v>
      </c>
      <c r="C163" s="39">
        <f>IF(B163="heat",VLOOKUP($A163,WeightedSavings!$E$10:$K$81,2,FALSE),IF(B163="cool",VLOOKUP($A163,WeightedSavings!$E$10:$K$81,3,FALSE),IF(B163="DHW",VLOOKUP($A163,WeightedSavings!$E$10:$K$81,4,FALSE),0)))</f>
        <v>0</v>
      </c>
      <c r="D163" s="39">
        <f t="shared" si="10"/>
        <v>20</v>
      </c>
      <c r="E163" s="256">
        <f>IF(B163="heat",VLOOKUP(A163,WeightedSavings!$E$10:$K$81,5,FALSE), IF(B163="cool",0, IF(B163="DHW",VLOOKUP(A163,WeightedSavings!$E$10:K236,6,FALSE))))</f>
        <v>22392.255000000005</v>
      </c>
      <c r="F163" s="39"/>
      <c r="G163" s="257" t="str">
        <f t="shared" si="8"/>
        <v>ResDHW</v>
      </c>
      <c r="H163" s="39">
        <f>IF(B163="heat",VLOOKUP($A163,WeightedSavings!$E$10:$K$81,5,FALSE),0)</f>
        <v>0</v>
      </c>
    </row>
    <row r="164" spans="1:8" customFormat="1" ht="25.5">
      <c r="A164" s="255" t="str">
        <f>INDEX(WeightedSavings!$E$10:$E$81,FLOOR((ROW(A159))/3,1))</f>
        <v>Ground Source Heat Pump Upgrade from Air Source Heat Pump - Without Desuperheater - Existing House 4000 square feet or greater - Heating Zone 3 - Cooling Zone 2</v>
      </c>
      <c r="B164" s="255" t="str">
        <f t="shared" si="9"/>
        <v>heat</v>
      </c>
      <c r="C164" s="39">
        <f>IF(B164="heat",VLOOKUP($A164,WeightedSavings!$E$10:$K$81,2,FALSE),IF(B164="cool",VLOOKUP($A164,WeightedSavings!$E$10:$K$81,3,FALSE),IF(B164="DHW",VLOOKUP($A164,WeightedSavings!$E$10:$K$81,4,FALSE),0)))</f>
        <v>5069.2275520225176</v>
      </c>
      <c r="D164" s="39">
        <f t="shared" si="10"/>
        <v>20</v>
      </c>
      <c r="E164" s="256">
        <f>IF(B164="heat",VLOOKUP(A164,WeightedSavings!$E$10:$K$81,5,FALSE), IF(B164="cool",0, IF(B164="DHW",VLOOKUP(A164,WeightedSavings!$E$10:K237,6,FALSE))))</f>
        <v>158.92676412845148</v>
      </c>
      <c r="F164" s="39"/>
      <c r="G164" s="257" t="str">
        <f t="shared" si="8"/>
        <v>ResSpHtHPZ3</v>
      </c>
      <c r="H164" s="39">
        <f>IF(B164="heat",VLOOKUP($A164,WeightedSavings!$E$10:$K$81,5,FALSE),0)</f>
        <v>158.92676412845148</v>
      </c>
    </row>
    <row r="165" spans="1:8" customFormat="1" ht="25.5">
      <c r="A165" s="255" t="str">
        <f>INDEX(WeightedSavings!$E$10:$E$81,FLOOR((ROW(A160))/3,1))</f>
        <v>Ground Source Heat Pump Upgrade from Air Source Heat Pump - Without Desuperheater - Existing House 4000 square feet or greater - Heating Zone 3 - Cooling Zone 2</v>
      </c>
      <c r="B165" s="255" t="str">
        <f t="shared" si="9"/>
        <v>cool</v>
      </c>
      <c r="C165" s="39">
        <f>IF(B165="heat",VLOOKUP($A165,WeightedSavings!$E$10:$K$81,2,FALSE),IF(B165="cool",VLOOKUP($A165,WeightedSavings!$E$10:$K$81,3,FALSE),IF(B165="DHW",VLOOKUP($A165,WeightedSavings!$E$10:$K$81,4,FALSE),0)))</f>
        <v>181.72664803571422</v>
      </c>
      <c r="D165" s="39">
        <f t="shared" si="10"/>
        <v>20</v>
      </c>
      <c r="E165" s="256">
        <f>IF(B165="heat",VLOOKUP(A165,WeightedSavings!$E$10:$K$81,5,FALSE), IF(B165="cool",0, IF(B165="DHW",VLOOKUP(A165,WeightedSavings!$E$10:K238,6,FALSE))))</f>
        <v>0</v>
      </c>
      <c r="F165" s="39"/>
      <c r="G165" s="257" t="str">
        <f t="shared" si="8"/>
        <v>ResCACPNW</v>
      </c>
      <c r="H165" s="39">
        <f>IF(B165="heat",VLOOKUP($A165,WeightedSavings!$E$10:$K$81,5,FALSE),0)</f>
        <v>0</v>
      </c>
    </row>
    <row r="166" spans="1:8" customFormat="1" ht="25.5">
      <c r="A166" s="255" t="str">
        <f>INDEX(WeightedSavings!$E$10:$E$81,FLOOR((ROW(A161))/3,1))</f>
        <v>Ground Source Heat Pump Upgrade from Air Source Heat Pump - Without Desuperheater - Existing House 4000 square feet or greater - Heating Zone 3 - Cooling Zone 2</v>
      </c>
      <c r="B166" s="255" t="str">
        <f t="shared" si="9"/>
        <v>dhw</v>
      </c>
      <c r="C166" s="39">
        <f>IF(B166="heat",VLOOKUP($A166,WeightedSavings!$E$10:$K$81,2,FALSE),IF(B166="cool",VLOOKUP($A166,WeightedSavings!$E$10:$K$81,3,FALSE),IF(B166="DHW",VLOOKUP($A166,WeightedSavings!$E$10:$K$81,4,FALSE),0)))</f>
        <v>0</v>
      </c>
      <c r="D166" s="39">
        <f t="shared" si="10"/>
        <v>20</v>
      </c>
      <c r="E166" s="256">
        <f>IF(B166="heat",VLOOKUP(A166,WeightedSavings!$E$10:$K$81,5,FALSE), IF(B166="cool",0, IF(B166="DHW",VLOOKUP(A166,WeightedSavings!$E$10:K239,6,FALSE))))</f>
        <v>22392.255000000005</v>
      </c>
      <c r="F166" s="39"/>
      <c r="G166" s="257" t="str">
        <f t="shared" si="8"/>
        <v>ResDHW</v>
      </c>
      <c r="H166" s="39">
        <f>IF(B166="heat",VLOOKUP($A166,WeightedSavings!$E$10:$K$81,5,FALSE),0)</f>
        <v>0</v>
      </c>
    </row>
    <row r="167" spans="1:8" customFormat="1" ht="25.5">
      <c r="A167" s="255" t="str">
        <f>INDEX(WeightedSavings!$E$10:$E$81,FLOOR((ROW(A162))/3,1))</f>
        <v>Ground Source Heat Pump Upgrade from Air Source Heat Pump - Without Desuperheater - Existing House 4000 square feet or greater - Heating Zone 3 - Cooling Zone 3</v>
      </c>
      <c r="B167" s="255" t="str">
        <f t="shared" si="9"/>
        <v>heat</v>
      </c>
      <c r="C167" s="39">
        <f>IF(B167="heat",VLOOKUP($A167,WeightedSavings!$E$10:$K$81,2,FALSE),IF(B167="cool",VLOOKUP($A167,WeightedSavings!$E$10:$K$81,3,FALSE),IF(B167="DHW",VLOOKUP($A167,WeightedSavings!$E$10:$K$81,4,FALSE),0)))</f>
        <v>5069.2275520225176</v>
      </c>
      <c r="D167" s="39">
        <f t="shared" si="10"/>
        <v>20</v>
      </c>
      <c r="E167" s="256">
        <f>IF(B167="heat",VLOOKUP(A167,WeightedSavings!$E$10:$K$81,5,FALSE), IF(B167="cool",0, IF(B167="DHW",VLOOKUP(A167,WeightedSavings!$E$10:K240,6,FALSE))))</f>
        <v>158.92676412845148</v>
      </c>
      <c r="F167" s="39"/>
      <c r="G167" s="257" t="str">
        <f t="shared" si="8"/>
        <v>ResSpHtHPZ3</v>
      </c>
      <c r="H167" s="39">
        <f>IF(B167="heat",VLOOKUP($A167,WeightedSavings!$E$10:$K$81,5,FALSE),0)</f>
        <v>158.92676412845148</v>
      </c>
    </row>
    <row r="168" spans="1:8" customFormat="1" ht="25.5">
      <c r="A168" s="255" t="str">
        <f>INDEX(WeightedSavings!$E$10:$E$81,FLOOR((ROW(A163))/3,1))</f>
        <v>Ground Source Heat Pump Upgrade from Air Source Heat Pump - Without Desuperheater - Existing House 4000 square feet or greater - Heating Zone 3 - Cooling Zone 3</v>
      </c>
      <c r="B168" s="255" t="str">
        <f t="shared" si="9"/>
        <v>cool</v>
      </c>
      <c r="C168" s="39">
        <f>IF(B168="heat",VLOOKUP($A168,WeightedSavings!$E$10:$K$81,2,FALSE),IF(B168="cool",VLOOKUP($A168,WeightedSavings!$E$10:$K$81,3,FALSE),IF(B168="DHW",VLOOKUP($A168,WeightedSavings!$E$10:$K$81,4,FALSE),0)))</f>
        <v>381.58264585714278</v>
      </c>
      <c r="D168" s="39">
        <f t="shared" si="10"/>
        <v>20</v>
      </c>
      <c r="E168" s="256">
        <f>IF(B168="heat",VLOOKUP(A168,WeightedSavings!$E$10:$K$81,5,FALSE), IF(B168="cool",0, IF(B168="DHW",VLOOKUP(A168,WeightedSavings!$E$10:K241,6,FALSE))))</f>
        <v>0</v>
      </c>
      <c r="F168" s="39"/>
      <c r="G168" s="257" t="str">
        <f t="shared" si="8"/>
        <v>ResCACPNW</v>
      </c>
      <c r="H168" s="39">
        <f>IF(B168="heat",VLOOKUP($A168,WeightedSavings!$E$10:$K$81,5,FALSE),0)</f>
        <v>0</v>
      </c>
    </row>
    <row r="169" spans="1:8" customFormat="1" ht="25.5">
      <c r="A169" s="255" t="str">
        <f>INDEX(WeightedSavings!$E$10:$E$81,FLOOR((ROW(A164))/3,1))</f>
        <v>Ground Source Heat Pump Upgrade from Air Source Heat Pump - Without Desuperheater - Existing House 4000 square feet or greater - Heating Zone 3 - Cooling Zone 3</v>
      </c>
      <c r="B169" s="255" t="str">
        <f t="shared" si="9"/>
        <v>dhw</v>
      </c>
      <c r="C169" s="39">
        <f>IF(B169="heat",VLOOKUP($A169,WeightedSavings!$E$10:$K$81,2,FALSE),IF(B169="cool",VLOOKUP($A169,WeightedSavings!$E$10:$K$81,3,FALSE),IF(B169="DHW",VLOOKUP($A169,WeightedSavings!$E$10:$K$81,4,FALSE),0)))</f>
        <v>0</v>
      </c>
      <c r="D169" s="39">
        <f t="shared" si="10"/>
        <v>20</v>
      </c>
      <c r="E169" s="256">
        <f>IF(B169="heat",VLOOKUP(A169,WeightedSavings!$E$10:$K$81,5,FALSE), IF(B169="cool",0, IF(B169="DHW",VLOOKUP(A169,WeightedSavings!$E$10:K242,6,FALSE))))</f>
        <v>22392.255000000005</v>
      </c>
      <c r="F169" s="39"/>
      <c r="G169" s="257" t="str">
        <f t="shared" si="8"/>
        <v>ResDHW</v>
      </c>
      <c r="H169" s="39">
        <f>IF(B169="heat",VLOOKUP($A169,WeightedSavings!$E$10:$K$81,5,FALSE),0)</f>
        <v>0</v>
      </c>
    </row>
    <row r="170" spans="1:8" customFormat="1" ht="25.5">
      <c r="A170" s="255" t="str">
        <f>INDEX(WeightedSavings!$E$10:$E$81,FLOOR((ROW(A165))/3,1))</f>
        <v>Ground Source Heat Pump Upgrade from Air Source Heat Pump - With Desuperheater - Existing House less than 4000 square feet - Heating Zone 1 - Cooling Zone 1</v>
      </c>
      <c r="B170" s="255" t="str">
        <f t="shared" si="9"/>
        <v>heat</v>
      </c>
      <c r="C170" s="39">
        <f>IF(B170="heat",VLOOKUP($A170,WeightedSavings!$E$10:$K$81,2,FALSE),IF(B170="cool",VLOOKUP($A170,WeightedSavings!$E$10:$K$81,3,FALSE),IF(B170="DHW",VLOOKUP($A170,WeightedSavings!$E$10:$K$81,4,FALSE),0)))</f>
        <v>394.4376510275186</v>
      </c>
      <c r="D170" s="39">
        <f t="shared" si="10"/>
        <v>20</v>
      </c>
      <c r="E170" s="256">
        <f>IF(B170="heat",VLOOKUP(A170,WeightedSavings!$E$10:$K$81,5,FALSE), IF(B170="cool",0, IF(B170="DHW",VLOOKUP(A170,WeightedSavings!$E$10:K243,6,FALSE))))</f>
        <v>51.618289010737456</v>
      </c>
      <c r="F170" s="39"/>
      <c r="G170" s="257" t="str">
        <f t="shared" si="8"/>
        <v>ResSpHtHPZ1</v>
      </c>
      <c r="H170" s="39">
        <f>IF(B170="heat",VLOOKUP($A170,WeightedSavings!$E$10:$K$81,5,FALSE),0)</f>
        <v>51.618289010737456</v>
      </c>
    </row>
    <row r="171" spans="1:8" customFormat="1" ht="25.5">
      <c r="A171" s="255" t="str">
        <f>INDEX(WeightedSavings!$E$10:$E$81,FLOOR((ROW(A166))/3,1))</f>
        <v>Ground Source Heat Pump Upgrade from Air Source Heat Pump - With Desuperheater - Existing House less than 4000 square feet - Heating Zone 1 - Cooling Zone 1</v>
      </c>
      <c r="B171" s="255" t="str">
        <f t="shared" si="9"/>
        <v>cool</v>
      </c>
      <c r="C171" s="39">
        <f>IF(B171="heat",VLOOKUP($A171,WeightedSavings!$E$10:$K$81,2,FALSE),IF(B171="cool",VLOOKUP($A171,WeightedSavings!$E$10:$K$81,3,FALSE),IF(B171="DHW",VLOOKUP($A171,WeightedSavings!$E$10:$K$81,4,FALSE),0)))</f>
        <v>36.436239544642852</v>
      </c>
      <c r="D171" s="39">
        <f t="shared" si="10"/>
        <v>20</v>
      </c>
      <c r="E171" s="256">
        <f>IF(B171="heat",VLOOKUP(A171,WeightedSavings!$E$10:$K$81,5,FALSE), IF(B171="cool",0, IF(B171="DHW",VLOOKUP(A171,WeightedSavings!$E$10:K244,6,FALSE))))</f>
        <v>0</v>
      </c>
      <c r="F171" s="39"/>
      <c r="G171" s="257" t="str">
        <f t="shared" si="8"/>
        <v>ResCACPNW</v>
      </c>
      <c r="H171" s="39">
        <f>IF(B171="heat",VLOOKUP($A171,WeightedSavings!$E$10:$K$81,5,FALSE),0)</f>
        <v>0</v>
      </c>
    </row>
    <row r="172" spans="1:8" customFormat="1" ht="25.5">
      <c r="A172" s="255" t="str">
        <f>INDEX(WeightedSavings!$E$10:$E$81,FLOOR((ROW(A167))/3,1))</f>
        <v>Ground Source Heat Pump Upgrade from Air Source Heat Pump - With Desuperheater - Existing House less than 4000 square feet - Heating Zone 1 - Cooling Zone 1</v>
      </c>
      <c r="B172" s="255" t="str">
        <f t="shared" si="9"/>
        <v>dhw</v>
      </c>
      <c r="C172" s="39">
        <f>IF(B172="heat",VLOOKUP($A172,WeightedSavings!$E$10:$K$81,2,FALSE),IF(B172="cool",VLOOKUP($A172,WeightedSavings!$E$10:$K$81,3,FALSE),IF(B172="DHW",VLOOKUP($A172,WeightedSavings!$E$10:$K$81,4,FALSE),0)))</f>
        <v>1445.0770831499999</v>
      </c>
      <c r="D172" s="39">
        <f t="shared" si="10"/>
        <v>20</v>
      </c>
      <c r="E172" s="256">
        <f>IF(B172="heat",VLOOKUP(A172,WeightedSavings!$E$10:$K$81,5,FALSE), IF(B172="cool",0, IF(B172="DHW",VLOOKUP(A172,WeightedSavings!$E$10:K245,6,FALSE))))</f>
        <v>4434.0202749999999</v>
      </c>
      <c r="F172" s="39"/>
      <c r="G172" s="257" t="str">
        <f t="shared" si="8"/>
        <v>ResDHW</v>
      </c>
      <c r="H172" s="39">
        <f>IF(B172="heat",VLOOKUP($A172,WeightedSavings!$E$10:$K$81,5,FALSE),0)</f>
        <v>0</v>
      </c>
    </row>
    <row r="173" spans="1:8" customFormat="1" ht="25.5">
      <c r="A173" s="255" t="str">
        <f>INDEX(WeightedSavings!$E$10:$E$81,FLOOR((ROW(A168))/3,1))</f>
        <v>Ground Source Heat Pump Upgrade from Air Source Heat Pump - With Desuperheater - Existing House less than 4000 square feet - Heating Zone 1 - Cooling Zone 2</v>
      </c>
      <c r="B173" s="255" t="str">
        <f t="shared" si="9"/>
        <v>heat</v>
      </c>
      <c r="C173" s="39">
        <f>IF(B173="heat",VLOOKUP($A173,WeightedSavings!$E$10:$K$81,2,FALSE),IF(B173="cool",VLOOKUP($A173,WeightedSavings!$E$10:$K$81,3,FALSE),IF(B173="DHW",VLOOKUP($A173,WeightedSavings!$E$10:$K$81,4,FALSE),0)))</f>
        <v>394.4376510275186</v>
      </c>
      <c r="D173" s="39">
        <f t="shared" si="10"/>
        <v>20</v>
      </c>
      <c r="E173" s="256">
        <f>IF(B173="heat",VLOOKUP(A173,WeightedSavings!$E$10:$K$81,5,FALSE), IF(B173="cool",0, IF(B173="DHW",VLOOKUP(A173,WeightedSavings!$E$10:K246,6,FALSE))))</f>
        <v>51.618289010737456</v>
      </c>
      <c r="F173" s="39"/>
      <c r="G173" s="257" t="str">
        <f t="shared" si="8"/>
        <v>ResSpHtHPZ1</v>
      </c>
      <c r="H173" s="39">
        <f>IF(B173="heat",VLOOKUP($A173,WeightedSavings!$E$10:$K$81,5,FALSE),0)</f>
        <v>51.618289010737456</v>
      </c>
    </row>
    <row r="174" spans="1:8" customFormat="1" ht="25.5">
      <c r="A174" s="255" t="str">
        <f>INDEX(WeightedSavings!$E$10:$E$81,FLOOR((ROW(A169))/3,1))</f>
        <v>Ground Source Heat Pump Upgrade from Air Source Heat Pump - With Desuperheater - Existing House less than 4000 square feet - Heating Zone 1 - Cooling Zone 2</v>
      </c>
      <c r="B174" s="255" t="str">
        <f t="shared" si="9"/>
        <v>cool</v>
      </c>
      <c r="C174" s="39">
        <f>IF(B174="heat",VLOOKUP($A174,WeightedSavings!$E$10:$K$81,2,FALSE),IF(B174="cool",VLOOKUP($A174,WeightedSavings!$E$10:$K$81,3,FALSE),IF(B174="DHW",VLOOKUP($A174,WeightedSavings!$E$10:$K$81,4,FALSE),0)))</f>
        <v>115.70859858571436</v>
      </c>
      <c r="D174" s="39">
        <f t="shared" si="10"/>
        <v>20</v>
      </c>
      <c r="E174" s="256">
        <f>IF(B174="heat",VLOOKUP(A174,WeightedSavings!$E$10:$K$81,5,FALSE), IF(B174="cool",0, IF(B174="DHW",VLOOKUP(A174,WeightedSavings!$E$10:K247,6,FALSE))))</f>
        <v>0</v>
      </c>
      <c r="F174" s="39"/>
      <c r="G174" s="257" t="str">
        <f t="shared" si="8"/>
        <v>ResCACPNW</v>
      </c>
      <c r="H174" s="39">
        <f>IF(B174="heat",VLOOKUP($A174,WeightedSavings!$E$10:$K$81,5,FALSE),0)</f>
        <v>0</v>
      </c>
    </row>
    <row r="175" spans="1:8" customFormat="1" ht="25.5">
      <c r="A175" s="255" t="str">
        <f>INDEX(WeightedSavings!$E$10:$E$81,FLOOR((ROW(A170))/3,1))</f>
        <v>Ground Source Heat Pump Upgrade from Air Source Heat Pump - With Desuperheater - Existing House less than 4000 square feet - Heating Zone 1 - Cooling Zone 2</v>
      </c>
      <c r="B175" s="255" t="str">
        <f t="shared" si="9"/>
        <v>dhw</v>
      </c>
      <c r="C175" s="39">
        <f>IF(B175="heat",VLOOKUP($A175,WeightedSavings!$E$10:$K$81,2,FALSE),IF(B175="cool",VLOOKUP($A175,WeightedSavings!$E$10:$K$81,3,FALSE),IF(B175="DHW",VLOOKUP($A175,WeightedSavings!$E$10:$K$81,4,FALSE),0)))</f>
        <v>1445.0770831499999</v>
      </c>
      <c r="D175" s="39">
        <f t="shared" si="10"/>
        <v>20</v>
      </c>
      <c r="E175" s="256">
        <f>IF(B175="heat",VLOOKUP(A175,WeightedSavings!$E$10:$K$81,5,FALSE), IF(B175="cool",0, IF(B175="DHW",VLOOKUP(A175,WeightedSavings!$E$10:K248,6,FALSE))))</f>
        <v>4434.0202749999999</v>
      </c>
      <c r="F175" s="39"/>
      <c r="G175" s="257" t="str">
        <f t="shared" si="8"/>
        <v>ResDHW</v>
      </c>
      <c r="H175" s="39">
        <f>IF(B175="heat",VLOOKUP($A175,WeightedSavings!$E$10:$K$81,5,FALSE),0)</f>
        <v>0</v>
      </c>
    </row>
    <row r="176" spans="1:8" customFormat="1" ht="25.5">
      <c r="A176" s="255" t="str">
        <f>INDEX(WeightedSavings!$E$10:$E$81,FLOOR((ROW(A171))/3,1))</f>
        <v>Ground Source Heat Pump Upgrade from Air Source Heat Pump - With Desuperheater - Existing House less than 4000 square feet - Heating Zone 1 - Cooling Zone 3</v>
      </c>
      <c r="B176" s="255" t="str">
        <f t="shared" si="9"/>
        <v>heat</v>
      </c>
      <c r="C176" s="39">
        <f>IF(B176="heat",VLOOKUP($A176,WeightedSavings!$E$10:$K$81,2,FALSE),IF(B176="cool",VLOOKUP($A176,WeightedSavings!$E$10:$K$81,3,FALSE),IF(B176="DHW",VLOOKUP($A176,WeightedSavings!$E$10:$K$81,4,FALSE),0)))</f>
        <v>394.4376510275186</v>
      </c>
      <c r="D176" s="39">
        <f t="shared" si="10"/>
        <v>20</v>
      </c>
      <c r="E176" s="256">
        <f>IF(B176="heat",VLOOKUP(A176,WeightedSavings!$E$10:$K$81,5,FALSE), IF(B176="cool",0, IF(B176="DHW",VLOOKUP(A176,WeightedSavings!$E$10:K249,6,FALSE))))</f>
        <v>51.618289010737456</v>
      </c>
      <c r="F176" s="39"/>
      <c r="G176" s="257" t="str">
        <f t="shared" si="8"/>
        <v>ResSpHtHPZ1</v>
      </c>
      <c r="H176" s="39">
        <f>IF(B176="heat",VLOOKUP($A176,WeightedSavings!$E$10:$K$81,5,FALSE),0)</f>
        <v>51.618289010737456</v>
      </c>
    </row>
    <row r="177" spans="1:101" customFormat="1" ht="25.5">
      <c r="A177" s="255" t="str">
        <f>INDEX(WeightedSavings!$E$10:$E$81,FLOOR((ROW(A172))/3,1))</f>
        <v>Ground Source Heat Pump Upgrade from Air Source Heat Pump - With Desuperheater - Existing House less than 4000 square feet - Heating Zone 1 - Cooling Zone 3</v>
      </c>
      <c r="B177" s="255" t="str">
        <f t="shared" si="9"/>
        <v>cool</v>
      </c>
      <c r="C177" s="39">
        <f>IF(B177="heat",VLOOKUP($A177,WeightedSavings!$E$10:$K$81,2,FALSE),IF(B177="cool",VLOOKUP($A177,WeightedSavings!$E$10:$K$81,3,FALSE),IF(B177="DHW",VLOOKUP($A177,WeightedSavings!$E$10:$K$81,4,FALSE),0)))</f>
        <v>247.75304203749999</v>
      </c>
      <c r="D177" s="39">
        <f t="shared" si="10"/>
        <v>20</v>
      </c>
      <c r="E177" s="256">
        <f>IF(B177="heat",VLOOKUP(A177,WeightedSavings!$E$10:$K$81,5,FALSE), IF(B177="cool",0, IF(B177="DHW",VLOOKUP(A177,WeightedSavings!$E$10:K250,6,FALSE))))</f>
        <v>0</v>
      </c>
      <c r="F177" s="39"/>
      <c r="G177" s="257" t="str">
        <f t="shared" si="8"/>
        <v>ResCACPNW</v>
      </c>
      <c r="H177" s="39">
        <f>IF(B177="heat",VLOOKUP($A177,WeightedSavings!$E$10:$K$81,5,FALSE),0)</f>
        <v>0</v>
      </c>
    </row>
    <row r="178" spans="1:101" customFormat="1" ht="25.5">
      <c r="A178" s="255" t="str">
        <f>INDEX(WeightedSavings!$E$10:$E$81,FLOOR((ROW(A173))/3,1))</f>
        <v>Ground Source Heat Pump Upgrade from Air Source Heat Pump - With Desuperheater - Existing House less than 4000 square feet - Heating Zone 1 - Cooling Zone 3</v>
      </c>
      <c r="B178" s="255" t="str">
        <f t="shared" si="9"/>
        <v>dhw</v>
      </c>
      <c r="C178" s="39">
        <f>IF(B178="heat",VLOOKUP($A178,WeightedSavings!$E$10:$K$81,2,FALSE),IF(B178="cool",VLOOKUP($A178,WeightedSavings!$E$10:$K$81,3,FALSE),IF(B178="DHW",VLOOKUP($A178,WeightedSavings!$E$10:$K$81,4,FALSE),0)))</f>
        <v>1445.0770831499999</v>
      </c>
      <c r="D178" s="39">
        <f t="shared" si="10"/>
        <v>20</v>
      </c>
      <c r="E178" s="256">
        <f>IF(B178="heat",VLOOKUP(A178,WeightedSavings!$E$10:$K$81,5,FALSE), IF(B178="cool",0, IF(B178="DHW",VLOOKUP(A178,WeightedSavings!$E$10:K251,6,FALSE))))</f>
        <v>4434.0202749999999</v>
      </c>
      <c r="F178" s="39"/>
      <c r="G178" s="257" t="str">
        <f t="shared" si="8"/>
        <v>ResDHW</v>
      </c>
      <c r="H178" s="39">
        <f>IF(B178="heat",VLOOKUP($A178,WeightedSavings!$E$10:$K$81,5,FALSE),0)</f>
        <v>0</v>
      </c>
    </row>
    <row r="179" spans="1:101" customFormat="1" ht="25.5">
      <c r="A179" s="255" t="str">
        <f>INDEX(WeightedSavings!$E$10:$E$81,FLOOR((ROW(A174))/3,1))</f>
        <v>Ground Source Heat Pump Upgrade from Air Source Heat Pump - With Desuperheater - Existing House less than 4000 square feet - Heating Zone 2 - Cooling Zone 1</v>
      </c>
      <c r="B179" s="255" t="str">
        <f t="shared" si="9"/>
        <v>heat</v>
      </c>
      <c r="C179" s="39">
        <f>IF(B179="heat",VLOOKUP($A179,WeightedSavings!$E$10:$K$81,2,FALSE),IF(B179="cool",VLOOKUP($A179,WeightedSavings!$E$10:$K$81,3,FALSE),IF(B179="DHW",VLOOKUP($A179,WeightedSavings!$E$10:$K$81,4,FALSE),0)))</f>
        <v>1305.8284622633546</v>
      </c>
      <c r="D179" s="39">
        <f t="shared" si="10"/>
        <v>20</v>
      </c>
      <c r="E179" s="256">
        <f>IF(B179="heat",VLOOKUP(A179,WeightedSavings!$E$10:$K$81,5,FALSE), IF(B179="cool",0, IF(B179="DHW",VLOOKUP(A179,WeightedSavings!$E$10:K252,6,FALSE))))</f>
        <v>50.975261282513401</v>
      </c>
      <c r="F179" s="39"/>
      <c r="G179" s="257" t="str">
        <f t="shared" si="8"/>
        <v>ResSpHtHPZ2</v>
      </c>
      <c r="H179" s="39">
        <f>IF(B179="heat",VLOOKUP($A179,WeightedSavings!$E$10:$K$81,5,FALSE),0)</f>
        <v>50.975261282513401</v>
      </c>
    </row>
    <row r="180" spans="1:101" customFormat="1" ht="25.5">
      <c r="A180" s="255" t="str">
        <f>INDEX(WeightedSavings!$E$10:$E$81,FLOOR((ROW(A175))/3,1))</f>
        <v>Ground Source Heat Pump Upgrade from Air Source Heat Pump - With Desuperheater - Existing House less than 4000 square feet - Heating Zone 2 - Cooling Zone 1</v>
      </c>
      <c r="B180" s="255" t="str">
        <f t="shared" si="9"/>
        <v>cool</v>
      </c>
      <c r="C180" s="39">
        <f>IF(B180="heat",VLOOKUP($A180,WeightedSavings!$E$10:$K$81,2,FALSE),IF(B180="cool",VLOOKUP($A180,WeightedSavings!$E$10:$K$81,3,FALSE),IF(B180="DHW",VLOOKUP($A180,WeightedSavings!$E$10:$K$81,4,FALSE),0)))</f>
        <v>36.436239544642852</v>
      </c>
      <c r="D180" s="39">
        <f t="shared" si="10"/>
        <v>20</v>
      </c>
      <c r="E180" s="256">
        <f>IF(B180="heat",VLOOKUP(A180,WeightedSavings!$E$10:$K$81,5,FALSE), IF(B180="cool",0, IF(B180="DHW",VLOOKUP(A180,WeightedSavings!$E$10:K253,6,FALSE))))</f>
        <v>0</v>
      </c>
      <c r="F180" s="39"/>
      <c r="G180" s="257" t="str">
        <f t="shared" si="8"/>
        <v>ResCACPNW</v>
      </c>
      <c r="H180" s="39">
        <f>IF(B180="heat",VLOOKUP($A180,WeightedSavings!$E$10:$K$81,5,FALSE),0)</f>
        <v>0</v>
      </c>
    </row>
    <row r="181" spans="1:101" ht="25.5">
      <c r="A181" s="255" t="str">
        <f>INDEX(WeightedSavings!$E$10:$E$81,FLOOR((ROW(A176))/3,1))</f>
        <v>Ground Source Heat Pump Upgrade from Air Source Heat Pump - With Desuperheater - Existing House less than 4000 square feet - Heating Zone 2 - Cooling Zone 1</v>
      </c>
      <c r="B181" s="255" t="str">
        <f t="shared" si="9"/>
        <v>dhw</v>
      </c>
      <c r="C181" s="39">
        <f>IF(B181="heat",VLOOKUP($A181,WeightedSavings!$E$10:$K$81,2,FALSE),IF(B181="cool",VLOOKUP($A181,WeightedSavings!$E$10:$K$81,3,FALSE),IF(B181="DHW",VLOOKUP($A181,WeightedSavings!$E$10:$K$81,4,FALSE),0)))</f>
        <v>2008.5243826125002</v>
      </c>
      <c r="D181" s="39">
        <f t="shared" si="10"/>
        <v>20</v>
      </c>
      <c r="E181" s="256">
        <f>IF(B181="heat",VLOOKUP(A181,WeightedSavings!$E$10:$K$81,5,FALSE), IF(B181="cool",0, IF(B181="DHW",VLOOKUP(A181,WeightedSavings!$E$10:K254,6,FALSE))))</f>
        <v>8878.381625</v>
      </c>
      <c r="F181" s="39"/>
      <c r="G181" s="257" t="str">
        <f t="shared" si="8"/>
        <v>ResDHW</v>
      </c>
      <c r="H181" s="39">
        <f>IF(B181="heat",VLOOKUP($A181,WeightedSavings!$E$10:$K$81,5,FALSE),0)</f>
        <v>0</v>
      </c>
      <c r="I181" s="34"/>
      <c r="J181" s="34"/>
      <c r="K181" s="34"/>
      <c r="L181" s="34"/>
      <c r="M181" s="34"/>
      <c r="N181" s="34"/>
      <c r="O181" s="34"/>
      <c r="P181" s="34"/>
      <c r="Q181" s="34"/>
      <c r="R181" s="34"/>
      <c r="S181" s="34"/>
      <c r="T181" s="34"/>
      <c r="U181" s="34"/>
      <c r="V181" s="34"/>
      <c r="W181" s="34"/>
      <c r="X181" s="34"/>
      <c r="Y181" s="34"/>
      <c r="Z181" s="34"/>
      <c r="AA181" s="34"/>
      <c r="AB181" s="34"/>
      <c r="AC181" s="34"/>
      <c r="AD181" s="34"/>
      <c r="AE181" s="34"/>
      <c r="AF181" s="34"/>
      <c r="AG181" s="34"/>
      <c r="AH181" s="34"/>
      <c r="AI181" s="34"/>
      <c r="AJ181" s="34"/>
      <c r="AK181" s="34"/>
      <c r="AL181" s="34"/>
      <c r="AM181" s="34"/>
      <c r="AN181" s="34"/>
      <c r="AO181" s="34"/>
      <c r="AP181" s="34"/>
      <c r="AQ181" s="34"/>
      <c r="AR181" s="34"/>
      <c r="AS181" s="34"/>
      <c r="AT181" s="34"/>
      <c r="AU181" s="34"/>
      <c r="AV181" s="34"/>
      <c r="AW181" s="34"/>
      <c r="AX181" s="34"/>
      <c r="AY181" s="34"/>
      <c r="AZ181" s="34"/>
      <c r="BA181" s="34"/>
      <c r="BB181" s="34"/>
      <c r="BC181" s="34"/>
      <c r="BD181" s="34"/>
      <c r="BE181" s="34"/>
      <c r="BF181" s="34"/>
      <c r="BG181" s="34"/>
      <c r="BH181" s="34"/>
      <c r="BI181" s="34"/>
      <c r="BJ181" s="34"/>
      <c r="BK181" s="34"/>
      <c r="BL181" s="34"/>
      <c r="BM181" s="34"/>
      <c r="BN181" s="34"/>
      <c r="BO181" s="34"/>
      <c r="BP181" s="34"/>
      <c r="BQ181" s="34"/>
      <c r="BR181" s="34"/>
      <c r="BS181" s="34"/>
      <c r="BT181" s="34"/>
      <c r="BU181" s="34"/>
      <c r="BV181" s="34"/>
      <c r="BW181" s="34"/>
      <c r="BX181" s="34"/>
      <c r="BY181" s="34"/>
      <c r="BZ181" s="34"/>
      <c r="CA181" s="34"/>
      <c r="CB181" s="34"/>
      <c r="CC181" s="34"/>
      <c r="CD181" s="34"/>
      <c r="CE181" s="34"/>
      <c r="CF181" s="34"/>
      <c r="CG181" s="34"/>
      <c r="CH181" s="34"/>
      <c r="CI181" s="34"/>
      <c r="CJ181" s="34"/>
      <c r="CK181" s="34"/>
      <c r="CL181" s="34"/>
      <c r="CM181" s="34"/>
      <c r="CN181" s="34"/>
      <c r="CO181" s="34"/>
      <c r="CP181" s="34"/>
      <c r="CQ181" s="34"/>
      <c r="CR181" s="34"/>
      <c r="CS181" s="34"/>
      <c r="CT181" s="34"/>
      <c r="CU181" s="34"/>
      <c r="CV181" s="34"/>
      <c r="CW181" s="34"/>
    </row>
    <row r="182" spans="1:101" ht="25.5">
      <c r="A182" s="255" t="str">
        <f>INDEX(WeightedSavings!$E$10:$E$81,FLOOR((ROW(A177))/3,1))</f>
        <v>Ground Source Heat Pump Upgrade from Air Source Heat Pump - With Desuperheater - Existing House less than 4000 square feet - Heating Zone 2 - Cooling Zone 2</v>
      </c>
      <c r="B182" s="255" t="str">
        <f t="shared" si="9"/>
        <v>heat</v>
      </c>
      <c r="C182" s="39">
        <f>IF(B182="heat",VLOOKUP($A182,WeightedSavings!$E$10:$K$81,2,FALSE),IF(B182="cool",VLOOKUP($A182,WeightedSavings!$E$10:$K$81,3,FALSE),IF(B182="DHW",VLOOKUP($A182,WeightedSavings!$E$10:$K$81,4,FALSE),0)))</f>
        <v>1305.8284622633546</v>
      </c>
      <c r="D182" s="39">
        <f t="shared" si="10"/>
        <v>20</v>
      </c>
      <c r="E182" s="256">
        <f>IF(B182="heat",VLOOKUP(A182,WeightedSavings!$E$10:$K$81,5,FALSE), IF(B182="cool",0, IF(B182="DHW",VLOOKUP(A182,WeightedSavings!$E$10:K255,6,FALSE))))</f>
        <v>50.975261282513401</v>
      </c>
      <c r="F182" s="39"/>
      <c r="G182" s="257" t="str">
        <f t="shared" si="8"/>
        <v>ResSpHtHPZ2</v>
      </c>
      <c r="H182" s="39">
        <f>IF(B182="heat",VLOOKUP($A182,WeightedSavings!$E$10:$K$81,5,FALSE),0)</f>
        <v>50.975261282513401</v>
      </c>
      <c r="I182" s="34"/>
      <c r="J182" s="34"/>
      <c r="K182" s="34"/>
      <c r="L182" s="34"/>
      <c r="M182" s="34"/>
      <c r="N182" s="34"/>
      <c r="O182" s="34"/>
      <c r="P182" s="34"/>
      <c r="Q182" s="34"/>
      <c r="R182" s="34"/>
      <c r="S182" s="34"/>
      <c r="T182" s="34"/>
      <c r="U182" s="34"/>
      <c r="V182" s="34"/>
      <c r="W182" s="34"/>
      <c r="X182" s="34"/>
      <c r="Y182" s="34"/>
      <c r="Z182" s="34"/>
      <c r="AA182" s="34"/>
      <c r="AB182" s="34"/>
      <c r="AC182" s="34"/>
      <c r="AD182" s="34"/>
      <c r="AE182" s="34"/>
      <c r="AF182" s="34"/>
      <c r="AG182" s="34"/>
      <c r="AH182" s="34"/>
      <c r="AI182" s="34"/>
      <c r="AJ182" s="34"/>
      <c r="AK182" s="34"/>
      <c r="AL182" s="34"/>
      <c r="AM182" s="34"/>
      <c r="AN182" s="34"/>
      <c r="AO182" s="34"/>
      <c r="AP182" s="34"/>
      <c r="AQ182" s="34"/>
      <c r="AR182" s="34"/>
      <c r="AS182" s="34"/>
      <c r="AT182" s="34"/>
      <c r="AU182" s="34"/>
      <c r="AV182" s="34"/>
      <c r="AW182" s="34"/>
      <c r="AX182" s="34"/>
      <c r="AY182" s="34"/>
      <c r="AZ182" s="34"/>
      <c r="BA182" s="34"/>
      <c r="BB182" s="34"/>
      <c r="BC182" s="34"/>
      <c r="BD182" s="34"/>
      <c r="BE182" s="34"/>
      <c r="BF182" s="34"/>
      <c r="BG182" s="34"/>
      <c r="BH182" s="34"/>
      <c r="BI182" s="34"/>
      <c r="BJ182" s="34"/>
      <c r="BK182" s="34"/>
      <c r="BL182" s="34"/>
      <c r="BM182" s="34"/>
      <c r="BN182" s="34"/>
      <c r="BO182" s="34"/>
      <c r="BP182" s="34"/>
      <c r="BQ182" s="34"/>
      <c r="BR182" s="34"/>
      <c r="BS182" s="34"/>
      <c r="BT182" s="34"/>
      <c r="BU182" s="34"/>
      <c r="BV182" s="34"/>
      <c r="BW182" s="34"/>
      <c r="BX182" s="34"/>
      <c r="BY182" s="34"/>
      <c r="BZ182" s="34"/>
      <c r="CA182" s="34"/>
      <c r="CB182" s="34"/>
      <c r="CC182" s="34"/>
      <c r="CD182" s="34"/>
      <c r="CE182" s="34"/>
      <c r="CF182" s="34"/>
      <c r="CG182" s="34"/>
      <c r="CH182" s="34"/>
      <c r="CI182" s="34"/>
      <c r="CJ182" s="34"/>
      <c r="CK182" s="34"/>
      <c r="CL182" s="34"/>
      <c r="CM182" s="34"/>
      <c r="CN182" s="34"/>
      <c r="CO182" s="34"/>
      <c r="CP182" s="34"/>
      <c r="CQ182" s="34"/>
      <c r="CR182" s="34"/>
      <c r="CS182" s="34"/>
      <c r="CT182" s="34"/>
      <c r="CU182" s="34"/>
      <c r="CV182" s="34"/>
      <c r="CW182" s="34"/>
    </row>
    <row r="183" spans="1:101" ht="25.5">
      <c r="A183" s="255" t="str">
        <f>INDEX(WeightedSavings!$E$10:$E$81,FLOOR((ROW(A178))/3,1))</f>
        <v>Ground Source Heat Pump Upgrade from Air Source Heat Pump - With Desuperheater - Existing House less than 4000 square feet - Heating Zone 2 - Cooling Zone 2</v>
      </c>
      <c r="B183" s="255" t="str">
        <f t="shared" si="9"/>
        <v>cool</v>
      </c>
      <c r="C183" s="39">
        <f>IF(B183="heat",VLOOKUP($A183,WeightedSavings!$E$10:$K$81,2,FALSE),IF(B183="cool",VLOOKUP($A183,WeightedSavings!$E$10:$K$81,3,FALSE),IF(B183="DHW",VLOOKUP($A183,WeightedSavings!$E$10:$K$81,4,FALSE),0)))</f>
        <v>115.70859858571436</v>
      </c>
      <c r="D183" s="39">
        <f t="shared" si="10"/>
        <v>20</v>
      </c>
      <c r="E183" s="256">
        <f>IF(B183="heat",VLOOKUP(A183,WeightedSavings!$E$10:$K$81,5,FALSE), IF(B183="cool",0, IF(B183="DHW",VLOOKUP(A183,WeightedSavings!$E$10:K256,6,FALSE))))</f>
        <v>0</v>
      </c>
      <c r="F183" s="39"/>
      <c r="G183" s="257" t="str">
        <f t="shared" si="8"/>
        <v>ResCACPNW</v>
      </c>
      <c r="H183" s="39">
        <f>IF(B183="heat",VLOOKUP($A183,WeightedSavings!$E$10:$K$81,5,FALSE),0)</f>
        <v>0</v>
      </c>
      <c r="I183" s="34"/>
      <c r="J183" s="34"/>
      <c r="K183" s="34"/>
      <c r="L183" s="34"/>
      <c r="M183" s="34"/>
      <c r="N183" s="34"/>
      <c r="O183" s="34"/>
      <c r="P183" s="34"/>
      <c r="Q183" s="34"/>
      <c r="R183" s="34"/>
      <c r="S183" s="34"/>
      <c r="T183" s="34"/>
      <c r="U183" s="34"/>
      <c r="V183" s="34"/>
      <c r="W183" s="34"/>
      <c r="X183" s="34"/>
      <c r="Y183" s="34"/>
      <c r="Z183" s="34"/>
      <c r="AA183" s="34"/>
      <c r="AB183" s="34"/>
      <c r="AC183" s="34"/>
      <c r="AD183" s="34"/>
      <c r="AE183" s="34"/>
      <c r="AF183" s="34"/>
      <c r="AG183" s="34"/>
      <c r="AH183" s="34"/>
      <c r="AI183" s="34"/>
      <c r="AJ183" s="34"/>
      <c r="AK183" s="34"/>
      <c r="AL183" s="34"/>
      <c r="AM183" s="34"/>
      <c r="AN183" s="34"/>
      <c r="AO183" s="34"/>
      <c r="AP183" s="34"/>
      <c r="AQ183" s="34"/>
      <c r="AR183" s="34"/>
      <c r="AS183" s="34"/>
      <c r="AT183" s="34"/>
      <c r="AU183" s="34"/>
      <c r="AV183" s="34"/>
      <c r="AW183" s="34"/>
      <c r="AX183" s="34"/>
      <c r="AY183" s="34"/>
      <c r="AZ183" s="34"/>
      <c r="BA183" s="34"/>
      <c r="BB183" s="34"/>
      <c r="BC183" s="34"/>
      <c r="BD183" s="34"/>
      <c r="BE183" s="34"/>
      <c r="BF183" s="34"/>
      <c r="BG183" s="34"/>
      <c r="BH183" s="34"/>
      <c r="BI183" s="34"/>
      <c r="BJ183" s="34"/>
      <c r="BK183" s="34"/>
      <c r="BL183" s="34"/>
      <c r="BM183" s="34"/>
      <c r="BN183" s="34"/>
      <c r="BO183" s="34"/>
      <c r="BP183" s="34"/>
      <c r="BQ183" s="34"/>
      <c r="BR183" s="34"/>
      <c r="BS183" s="34"/>
      <c r="BT183" s="34"/>
      <c r="BU183" s="34"/>
      <c r="BV183" s="34"/>
      <c r="BW183" s="34"/>
      <c r="BX183" s="34"/>
      <c r="BY183" s="34"/>
      <c r="BZ183" s="34"/>
      <c r="CA183" s="34"/>
      <c r="CB183" s="34"/>
      <c r="CC183" s="34"/>
      <c r="CD183" s="34"/>
      <c r="CE183" s="34"/>
      <c r="CF183" s="34"/>
      <c r="CG183" s="34"/>
      <c r="CH183" s="34"/>
      <c r="CI183" s="34"/>
      <c r="CJ183" s="34"/>
      <c r="CK183" s="34"/>
      <c r="CL183" s="34"/>
      <c r="CM183" s="34"/>
      <c r="CN183" s="34"/>
      <c r="CO183" s="34"/>
      <c r="CP183" s="34"/>
      <c r="CQ183" s="34"/>
      <c r="CR183" s="34"/>
      <c r="CS183" s="34"/>
      <c r="CT183" s="34"/>
      <c r="CU183" s="34"/>
      <c r="CV183" s="34"/>
      <c r="CW183" s="34"/>
    </row>
    <row r="184" spans="1:101" ht="25.5">
      <c r="A184" s="255" t="str">
        <f>INDEX(WeightedSavings!$E$10:$E$81,FLOOR((ROW(A179))/3,1))</f>
        <v>Ground Source Heat Pump Upgrade from Air Source Heat Pump - With Desuperheater - Existing House less than 4000 square feet - Heating Zone 2 - Cooling Zone 2</v>
      </c>
      <c r="B184" s="255" t="str">
        <f t="shared" si="9"/>
        <v>dhw</v>
      </c>
      <c r="C184" s="39">
        <f>IF(B184="heat",VLOOKUP($A184,WeightedSavings!$E$10:$K$81,2,FALSE),IF(B184="cool",VLOOKUP($A184,WeightedSavings!$E$10:$K$81,3,FALSE),IF(B184="DHW",VLOOKUP($A184,WeightedSavings!$E$10:$K$81,4,FALSE),0)))</f>
        <v>2008.5243826125002</v>
      </c>
      <c r="D184" s="39">
        <f t="shared" si="10"/>
        <v>20</v>
      </c>
      <c r="E184" s="256">
        <f>IF(B184="heat",VLOOKUP(A184,WeightedSavings!$E$10:$K$81,5,FALSE), IF(B184="cool",0, IF(B184="DHW",VLOOKUP(A184,WeightedSavings!$E$10:K257,6,FALSE))))</f>
        <v>8878.381625</v>
      </c>
      <c r="F184" s="39"/>
      <c r="G184" s="257" t="str">
        <f t="shared" si="8"/>
        <v>ResDHW</v>
      </c>
      <c r="H184" s="39">
        <f>IF(B184="heat",VLOOKUP($A184,WeightedSavings!$E$10:$K$81,5,FALSE),0)</f>
        <v>0</v>
      </c>
      <c r="I184" s="34"/>
      <c r="J184" s="34"/>
      <c r="K184" s="34"/>
      <c r="L184" s="34"/>
      <c r="M184" s="34"/>
      <c r="N184" s="34"/>
      <c r="O184" s="34"/>
      <c r="P184" s="34"/>
      <c r="Q184" s="34"/>
      <c r="R184" s="34"/>
      <c r="S184" s="34"/>
      <c r="T184" s="34"/>
      <c r="U184" s="34"/>
      <c r="V184" s="34"/>
      <c r="W184" s="34"/>
      <c r="X184" s="34"/>
      <c r="Y184" s="34"/>
      <c r="Z184" s="34"/>
      <c r="AA184" s="34"/>
      <c r="AB184" s="34"/>
      <c r="AC184" s="34"/>
      <c r="AD184" s="34"/>
      <c r="AE184" s="34"/>
      <c r="AF184" s="34"/>
      <c r="AG184" s="34"/>
      <c r="AH184" s="34"/>
      <c r="AI184" s="34"/>
      <c r="AJ184" s="34"/>
      <c r="AK184" s="34"/>
      <c r="AL184" s="34"/>
      <c r="AM184" s="34"/>
      <c r="AN184" s="34"/>
      <c r="AO184" s="34"/>
      <c r="AP184" s="34"/>
      <c r="AQ184" s="34"/>
      <c r="AR184" s="34"/>
      <c r="AS184" s="34"/>
      <c r="AT184" s="34"/>
      <c r="AU184" s="34"/>
      <c r="AV184" s="34"/>
      <c r="AW184" s="34"/>
      <c r="AX184" s="34"/>
      <c r="AY184" s="34"/>
      <c r="AZ184" s="34"/>
      <c r="BA184" s="34"/>
      <c r="BB184" s="34"/>
      <c r="BC184" s="34"/>
      <c r="BD184" s="34"/>
      <c r="BE184" s="34"/>
      <c r="BF184" s="34"/>
      <c r="BG184" s="34"/>
      <c r="BH184" s="34"/>
      <c r="BI184" s="34"/>
      <c r="BJ184" s="34"/>
      <c r="BK184" s="34"/>
      <c r="BL184" s="34"/>
      <c r="BM184" s="34"/>
      <c r="BN184" s="34"/>
      <c r="BO184" s="34"/>
      <c r="BP184" s="34"/>
      <c r="BQ184" s="34"/>
      <c r="BR184" s="34"/>
      <c r="BS184" s="34"/>
      <c r="BT184" s="34"/>
      <c r="BU184" s="34"/>
      <c r="BV184" s="34"/>
      <c r="BW184" s="34"/>
      <c r="BX184" s="34"/>
      <c r="BY184" s="34"/>
      <c r="BZ184" s="34"/>
      <c r="CA184" s="34"/>
      <c r="CB184" s="34"/>
      <c r="CC184" s="34"/>
      <c r="CD184" s="34"/>
      <c r="CE184" s="34"/>
      <c r="CF184" s="34"/>
      <c r="CG184" s="34"/>
      <c r="CH184" s="34"/>
      <c r="CI184" s="34"/>
      <c r="CJ184" s="34"/>
      <c r="CK184" s="34"/>
      <c r="CL184" s="34"/>
      <c r="CM184" s="34"/>
      <c r="CN184" s="34"/>
      <c r="CO184" s="34"/>
      <c r="CP184" s="34"/>
      <c r="CQ184" s="34"/>
      <c r="CR184" s="34"/>
      <c r="CS184" s="34"/>
      <c r="CT184" s="34"/>
      <c r="CU184" s="34"/>
      <c r="CV184" s="34"/>
      <c r="CW184" s="34"/>
    </row>
    <row r="185" spans="1:101" ht="25.5">
      <c r="A185" s="255" t="str">
        <f>INDEX(WeightedSavings!$E$10:$E$81,FLOOR((ROW(A180))/3,1))</f>
        <v>Ground Source Heat Pump Upgrade from Air Source Heat Pump - With Desuperheater - Existing House less than 4000 square feet - Heating Zone 2 - Cooling Zone 3</v>
      </c>
      <c r="B185" s="255" t="str">
        <f t="shared" si="9"/>
        <v>heat</v>
      </c>
      <c r="C185" s="39">
        <f>IF(B185="heat",VLOOKUP($A185,WeightedSavings!$E$10:$K$81,2,FALSE),IF(B185="cool",VLOOKUP($A185,WeightedSavings!$E$10:$K$81,3,FALSE),IF(B185="DHW",VLOOKUP($A185,WeightedSavings!$E$10:$K$81,4,FALSE),0)))</f>
        <v>1305.8284622633546</v>
      </c>
      <c r="D185" s="39">
        <f t="shared" si="10"/>
        <v>20</v>
      </c>
      <c r="E185" s="256">
        <f>IF(B185="heat",VLOOKUP(A185,WeightedSavings!$E$10:$K$81,5,FALSE), IF(B185="cool",0, IF(B185="DHW",VLOOKUP(A185,WeightedSavings!$E$10:K258,6,FALSE))))</f>
        <v>50.975261282513401</v>
      </c>
      <c r="F185" s="39"/>
      <c r="G185" s="257" t="str">
        <f t="shared" si="8"/>
        <v>ResSpHtHPZ2</v>
      </c>
      <c r="H185" s="39">
        <f>IF(B185="heat",VLOOKUP($A185,WeightedSavings!$E$10:$K$81,5,FALSE),0)</f>
        <v>50.975261282513401</v>
      </c>
      <c r="I185" s="34"/>
      <c r="J185" s="34"/>
      <c r="K185" s="34"/>
      <c r="L185" s="34"/>
      <c r="M185" s="34"/>
      <c r="N185" s="34"/>
      <c r="O185" s="34"/>
      <c r="P185" s="34"/>
      <c r="Q185" s="34"/>
      <c r="R185" s="34"/>
      <c r="S185" s="34"/>
      <c r="T185" s="34"/>
      <c r="U185" s="34"/>
      <c r="V185" s="34"/>
      <c r="W185" s="34"/>
      <c r="X185" s="34"/>
      <c r="Y185" s="34"/>
      <c r="Z185" s="34"/>
      <c r="AA185" s="34"/>
      <c r="AB185" s="34"/>
      <c r="AC185" s="34"/>
      <c r="AD185" s="34"/>
      <c r="AE185" s="34"/>
      <c r="AF185" s="34"/>
      <c r="AG185" s="34"/>
      <c r="AH185" s="34"/>
      <c r="AI185" s="34"/>
      <c r="AJ185" s="34"/>
      <c r="AK185" s="34"/>
      <c r="AL185" s="34"/>
      <c r="AM185" s="34"/>
      <c r="AN185" s="34"/>
      <c r="AO185" s="34"/>
      <c r="AP185" s="34"/>
      <c r="AQ185" s="34"/>
      <c r="AR185" s="34"/>
      <c r="AS185" s="34"/>
      <c r="AT185" s="34"/>
      <c r="AU185" s="34"/>
      <c r="AV185" s="34"/>
      <c r="AW185" s="34"/>
      <c r="AX185" s="34"/>
      <c r="AY185" s="34"/>
      <c r="AZ185" s="34"/>
      <c r="BA185" s="34"/>
      <c r="BB185" s="34"/>
      <c r="BC185" s="34"/>
      <c r="BD185" s="34"/>
      <c r="BE185" s="34"/>
      <c r="BF185" s="34"/>
      <c r="BG185" s="34"/>
      <c r="BH185" s="34"/>
      <c r="BI185" s="34"/>
      <c r="BJ185" s="34"/>
      <c r="BK185" s="34"/>
      <c r="BL185" s="34"/>
      <c r="BM185" s="34"/>
      <c r="BN185" s="34"/>
      <c r="BO185" s="34"/>
      <c r="BP185" s="34"/>
      <c r="BQ185" s="34"/>
      <c r="BR185" s="34"/>
      <c r="BS185" s="34"/>
      <c r="BT185" s="34"/>
      <c r="BU185" s="34"/>
      <c r="BV185" s="34"/>
      <c r="BW185" s="34"/>
      <c r="BX185" s="34"/>
      <c r="BY185" s="34"/>
      <c r="BZ185" s="34"/>
      <c r="CA185" s="34"/>
      <c r="CB185" s="34"/>
      <c r="CC185" s="34"/>
      <c r="CD185" s="34"/>
      <c r="CE185" s="34"/>
      <c r="CF185" s="34"/>
      <c r="CG185" s="34"/>
      <c r="CH185" s="34"/>
      <c r="CI185" s="34"/>
      <c r="CJ185" s="34"/>
      <c r="CK185" s="34"/>
      <c r="CL185" s="34"/>
      <c r="CM185" s="34"/>
      <c r="CN185" s="34"/>
      <c r="CO185" s="34"/>
      <c r="CP185" s="34"/>
      <c r="CQ185" s="34"/>
      <c r="CR185" s="34"/>
      <c r="CS185" s="34"/>
      <c r="CT185" s="34"/>
      <c r="CU185" s="34"/>
      <c r="CV185" s="34"/>
      <c r="CW185" s="34"/>
    </row>
    <row r="186" spans="1:101" ht="25.5">
      <c r="A186" s="255" t="str">
        <f>INDEX(WeightedSavings!$E$10:$E$81,FLOOR((ROW(A181))/3,1))</f>
        <v>Ground Source Heat Pump Upgrade from Air Source Heat Pump - With Desuperheater - Existing House less than 4000 square feet - Heating Zone 2 - Cooling Zone 3</v>
      </c>
      <c r="B186" s="255" t="str">
        <f t="shared" si="9"/>
        <v>cool</v>
      </c>
      <c r="C186" s="39">
        <f>IF(B186="heat",VLOOKUP($A186,WeightedSavings!$E$10:$K$81,2,FALSE),IF(B186="cool",VLOOKUP($A186,WeightedSavings!$E$10:$K$81,3,FALSE),IF(B186="DHW",VLOOKUP($A186,WeightedSavings!$E$10:$K$81,4,FALSE),0)))</f>
        <v>247.75304203749999</v>
      </c>
      <c r="D186" s="39">
        <f t="shared" si="10"/>
        <v>20</v>
      </c>
      <c r="E186" s="256">
        <f>IF(B186="heat",VLOOKUP(A186,WeightedSavings!$E$10:$K$81,5,FALSE), IF(B186="cool",0, IF(B186="DHW",VLOOKUP(A186,WeightedSavings!$E$10:K259,6,FALSE))))</f>
        <v>0</v>
      </c>
      <c r="F186" s="39"/>
      <c r="G186" s="257" t="str">
        <f t="shared" si="8"/>
        <v>ResCACPNW</v>
      </c>
      <c r="H186" s="39">
        <f>IF(B186="heat",VLOOKUP($A186,WeightedSavings!$E$10:$K$81,5,FALSE),0)</f>
        <v>0</v>
      </c>
      <c r="I186" s="34"/>
      <c r="J186" s="34"/>
      <c r="K186" s="34"/>
      <c r="L186" s="34"/>
      <c r="M186" s="34"/>
      <c r="N186" s="34"/>
      <c r="O186" s="34"/>
      <c r="P186" s="34"/>
      <c r="Q186" s="34"/>
      <c r="R186" s="34"/>
      <c r="S186" s="34"/>
      <c r="T186" s="34"/>
      <c r="U186" s="34"/>
      <c r="V186" s="34"/>
      <c r="W186" s="34"/>
      <c r="X186" s="34"/>
      <c r="Y186" s="34"/>
      <c r="Z186" s="34"/>
      <c r="AA186" s="34"/>
      <c r="AB186" s="34"/>
      <c r="AC186" s="34"/>
      <c r="AD186" s="34"/>
      <c r="AE186" s="34"/>
      <c r="AF186" s="34"/>
      <c r="AG186" s="34"/>
      <c r="AH186" s="34"/>
      <c r="AI186" s="34"/>
      <c r="AJ186" s="34"/>
      <c r="AK186" s="34"/>
      <c r="AL186" s="34"/>
      <c r="AM186" s="34"/>
      <c r="AN186" s="34"/>
      <c r="AO186" s="34"/>
      <c r="AP186" s="34"/>
      <c r="AQ186" s="34"/>
      <c r="AR186" s="34"/>
      <c r="AS186" s="34"/>
      <c r="AT186" s="34"/>
      <c r="AU186" s="34"/>
      <c r="AV186" s="34"/>
      <c r="AW186" s="34"/>
      <c r="AX186" s="34"/>
      <c r="AY186" s="34"/>
      <c r="AZ186" s="34"/>
      <c r="BA186" s="34"/>
      <c r="BB186" s="34"/>
      <c r="BC186" s="34"/>
      <c r="BD186" s="34"/>
      <c r="BE186" s="34"/>
      <c r="BF186" s="34"/>
      <c r="BG186" s="34"/>
      <c r="BH186" s="34"/>
      <c r="BI186" s="34"/>
      <c r="BJ186" s="34"/>
      <c r="BK186" s="34"/>
      <c r="BL186" s="34"/>
      <c r="BM186" s="34"/>
      <c r="BN186" s="34"/>
      <c r="BO186" s="34"/>
      <c r="BP186" s="34"/>
      <c r="BQ186" s="34"/>
      <c r="BR186" s="34"/>
      <c r="BS186" s="34"/>
      <c r="BT186" s="34"/>
      <c r="BU186" s="34"/>
      <c r="BV186" s="34"/>
      <c r="BW186" s="34"/>
      <c r="BX186" s="34"/>
      <c r="BY186" s="34"/>
      <c r="BZ186" s="34"/>
      <c r="CA186" s="34"/>
      <c r="CB186" s="34"/>
      <c r="CC186" s="34"/>
      <c r="CD186" s="34"/>
      <c r="CE186" s="34"/>
      <c r="CF186" s="34"/>
      <c r="CG186" s="34"/>
      <c r="CH186" s="34"/>
      <c r="CI186" s="34"/>
      <c r="CJ186" s="34"/>
      <c r="CK186" s="34"/>
      <c r="CL186" s="34"/>
      <c r="CM186" s="34"/>
      <c r="CN186" s="34"/>
      <c r="CO186" s="34"/>
      <c r="CP186" s="34"/>
      <c r="CQ186" s="34"/>
      <c r="CR186" s="34"/>
      <c r="CS186" s="34"/>
      <c r="CT186" s="34"/>
      <c r="CU186" s="34"/>
      <c r="CV186" s="34"/>
      <c r="CW186" s="34"/>
    </row>
    <row r="187" spans="1:101" ht="25.5">
      <c r="A187" s="255" t="str">
        <f>INDEX(WeightedSavings!$E$10:$E$81,FLOOR((ROW(A182))/3,1))</f>
        <v>Ground Source Heat Pump Upgrade from Air Source Heat Pump - With Desuperheater - Existing House less than 4000 square feet - Heating Zone 2 - Cooling Zone 3</v>
      </c>
      <c r="B187" s="255" t="str">
        <f t="shared" si="9"/>
        <v>dhw</v>
      </c>
      <c r="C187" s="39">
        <f>IF(B187="heat",VLOOKUP($A187,WeightedSavings!$E$10:$K$81,2,FALSE),IF(B187="cool",VLOOKUP($A187,WeightedSavings!$E$10:$K$81,3,FALSE),IF(B187="DHW",VLOOKUP($A187,WeightedSavings!$E$10:$K$81,4,FALSE),0)))</f>
        <v>2008.5243826125002</v>
      </c>
      <c r="D187" s="39">
        <f t="shared" si="10"/>
        <v>20</v>
      </c>
      <c r="E187" s="256">
        <f>IF(B187="heat",VLOOKUP(A187,WeightedSavings!$E$10:$K$81,5,FALSE), IF(B187="cool",0, IF(B187="DHW",VLOOKUP(A187,WeightedSavings!$E$10:K260,6,FALSE))))</f>
        <v>8878.381625</v>
      </c>
      <c r="F187" s="39"/>
      <c r="G187" s="257" t="str">
        <f t="shared" si="8"/>
        <v>ResDHW</v>
      </c>
      <c r="H187" s="39">
        <f>IF(B187="heat",VLOOKUP($A187,WeightedSavings!$E$10:$K$81,5,FALSE),0)</f>
        <v>0</v>
      </c>
      <c r="I187" s="34"/>
      <c r="J187" s="34"/>
      <c r="K187" s="34"/>
      <c r="L187" s="34"/>
      <c r="M187" s="34"/>
      <c r="N187" s="34"/>
      <c r="O187" s="34"/>
      <c r="P187" s="34"/>
      <c r="Q187" s="34"/>
      <c r="R187" s="34"/>
      <c r="S187" s="34"/>
      <c r="T187" s="34"/>
      <c r="U187" s="34"/>
      <c r="V187" s="34"/>
      <c r="W187" s="34"/>
      <c r="X187" s="34"/>
      <c r="Y187" s="34"/>
      <c r="Z187" s="34"/>
      <c r="AA187" s="34"/>
      <c r="AB187" s="34"/>
      <c r="AC187" s="34"/>
      <c r="AD187" s="34"/>
      <c r="AE187" s="34"/>
      <c r="AF187" s="34"/>
      <c r="AG187" s="34"/>
      <c r="AH187" s="34"/>
      <c r="AI187" s="34"/>
      <c r="AJ187" s="34"/>
      <c r="AK187" s="34"/>
      <c r="AL187" s="34"/>
      <c r="AM187" s="34"/>
      <c r="AN187" s="34"/>
      <c r="AO187" s="34"/>
      <c r="AP187" s="34"/>
      <c r="AQ187" s="34"/>
      <c r="AR187" s="34"/>
      <c r="AS187" s="34"/>
      <c r="AT187" s="34"/>
      <c r="AU187" s="34"/>
      <c r="AV187" s="34"/>
      <c r="AW187" s="34"/>
      <c r="AX187" s="34"/>
      <c r="AY187" s="34"/>
      <c r="AZ187" s="34"/>
      <c r="BA187" s="34"/>
      <c r="BB187" s="34"/>
      <c r="BC187" s="34"/>
      <c r="BD187" s="34"/>
      <c r="BE187" s="34"/>
      <c r="BF187" s="34"/>
      <c r="BG187" s="34"/>
      <c r="BH187" s="34"/>
      <c r="BI187" s="34"/>
      <c r="BJ187" s="34"/>
      <c r="BK187" s="34"/>
      <c r="BL187" s="34"/>
      <c r="BM187" s="34"/>
      <c r="BN187" s="34"/>
      <c r="BO187" s="34"/>
      <c r="BP187" s="34"/>
      <c r="BQ187" s="34"/>
      <c r="BR187" s="34"/>
      <c r="BS187" s="34"/>
      <c r="BT187" s="34"/>
      <c r="BU187" s="34"/>
      <c r="BV187" s="34"/>
      <c r="BW187" s="34"/>
      <c r="BX187" s="34"/>
      <c r="BY187" s="34"/>
      <c r="BZ187" s="34"/>
      <c r="CA187" s="34"/>
      <c r="CB187" s="34"/>
      <c r="CC187" s="34"/>
      <c r="CD187" s="34"/>
      <c r="CE187" s="34"/>
      <c r="CF187" s="34"/>
      <c r="CG187" s="34"/>
      <c r="CH187" s="34"/>
      <c r="CI187" s="34"/>
      <c r="CJ187" s="34"/>
      <c r="CK187" s="34"/>
      <c r="CL187" s="34"/>
      <c r="CM187" s="34"/>
      <c r="CN187" s="34"/>
      <c r="CO187" s="34"/>
      <c r="CP187" s="34"/>
      <c r="CQ187" s="34"/>
      <c r="CR187" s="34"/>
      <c r="CS187" s="34"/>
      <c r="CT187" s="34"/>
      <c r="CU187" s="34"/>
      <c r="CV187" s="34"/>
      <c r="CW187" s="34"/>
    </row>
    <row r="188" spans="1:101" ht="25.5">
      <c r="A188" s="255" t="str">
        <f>INDEX(WeightedSavings!$E$10:$E$81,FLOOR((ROW(A183))/3,1))</f>
        <v>Ground Source Heat Pump Upgrade from Air Source Heat Pump - With Desuperheater - Existing House less than 4000 square feet - Heating Zone 3 - Cooling Zone 1</v>
      </c>
      <c r="B188" s="255" t="str">
        <f t="shared" si="9"/>
        <v>heat</v>
      </c>
      <c r="C188" s="39">
        <f>IF(B188="heat",VLOOKUP($A188,WeightedSavings!$E$10:$K$81,2,FALSE),IF(B188="cool",VLOOKUP($A188,WeightedSavings!$E$10:$K$81,3,FALSE),IF(B188="DHW",VLOOKUP($A188,WeightedSavings!$E$10:$K$81,4,FALSE),0)))</f>
        <v>2024.043988154627</v>
      </c>
      <c r="D188" s="39">
        <f t="shared" si="10"/>
        <v>20</v>
      </c>
      <c r="E188" s="256">
        <f>IF(B188="heat",VLOOKUP(A188,WeightedSavings!$E$10:$K$81,5,FALSE), IF(B188="cool",0, IF(B188="DHW",VLOOKUP(A188,WeightedSavings!$E$10:K261,6,FALSE))))</f>
        <v>54.876734813348762</v>
      </c>
      <c r="F188" s="39"/>
      <c r="G188" s="257" t="str">
        <f t="shared" si="8"/>
        <v>ResSpHtHPZ3</v>
      </c>
      <c r="H188" s="39">
        <f>IF(B188="heat",VLOOKUP($A188,WeightedSavings!$E$10:$K$81,5,FALSE),0)</f>
        <v>54.876734813348762</v>
      </c>
      <c r="I188" s="34"/>
      <c r="J188" s="34"/>
      <c r="K188" s="34"/>
      <c r="L188" s="34"/>
      <c r="M188" s="34"/>
      <c r="N188" s="34"/>
      <c r="O188" s="34"/>
      <c r="P188" s="34"/>
      <c r="Q188" s="34"/>
      <c r="R188" s="34"/>
      <c r="S188" s="34"/>
      <c r="T188" s="34"/>
      <c r="U188" s="34"/>
      <c r="V188" s="34"/>
      <c r="W188" s="34"/>
      <c r="X188" s="34"/>
      <c r="Y188" s="34"/>
      <c r="Z188" s="34"/>
      <c r="AA188" s="34"/>
      <c r="AB188" s="34"/>
      <c r="AC188" s="34"/>
      <c r="AD188" s="34"/>
      <c r="AE188" s="34"/>
      <c r="AF188" s="34"/>
      <c r="AG188" s="34"/>
      <c r="AH188" s="34"/>
      <c r="AI188" s="34"/>
      <c r="AJ188" s="34"/>
      <c r="AK188" s="34"/>
      <c r="AL188" s="34"/>
      <c r="AM188" s="34"/>
      <c r="AN188" s="34"/>
      <c r="AO188" s="34"/>
      <c r="AP188" s="34"/>
      <c r="AQ188" s="34"/>
      <c r="AR188" s="34"/>
      <c r="AS188" s="34"/>
      <c r="AT188" s="34"/>
      <c r="AU188" s="34"/>
      <c r="AV188" s="34"/>
      <c r="AW188" s="34"/>
      <c r="AX188" s="34"/>
      <c r="AY188" s="34"/>
      <c r="AZ188" s="34"/>
      <c r="BA188" s="34"/>
      <c r="BB188" s="34"/>
      <c r="BC188" s="34"/>
      <c r="BD188" s="34"/>
      <c r="BE188" s="34"/>
      <c r="BF188" s="34"/>
      <c r="BG188" s="34"/>
      <c r="BH188" s="34"/>
      <c r="BI188" s="34"/>
      <c r="BJ188" s="34"/>
      <c r="BK188" s="34"/>
      <c r="BL188" s="34"/>
      <c r="BM188" s="34"/>
      <c r="BN188" s="34"/>
      <c r="BO188" s="34"/>
      <c r="BP188" s="34"/>
      <c r="BQ188" s="34"/>
      <c r="BR188" s="34"/>
      <c r="BS188" s="34"/>
      <c r="BT188" s="34"/>
      <c r="BU188" s="34"/>
      <c r="BV188" s="34"/>
      <c r="BW188" s="34"/>
      <c r="BX188" s="34"/>
      <c r="BY188" s="34"/>
      <c r="BZ188" s="34"/>
      <c r="CA188" s="34"/>
      <c r="CB188" s="34"/>
      <c r="CC188" s="34"/>
      <c r="CD188" s="34"/>
      <c r="CE188" s="34"/>
      <c r="CF188" s="34"/>
      <c r="CG188" s="34"/>
      <c r="CH188" s="34"/>
      <c r="CI188" s="34"/>
      <c r="CJ188" s="34"/>
      <c r="CK188" s="34"/>
      <c r="CL188" s="34"/>
      <c r="CM188" s="34"/>
      <c r="CN188" s="34"/>
      <c r="CO188" s="34"/>
      <c r="CP188" s="34"/>
      <c r="CQ188" s="34"/>
      <c r="CR188" s="34"/>
      <c r="CS188" s="34"/>
      <c r="CT188" s="34"/>
      <c r="CU188" s="34"/>
      <c r="CV188" s="34"/>
      <c r="CW188" s="34"/>
    </row>
    <row r="189" spans="1:101" ht="25.5">
      <c r="A189" s="255" t="str">
        <f>INDEX(WeightedSavings!$E$10:$E$81,FLOOR((ROW(A184))/3,1))</f>
        <v>Ground Source Heat Pump Upgrade from Air Source Heat Pump - With Desuperheater - Existing House less than 4000 square feet - Heating Zone 3 - Cooling Zone 1</v>
      </c>
      <c r="B189" s="255" t="str">
        <f t="shared" si="9"/>
        <v>cool</v>
      </c>
      <c r="C189" s="39">
        <f>IF(B189="heat",VLOOKUP($A189,WeightedSavings!$E$10:$K$81,2,FALSE),IF(B189="cool",VLOOKUP($A189,WeightedSavings!$E$10:$K$81,3,FALSE),IF(B189="DHW",VLOOKUP($A189,WeightedSavings!$E$10:$K$81,4,FALSE),0)))</f>
        <v>36.436239544642852</v>
      </c>
      <c r="D189" s="39">
        <f t="shared" si="10"/>
        <v>20</v>
      </c>
      <c r="E189" s="256">
        <f>IF(B189="heat",VLOOKUP(A189,WeightedSavings!$E$10:$K$81,5,FALSE), IF(B189="cool",0, IF(B189="DHW",VLOOKUP(A189,WeightedSavings!$E$10:K262,6,FALSE))))</f>
        <v>0</v>
      </c>
      <c r="F189" s="39"/>
      <c r="G189" s="257" t="str">
        <f t="shared" si="8"/>
        <v>ResCACPNW</v>
      </c>
      <c r="H189" s="39">
        <f>IF(B189="heat",VLOOKUP($A189,WeightedSavings!$E$10:$K$81,5,FALSE),0)</f>
        <v>0</v>
      </c>
      <c r="I189" s="34"/>
      <c r="J189" s="34"/>
      <c r="K189" s="34"/>
      <c r="L189" s="34"/>
      <c r="M189" s="34"/>
      <c r="N189" s="34"/>
      <c r="O189" s="34"/>
      <c r="P189" s="34"/>
      <c r="Q189" s="34"/>
      <c r="R189" s="34"/>
      <c r="S189" s="34"/>
      <c r="T189" s="34"/>
      <c r="U189" s="34"/>
      <c r="V189" s="34"/>
      <c r="W189" s="34"/>
      <c r="X189" s="34"/>
      <c r="Y189" s="34"/>
      <c r="Z189" s="34"/>
      <c r="AA189" s="34"/>
      <c r="AB189" s="34"/>
      <c r="AC189" s="34"/>
      <c r="AD189" s="34"/>
      <c r="AE189" s="34"/>
      <c r="AF189" s="34"/>
      <c r="AG189" s="34"/>
      <c r="AH189" s="34"/>
      <c r="AI189" s="34"/>
      <c r="AJ189" s="34"/>
      <c r="AK189" s="34"/>
      <c r="AL189" s="34"/>
      <c r="AM189" s="34"/>
      <c r="AN189" s="34"/>
      <c r="AO189" s="34"/>
      <c r="AP189" s="34"/>
      <c r="AQ189" s="34"/>
      <c r="AR189" s="34"/>
      <c r="AS189" s="34"/>
      <c r="AT189" s="34"/>
      <c r="AU189" s="34"/>
      <c r="AV189" s="34"/>
      <c r="AW189" s="34"/>
      <c r="AX189" s="34"/>
      <c r="AY189" s="34"/>
      <c r="AZ189" s="34"/>
      <c r="BA189" s="34"/>
      <c r="BB189" s="34"/>
      <c r="BC189" s="34"/>
      <c r="BD189" s="34"/>
      <c r="BE189" s="34"/>
      <c r="BF189" s="34"/>
      <c r="BG189" s="34"/>
      <c r="BH189" s="34"/>
      <c r="BI189" s="34"/>
      <c r="BJ189" s="34"/>
      <c r="BK189" s="34"/>
      <c r="BL189" s="34"/>
      <c r="BM189" s="34"/>
      <c r="BN189" s="34"/>
      <c r="BO189" s="34"/>
      <c r="BP189" s="34"/>
      <c r="BQ189" s="34"/>
      <c r="BR189" s="34"/>
      <c r="BS189" s="34"/>
      <c r="BT189" s="34"/>
      <c r="BU189" s="34"/>
      <c r="BV189" s="34"/>
      <c r="BW189" s="34"/>
      <c r="BX189" s="34"/>
      <c r="BY189" s="34"/>
      <c r="BZ189" s="34"/>
      <c r="CA189" s="34"/>
      <c r="CB189" s="34"/>
      <c r="CC189" s="34"/>
      <c r="CD189" s="34"/>
      <c r="CE189" s="34"/>
      <c r="CF189" s="34"/>
      <c r="CG189" s="34"/>
      <c r="CH189" s="34"/>
      <c r="CI189" s="34"/>
      <c r="CJ189" s="34"/>
      <c r="CK189" s="34"/>
      <c r="CL189" s="34"/>
      <c r="CM189" s="34"/>
      <c r="CN189" s="34"/>
      <c r="CO189" s="34"/>
      <c r="CP189" s="34"/>
      <c r="CQ189" s="34"/>
      <c r="CR189" s="34"/>
      <c r="CS189" s="34"/>
      <c r="CT189" s="34"/>
      <c r="CU189" s="34"/>
      <c r="CV189" s="34"/>
      <c r="CW189" s="34"/>
    </row>
    <row r="190" spans="1:101" ht="25.5">
      <c r="A190" s="255" t="str">
        <f>INDEX(WeightedSavings!$E$10:$E$81,FLOOR((ROW(A185))/3,1))</f>
        <v>Ground Source Heat Pump Upgrade from Air Source Heat Pump - With Desuperheater - Existing House less than 4000 square feet - Heating Zone 3 - Cooling Zone 1</v>
      </c>
      <c r="B190" s="255" t="str">
        <f t="shared" si="9"/>
        <v>dhw</v>
      </c>
      <c r="C190" s="39">
        <f>IF(B190="heat",VLOOKUP($A190,WeightedSavings!$E$10:$K$81,2,FALSE),IF(B190="cool",VLOOKUP($A190,WeightedSavings!$E$10:$K$81,3,FALSE),IF(B190="DHW",VLOOKUP($A190,WeightedSavings!$E$10:$K$81,4,FALSE),0)))</f>
        <v>2318.4327623624999</v>
      </c>
      <c r="D190" s="39">
        <f t="shared" si="10"/>
        <v>20</v>
      </c>
      <c r="E190" s="256">
        <f>IF(B190="heat",VLOOKUP(A190,WeightedSavings!$E$10:$K$81,5,FALSE), IF(B190="cool",0, IF(B190="DHW",VLOOKUP(A190,WeightedSavings!$E$10:K263,6,FALSE))))</f>
        <v>14478.166725000003</v>
      </c>
      <c r="F190" s="39"/>
      <c r="G190" s="257" t="str">
        <f t="shared" si="8"/>
        <v>ResDHW</v>
      </c>
      <c r="H190" s="39">
        <f>IF(B190="heat",VLOOKUP($A190,WeightedSavings!$E$10:$K$81,5,FALSE),0)</f>
        <v>0</v>
      </c>
      <c r="I190" s="34"/>
      <c r="J190" s="34"/>
      <c r="K190" s="34"/>
      <c r="L190" s="34"/>
      <c r="M190" s="34"/>
      <c r="N190" s="34"/>
      <c r="O190" s="34"/>
      <c r="P190" s="34"/>
      <c r="Q190" s="34"/>
      <c r="R190" s="34"/>
      <c r="S190" s="34"/>
      <c r="T190" s="34"/>
      <c r="U190" s="34"/>
      <c r="V190" s="34"/>
      <c r="W190" s="34"/>
      <c r="X190" s="34"/>
      <c r="Y190" s="34"/>
      <c r="Z190" s="34"/>
      <c r="AA190" s="34"/>
      <c r="AB190" s="34"/>
      <c r="AC190" s="34"/>
      <c r="AD190" s="34"/>
      <c r="AE190" s="34"/>
      <c r="AF190" s="34"/>
      <c r="AG190" s="34"/>
      <c r="AH190" s="34"/>
      <c r="AI190" s="34"/>
      <c r="AJ190" s="34"/>
      <c r="AK190" s="34"/>
      <c r="AL190" s="34"/>
      <c r="AM190" s="34"/>
      <c r="AN190" s="34"/>
      <c r="AO190" s="34"/>
      <c r="AP190" s="34"/>
      <c r="AQ190" s="34"/>
      <c r="AR190" s="34"/>
      <c r="AS190" s="34"/>
      <c r="AT190" s="34"/>
      <c r="AU190" s="34"/>
      <c r="AV190" s="34"/>
      <c r="AW190" s="34"/>
      <c r="AX190" s="34"/>
      <c r="AY190" s="34"/>
      <c r="AZ190" s="34"/>
      <c r="BA190" s="34"/>
      <c r="BB190" s="34"/>
      <c r="BC190" s="34"/>
      <c r="BD190" s="34"/>
      <c r="BE190" s="34"/>
      <c r="BF190" s="34"/>
      <c r="BG190" s="34"/>
      <c r="BH190" s="34"/>
      <c r="BI190" s="34"/>
      <c r="BJ190" s="34"/>
      <c r="BK190" s="34"/>
      <c r="BL190" s="34"/>
      <c r="BM190" s="34"/>
      <c r="BN190" s="34"/>
      <c r="BO190" s="34"/>
      <c r="BP190" s="34"/>
      <c r="BQ190" s="34"/>
      <c r="BR190" s="34"/>
      <c r="BS190" s="34"/>
      <c r="BT190" s="34"/>
      <c r="BU190" s="34"/>
      <c r="BV190" s="34"/>
      <c r="BW190" s="34"/>
      <c r="BX190" s="34"/>
      <c r="BY190" s="34"/>
      <c r="BZ190" s="34"/>
      <c r="CA190" s="34"/>
      <c r="CB190" s="34"/>
      <c r="CC190" s="34"/>
      <c r="CD190" s="34"/>
      <c r="CE190" s="34"/>
      <c r="CF190" s="34"/>
      <c r="CG190" s="34"/>
      <c r="CH190" s="34"/>
      <c r="CI190" s="34"/>
      <c r="CJ190" s="34"/>
      <c r="CK190" s="34"/>
      <c r="CL190" s="34"/>
      <c r="CM190" s="34"/>
      <c r="CN190" s="34"/>
      <c r="CO190" s="34"/>
      <c r="CP190" s="34"/>
      <c r="CQ190" s="34"/>
      <c r="CR190" s="34"/>
      <c r="CS190" s="34"/>
      <c r="CT190" s="34"/>
      <c r="CU190" s="34"/>
      <c r="CV190" s="34"/>
      <c r="CW190" s="34"/>
    </row>
    <row r="191" spans="1:101" ht="25.5">
      <c r="A191" s="255" t="str">
        <f>INDEX(WeightedSavings!$E$10:$E$81,FLOOR((ROW(A186))/3,1))</f>
        <v>Ground Source Heat Pump Upgrade from Air Source Heat Pump - With Desuperheater - Existing House less than 4000 square feet - Heating Zone 3 - Cooling Zone 2</v>
      </c>
      <c r="B191" s="255" t="str">
        <f t="shared" si="9"/>
        <v>heat</v>
      </c>
      <c r="C191" s="39">
        <f>IF(B191="heat",VLOOKUP($A191,WeightedSavings!$E$10:$K$81,2,FALSE),IF(B191="cool",VLOOKUP($A191,WeightedSavings!$E$10:$K$81,3,FALSE),IF(B191="DHW",VLOOKUP($A191,WeightedSavings!$E$10:$K$81,4,FALSE),0)))</f>
        <v>2024.043988154627</v>
      </c>
      <c r="D191" s="39">
        <f t="shared" si="10"/>
        <v>20</v>
      </c>
      <c r="E191" s="256">
        <f>IF(B191="heat",VLOOKUP(A191,WeightedSavings!$E$10:$K$81,5,FALSE), IF(B191="cool",0, IF(B191="DHW",VLOOKUP(A191,WeightedSavings!$E$10:K264,6,FALSE))))</f>
        <v>54.876734813348762</v>
      </c>
      <c r="F191" s="39"/>
      <c r="G191" s="257" t="str">
        <f t="shared" si="8"/>
        <v>ResSpHtHPZ3</v>
      </c>
      <c r="H191" s="39">
        <f>IF(B191="heat",VLOOKUP($A191,WeightedSavings!$E$10:$K$81,5,FALSE),0)</f>
        <v>54.876734813348762</v>
      </c>
      <c r="I191" s="34"/>
      <c r="J191" s="34"/>
      <c r="K191" s="34"/>
      <c r="L191" s="34"/>
      <c r="M191" s="34"/>
      <c r="N191" s="34"/>
      <c r="O191" s="34"/>
      <c r="P191" s="34"/>
      <c r="Q191" s="34"/>
      <c r="R191" s="34"/>
      <c r="S191" s="34"/>
      <c r="T191" s="34"/>
      <c r="U191" s="34"/>
      <c r="V191" s="34"/>
      <c r="W191" s="34"/>
      <c r="X191" s="34"/>
      <c r="Y191" s="34"/>
      <c r="Z191" s="34"/>
      <c r="AA191" s="34"/>
      <c r="AB191" s="34"/>
      <c r="AC191" s="34"/>
      <c r="AD191" s="34"/>
      <c r="AE191" s="34"/>
      <c r="AF191" s="34"/>
      <c r="AG191" s="34"/>
      <c r="AH191" s="34"/>
      <c r="AI191" s="34"/>
      <c r="AJ191" s="34"/>
      <c r="AK191" s="34"/>
      <c r="AL191" s="34"/>
      <c r="AM191" s="34"/>
      <c r="AN191" s="34"/>
      <c r="AO191" s="34"/>
      <c r="AP191" s="34"/>
      <c r="AQ191" s="34"/>
      <c r="AR191" s="34"/>
      <c r="AS191" s="34"/>
      <c r="AT191" s="34"/>
      <c r="AU191" s="34"/>
      <c r="AV191" s="34"/>
      <c r="AW191" s="34"/>
      <c r="AX191" s="34"/>
      <c r="AY191" s="34"/>
      <c r="AZ191" s="34"/>
      <c r="BA191" s="34"/>
      <c r="BB191" s="34"/>
      <c r="BC191" s="34"/>
      <c r="BD191" s="34"/>
      <c r="BE191" s="34"/>
      <c r="BF191" s="34"/>
      <c r="BG191" s="34"/>
      <c r="BH191" s="34"/>
      <c r="BI191" s="34"/>
      <c r="BJ191" s="34"/>
      <c r="BK191" s="34"/>
      <c r="BL191" s="34"/>
      <c r="BM191" s="34"/>
      <c r="BN191" s="34"/>
      <c r="BO191" s="34"/>
      <c r="BP191" s="34"/>
      <c r="BQ191" s="34"/>
      <c r="BR191" s="34"/>
      <c r="BS191" s="34"/>
      <c r="BT191" s="34"/>
      <c r="BU191" s="34"/>
      <c r="BV191" s="34"/>
      <c r="BW191" s="34"/>
      <c r="BX191" s="34"/>
      <c r="BY191" s="34"/>
      <c r="BZ191" s="34"/>
      <c r="CA191" s="34"/>
      <c r="CB191" s="34"/>
      <c r="CC191" s="34"/>
      <c r="CD191" s="34"/>
      <c r="CE191" s="34"/>
      <c r="CF191" s="34"/>
      <c r="CG191" s="34"/>
      <c r="CH191" s="34"/>
      <c r="CI191" s="34"/>
      <c r="CJ191" s="34"/>
      <c r="CK191" s="34"/>
      <c r="CL191" s="34"/>
      <c r="CM191" s="34"/>
      <c r="CN191" s="34"/>
      <c r="CO191" s="34"/>
      <c r="CP191" s="34"/>
      <c r="CQ191" s="34"/>
      <c r="CR191" s="34"/>
      <c r="CS191" s="34"/>
      <c r="CT191" s="34"/>
      <c r="CU191" s="34"/>
      <c r="CV191" s="34"/>
      <c r="CW191" s="34"/>
    </row>
    <row r="192" spans="1:101" ht="25.5">
      <c r="A192" s="255" t="str">
        <f>INDEX(WeightedSavings!$E$10:$E$81,FLOOR((ROW(A187))/3,1))</f>
        <v>Ground Source Heat Pump Upgrade from Air Source Heat Pump - With Desuperheater - Existing House less than 4000 square feet - Heating Zone 3 - Cooling Zone 2</v>
      </c>
      <c r="B192" s="255" t="str">
        <f t="shared" si="9"/>
        <v>cool</v>
      </c>
      <c r="C192" s="39">
        <f>IF(B192="heat",VLOOKUP($A192,WeightedSavings!$E$10:$K$81,2,FALSE),IF(B192="cool",VLOOKUP($A192,WeightedSavings!$E$10:$K$81,3,FALSE),IF(B192="DHW",VLOOKUP($A192,WeightedSavings!$E$10:$K$81,4,FALSE),0)))</f>
        <v>115.70859858571436</v>
      </c>
      <c r="D192" s="39">
        <f t="shared" si="10"/>
        <v>20</v>
      </c>
      <c r="E192" s="256">
        <f>IF(B192="heat",VLOOKUP(A192,WeightedSavings!$E$10:$K$81,5,FALSE), IF(B192="cool",0, IF(B192="DHW",VLOOKUP(A192,WeightedSavings!$E$10:K265,6,FALSE))))</f>
        <v>0</v>
      </c>
      <c r="F192" s="39"/>
      <c r="G192" s="257" t="str">
        <f t="shared" si="8"/>
        <v>ResCACPNW</v>
      </c>
      <c r="H192" s="39">
        <f>IF(B192="heat",VLOOKUP($A192,WeightedSavings!$E$10:$K$81,5,FALSE),0)</f>
        <v>0</v>
      </c>
      <c r="I192" s="34"/>
      <c r="J192" s="34"/>
      <c r="K192" s="34"/>
      <c r="L192" s="34"/>
      <c r="M192" s="34"/>
      <c r="N192" s="34"/>
      <c r="O192" s="34"/>
      <c r="P192" s="34"/>
      <c r="Q192" s="34"/>
      <c r="R192" s="34"/>
      <c r="S192" s="34"/>
      <c r="T192" s="34"/>
      <c r="U192" s="34"/>
      <c r="V192" s="34"/>
      <c r="W192" s="34"/>
      <c r="X192" s="34"/>
      <c r="Y192" s="34"/>
      <c r="Z192" s="34"/>
      <c r="AA192" s="34"/>
      <c r="AB192" s="34"/>
      <c r="AC192" s="34"/>
      <c r="AD192" s="34"/>
      <c r="AE192" s="34"/>
      <c r="AF192" s="34"/>
      <c r="AG192" s="34"/>
      <c r="AH192" s="34"/>
      <c r="AI192" s="34"/>
      <c r="AJ192" s="34"/>
      <c r="AK192" s="34"/>
      <c r="AL192" s="34"/>
      <c r="AM192" s="34"/>
      <c r="AN192" s="34"/>
      <c r="AO192" s="34"/>
      <c r="AP192" s="34"/>
      <c r="AQ192" s="34"/>
      <c r="AR192" s="34"/>
      <c r="AS192" s="34"/>
      <c r="AT192" s="34"/>
      <c r="AU192" s="34"/>
      <c r="AV192" s="34"/>
      <c r="AW192" s="34"/>
      <c r="AX192" s="34"/>
      <c r="AY192" s="34"/>
      <c r="AZ192" s="34"/>
      <c r="BA192" s="34"/>
      <c r="BB192" s="34"/>
      <c r="BC192" s="34"/>
      <c r="BD192" s="34"/>
      <c r="BE192" s="34"/>
      <c r="BF192" s="34"/>
      <c r="BG192" s="34"/>
      <c r="BH192" s="34"/>
      <c r="BI192" s="34"/>
      <c r="BJ192" s="34"/>
      <c r="BK192" s="34"/>
      <c r="BL192" s="34"/>
      <c r="BM192" s="34"/>
      <c r="BN192" s="34"/>
      <c r="BO192" s="34"/>
      <c r="BP192" s="34"/>
      <c r="BQ192" s="34"/>
      <c r="BR192" s="34"/>
      <c r="BS192" s="34"/>
      <c r="BT192" s="34"/>
      <c r="BU192" s="34"/>
      <c r="BV192" s="34"/>
      <c r="BW192" s="34"/>
      <c r="BX192" s="34"/>
      <c r="BY192" s="34"/>
      <c r="BZ192" s="34"/>
      <c r="CA192" s="34"/>
      <c r="CB192" s="34"/>
      <c r="CC192" s="34"/>
      <c r="CD192" s="34"/>
      <c r="CE192" s="34"/>
      <c r="CF192" s="34"/>
      <c r="CG192" s="34"/>
      <c r="CH192" s="34"/>
      <c r="CI192" s="34"/>
      <c r="CJ192" s="34"/>
      <c r="CK192" s="34"/>
      <c r="CL192" s="34"/>
      <c r="CM192" s="34"/>
      <c r="CN192" s="34"/>
      <c r="CO192" s="34"/>
      <c r="CP192" s="34"/>
      <c r="CQ192" s="34"/>
      <c r="CR192" s="34"/>
      <c r="CS192" s="34"/>
      <c r="CT192" s="34"/>
      <c r="CU192" s="34"/>
      <c r="CV192" s="34"/>
      <c r="CW192" s="34"/>
    </row>
    <row r="193" spans="1:101" ht="25.5">
      <c r="A193" s="255" t="str">
        <f>INDEX(WeightedSavings!$E$10:$E$81,FLOOR((ROW(A188))/3,1))</f>
        <v>Ground Source Heat Pump Upgrade from Air Source Heat Pump - With Desuperheater - Existing House less than 4000 square feet - Heating Zone 3 - Cooling Zone 2</v>
      </c>
      <c r="B193" s="255" t="str">
        <f t="shared" si="9"/>
        <v>dhw</v>
      </c>
      <c r="C193" s="39">
        <f>IF(B193="heat",VLOOKUP($A193,WeightedSavings!$E$10:$K$81,2,FALSE),IF(B193="cool",VLOOKUP($A193,WeightedSavings!$E$10:$K$81,3,FALSE),IF(B193="DHW",VLOOKUP($A193,WeightedSavings!$E$10:$K$81,4,FALSE),0)))</f>
        <v>2318.4327623624999</v>
      </c>
      <c r="D193" s="39">
        <f t="shared" si="10"/>
        <v>20</v>
      </c>
      <c r="E193" s="256">
        <f>IF(B193="heat",VLOOKUP(A193,WeightedSavings!$E$10:$K$81,5,FALSE), IF(B193="cool",0, IF(B193="DHW",VLOOKUP(A193,WeightedSavings!$E$10:K266,6,FALSE))))</f>
        <v>14478.166725000003</v>
      </c>
      <c r="F193" s="39"/>
      <c r="G193" s="257" t="str">
        <f t="shared" si="8"/>
        <v>ResDHW</v>
      </c>
      <c r="H193" s="39">
        <f>IF(B193="heat",VLOOKUP($A193,WeightedSavings!$E$10:$K$81,5,FALSE),0)</f>
        <v>0</v>
      </c>
      <c r="I193" s="34"/>
      <c r="J193" s="34"/>
      <c r="K193" s="34"/>
      <c r="L193" s="34"/>
      <c r="M193" s="34"/>
      <c r="N193" s="34"/>
      <c r="O193" s="34"/>
      <c r="P193" s="34"/>
      <c r="Q193" s="34"/>
      <c r="R193" s="34"/>
      <c r="S193" s="34"/>
      <c r="T193" s="34"/>
      <c r="U193" s="34"/>
      <c r="V193" s="34"/>
      <c r="W193" s="34"/>
      <c r="X193" s="34"/>
      <c r="Y193" s="34"/>
      <c r="Z193" s="34"/>
      <c r="AA193" s="34"/>
      <c r="AB193" s="34"/>
      <c r="AC193" s="34"/>
      <c r="AD193" s="34"/>
      <c r="AE193" s="34"/>
      <c r="AF193" s="34"/>
      <c r="AG193" s="34"/>
      <c r="AH193" s="34"/>
      <c r="AI193" s="34"/>
      <c r="AJ193" s="34"/>
      <c r="AK193" s="34"/>
      <c r="AL193" s="34"/>
      <c r="AM193" s="34"/>
      <c r="AN193" s="34"/>
      <c r="AO193" s="34"/>
      <c r="AP193" s="34"/>
      <c r="AQ193" s="34"/>
      <c r="AR193" s="34"/>
      <c r="AS193" s="34"/>
      <c r="AT193" s="34"/>
      <c r="AU193" s="34"/>
      <c r="AV193" s="34"/>
      <c r="AW193" s="34"/>
      <c r="AX193" s="34"/>
      <c r="AY193" s="34"/>
      <c r="AZ193" s="34"/>
      <c r="BA193" s="34"/>
      <c r="BB193" s="34"/>
      <c r="BC193" s="34"/>
      <c r="BD193" s="34"/>
      <c r="BE193" s="34"/>
      <c r="BF193" s="34"/>
      <c r="BG193" s="34"/>
      <c r="BH193" s="34"/>
      <c r="BI193" s="34"/>
      <c r="BJ193" s="34"/>
      <c r="BK193" s="34"/>
      <c r="BL193" s="34"/>
      <c r="BM193" s="34"/>
      <c r="BN193" s="34"/>
      <c r="BO193" s="34"/>
      <c r="BP193" s="34"/>
      <c r="BQ193" s="34"/>
      <c r="BR193" s="34"/>
      <c r="BS193" s="34"/>
      <c r="BT193" s="34"/>
      <c r="BU193" s="34"/>
      <c r="BV193" s="34"/>
      <c r="BW193" s="34"/>
      <c r="BX193" s="34"/>
      <c r="BY193" s="34"/>
      <c r="BZ193" s="34"/>
      <c r="CA193" s="34"/>
      <c r="CB193" s="34"/>
      <c r="CC193" s="34"/>
      <c r="CD193" s="34"/>
      <c r="CE193" s="34"/>
      <c r="CF193" s="34"/>
      <c r="CG193" s="34"/>
      <c r="CH193" s="34"/>
      <c r="CI193" s="34"/>
      <c r="CJ193" s="34"/>
      <c r="CK193" s="34"/>
      <c r="CL193" s="34"/>
      <c r="CM193" s="34"/>
      <c r="CN193" s="34"/>
      <c r="CO193" s="34"/>
      <c r="CP193" s="34"/>
      <c r="CQ193" s="34"/>
      <c r="CR193" s="34"/>
      <c r="CS193" s="34"/>
      <c r="CT193" s="34"/>
      <c r="CU193" s="34"/>
      <c r="CV193" s="34"/>
      <c r="CW193" s="34"/>
    </row>
    <row r="194" spans="1:101" ht="25.5">
      <c r="A194" s="255" t="str">
        <f>INDEX(WeightedSavings!$E$10:$E$81,FLOOR((ROW(A189))/3,1))</f>
        <v>Ground Source Heat Pump Upgrade from Air Source Heat Pump - With Desuperheater - Existing House less than 4000 square feet - Heating Zone 3 - Cooling Zone 3</v>
      </c>
      <c r="B194" s="255" t="str">
        <f t="shared" si="9"/>
        <v>heat</v>
      </c>
      <c r="C194" s="39">
        <f>IF(B194="heat",VLOOKUP($A194,WeightedSavings!$E$10:$K$81,2,FALSE),IF(B194="cool",VLOOKUP($A194,WeightedSavings!$E$10:$K$81,3,FALSE),IF(B194="DHW",VLOOKUP($A194,WeightedSavings!$E$10:$K$81,4,FALSE),0)))</f>
        <v>2024.043988154627</v>
      </c>
      <c r="D194" s="39">
        <f t="shared" si="10"/>
        <v>20</v>
      </c>
      <c r="E194" s="256">
        <f>IF(B194="heat",VLOOKUP(A194,WeightedSavings!$E$10:$K$81,5,FALSE), IF(B194="cool",0, IF(B194="DHW",VLOOKUP(A194,WeightedSavings!$E$10:K267,6,FALSE))))</f>
        <v>54.876734813348762</v>
      </c>
      <c r="F194" s="39"/>
      <c r="G194" s="257" t="str">
        <f t="shared" si="8"/>
        <v>ResSpHtHPZ3</v>
      </c>
      <c r="H194" s="39">
        <f>IF(B194="heat",VLOOKUP($A194,WeightedSavings!$E$10:$K$81,5,FALSE),0)</f>
        <v>54.876734813348762</v>
      </c>
      <c r="I194" s="34"/>
      <c r="J194" s="34"/>
      <c r="K194" s="34"/>
      <c r="L194" s="34"/>
      <c r="M194" s="34"/>
      <c r="N194" s="34"/>
      <c r="O194" s="34"/>
      <c r="P194" s="34"/>
      <c r="Q194" s="34"/>
      <c r="R194" s="34"/>
      <c r="S194" s="34"/>
      <c r="T194" s="34"/>
      <c r="U194" s="34"/>
      <c r="V194" s="34"/>
      <c r="W194" s="34"/>
      <c r="X194" s="34"/>
      <c r="Y194" s="34"/>
      <c r="Z194" s="34"/>
      <c r="AA194" s="34"/>
      <c r="AB194" s="34"/>
      <c r="AC194" s="34"/>
      <c r="AD194" s="34"/>
      <c r="AE194" s="34"/>
      <c r="AF194" s="34"/>
      <c r="AG194" s="34"/>
      <c r="AH194" s="34"/>
      <c r="AI194" s="34"/>
      <c r="AJ194" s="34"/>
      <c r="AK194" s="34"/>
      <c r="AL194" s="34"/>
      <c r="AM194" s="34"/>
      <c r="AN194" s="34"/>
      <c r="AO194" s="34"/>
      <c r="AP194" s="34"/>
      <c r="AQ194" s="34"/>
      <c r="AR194" s="34"/>
      <c r="AS194" s="34"/>
      <c r="AT194" s="34"/>
      <c r="AU194" s="34"/>
      <c r="AV194" s="34"/>
      <c r="AW194" s="34"/>
      <c r="AX194" s="34"/>
      <c r="AY194" s="34"/>
      <c r="AZ194" s="34"/>
      <c r="BA194" s="34"/>
      <c r="BB194" s="34"/>
      <c r="BC194" s="34"/>
      <c r="BD194" s="34"/>
      <c r="BE194" s="34"/>
      <c r="BF194" s="34"/>
      <c r="BG194" s="34"/>
      <c r="BH194" s="34"/>
      <c r="BI194" s="34"/>
      <c r="BJ194" s="34"/>
      <c r="BK194" s="34"/>
      <c r="BL194" s="34"/>
      <c r="BM194" s="34"/>
      <c r="BN194" s="34"/>
      <c r="BO194" s="34"/>
      <c r="BP194" s="34"/>
      <c r="BQ194" s="34"/>
      <c r="BR194" s="34"/>
      <c r="BS194" s="34"/>
      <c r="BT194" s="34"/>
      <c r="BU194" s="34"/>
      <c r="BV194" s="34"/>
      <c r="BW194" s="34"/>
      <c r="BX194" s="34"/>
      <c r="BY194" s="34"/>
      <c r="BZ194" s="34"/>
      <c r="CA194" s="34"/>
      <c r="CB194" s="34"/>
      <c r="CC194" s="34"/>
      <c r="CD194" s="34"/>
      <c r="CE194" s="34"/>
      <c r="CF194" s="34"/>
      <c r="CG194" s="34"/>
      <c r="CH194" s="34"/>
      <c r="CI194" s="34"/>
      <c r="CJ194" s="34"/>
      <c r="CK194" s="34"/>
      <c r="CL194" s="34"/>
      <c r="CM194" s="34"/>
      <c r="CN194" s="34"/>
      <c r="CO194" s="34"/>
      <c r="CP194" s="34"/>
      <c r="CQ194" s="34"/>
      <c r="CR194" s="34"/>
      <c r="CS194" s="34"/>
      <c r="CT194" s="34"/>
      <c r="CU194" s="34"/>
      <c r="CV194" s="34"/>
      <c r="CW194" s="34"/>
    </row>
    <row r="195" spans="1:101" ht="25.5">
      <c r="A195" s="255" t="str">
        <f>INDEX(WeightedSavings!$E$10:$E$81,FLOOR((ROW(A190))/3,1))</f>
        <v>Ground Source Heat Pump Upgrade from Air Source Heat Pump - With Desuperheater - Existing House less than 4000 square feet - Heating Zone 3 - Cooling Zone 3</v>
      </c>
      <c r="B195" s="255" t="str">
        <f t="shared" si="9"/>
        <v>cool</v>
      </c>
      <c r="C195" s="39">
        <f>IF(B195="heat",VLOOKUP($A195,WeightedSavings!$E$10:$K$81,2,FALSE),IF(B195="cool",VLOOKUP($A195,WeightedSavings!$E$10:$K$81,3,FALSE),IF(B195="DHW",VLOOKUP($A195,WeightedSavings!$E$10:$K$81,4,FALSE),0)))</f>
        <v>247.75304203749999</v>
      </c>
      <c r="D195" s="39">
        <f t="shared" si="10"/>
        <v>20</v>
      </c>
      <c r="E195" s="256">
        <f>IF(B195="heat",VLOOKUP(A195,WeightedSavings!$E$10:$K$81,5,FALSE), IF(B195="cool",0, IF(B195="DHW",VLOOKUP(A195,WeightedSavings!$E$10:K268,6,FALSE))))</f>
        <v>0</v>
      </c>
      <c r="F195" s="39"/>
      <c r="G195" s="257" t="str">
        <f t="shared" si="8"/>
        <v>ResCACPNW</v>
      </c>
      <c r="H195" s="39">
        <f>IF(B195="heat",VLOOKUP($A195,WeightedSavings!$E$10:$K$81,5,FALSE),0)</f>
        <v>0</v>
      </c>
      <c r="I195" s="34"/>
      <c r="J195" s="34"/>
      <c r="K195" s="34"/>
      <c r="L195" s="34"/>
      <c r="M195" s="34"/>
      <c r="N195" s="34"/>
      <c r="O195" s="34"/>
      <c r="P195" s="34"/>
      <c r="Q195" s="34"/>
      <c r="R195" s="34"/>
      <c r="S195" s="34"/>
      <c r="T195" s="34"/>
      <c r="U195" s="34"/>
      <c r="V195" s="34"/>
      <c r="W195" s="34"/>
      <c r="X195" s="34"/>
      <c r="Y195" s="34"/>
      <c r="Z195" s="34"/>
      <c r="AA195" s="34"/>
      <c r="AB195" s="34"/>
      <c r="AC195" s="34"/>
      <c r="AD195" s="34"/>
      <c r="AE195" s="34"/>
      <c r="AF195" s="34"/>
      <c r="AG195" s="34"/>
      <c r="AH195" s="34"/>
      <c r="AI195" s="34"/>
      <c r="AJ195" s="34"/>
      <c r="AK195" s="34"/>
      <c r="AL195" s="34"/>
      <c r="AM195" s="34"/>
      <c r="AN195" s="34"/>
      <c r="AO195" s="34"/>
      <c r="AP195" s="34"/>
      <c r="AQ195" s="34"/>
      <c r="AR195" s="34"/>
      <c r="AS195" s="34"/>
      <c r="AT195" s="34"/>
      <c r="AU195" s="34"/>
      <c r="AV195" s="34"/>
      <c r="AW195" s="34"/>
      <c r="AX195" s="34"/>
      <c r="AY195" s="34"/>
      <c r="AZ195" s="34"/>
      <c r="BA195" s="34"/>
      <c r="BB195" s="34"/>
      <c r="BC195" s="34"/>
      <c r="BD195" s="34"/>
      <c r="BE195" s="34"/>
      <c r="BF195" s="34"/>
      <c r="BG195" s="34"/>
      <c r="BH195" s="34"/>
      <c r="BI195" s="34"/>
      <c r="BJ195" s="34"/>
      <c r="BK195" s="34"/>
      <c r="BL195" s="34"/>
      <c r="BM195" s="34"/>
      <c r="BN195" s="34"/>
      <c r="BO195" s="34"/>
      <c r="BP195" s="34"/>
      <c r="BQ195" s="34"/>
      <c r="BR195" s="34"/>
      <c r="BS195" s="34"/>
      <c r="BT195" s="34"/>
      <c r="BU195" s="34"/>
      <c r="BV195" s="34"/>
      <c r="BW195" s="34"/>
      <c r="BX195" s="34"/>
      <c r="BY195" s="34"/>
      <c r="BZ195" s="34"/>
      <c r="CA195" s="34"/>
      <c r="CB195" s="34"/>
      <c r="CC195" s="34"/>
      <c r="CD195" s="34"/>
      <c r="CE195" s="34"/>
      <c r="CF195" s="34"/>
      <c r="CG195" s="34"/>
      <c r="CH195" s="34"/>
      <c r="CI195" s="34"/>
      <c r="CJ195" s="34"/>
      <c r="CK195" s="34"/>
      <c r="CL195" s="34"/>
      <c r="CM195" s="34"/>
      <c r="CN195" s="34"/>
      <c r="CO195" s="34"/>
      <c r="CP195" s="34"/>
      <c r="CQ195" s="34"/>
      <c r="CR195" s="34"/>
      <c r="CS195" s="34"/>
      <c r="CT195" s="34"/>
      <c r="CU195" s="34"/>
      <c r="CV195" s="34"/>
      <c r="CW195" s="34"/>
    </row>
    <row r="196" spans="1:101" ht="25.5">
      <c r="A196" s="255" t="str">
        <f>INDEX(WeightedSavings!$E$10:$E$81,FLOOR((ROW(A191))/3,1))</f>
        <v>Ground Source Heat Pump Upgrade from Air Source Heat Pump - With Desuperheater - Existing House less than 4000 square feet - Heating Zone 3 - Cooling Zone 3</v>
      </c>
      <c r="B196" s="255" t="str">
        <f t="shared" si="9"/>
        <v>dhw</v>
      </c>
      <c r="C196" s="39">
        <f>IF(B196="heat",VLOOKUP($A196,WeightedSavings!$E$10:$K$81,2,FALSE),IF(B196="cool",VLOOKUP($A196,WeightedSavings!$E$10:$K$81,3,FALSE),IF(B196="DHW",VLOOKUP($A196,WeightedSavings!$E$10:$K$81,4,FALSE),0)))</f>
        <v>2318.4327623624999</v>
      </c>
      <c r="D196" s="39">
        <f t="shared" si="10"/>
        <v>20</v>
      </c>
      <c r="E196" s="256">
        <f>IF(B196="heat",VLOOKUP(A196,WeightedSavings!$E$10:$K$81,5,FALSE), IF(B196="cool",0, IF(B196="DHW",VLOOKUP(A196,WeightedSavings!$E$10:K269,6,FALSE))))</f>
        <v>14478.166725000003</v>
      </c>
      <c r="F196" s="39"/>
      <c r="G196" s="257" t="str">
        <f t="shared" si="8"/>
        <v>ResDHW</v>
      </c>
      <c r="H196" s="39">
        <f>IF(B196="heat",VLOOKUP($A196,WeightedSavings!$E$10:$K$81,5,FALSE),0)</f>
        <v>0</v>
      </c>
      <c r="I196" s="34"/>
      <c r="J196" s="34"/>
      <c r="K196" s="34"/>
      <c r="L196" s="34"/>
      <c r="M196" s="34"/>
      <c r="N196" s="34"/>
      <c r="O196" s="34"/>
      <c r="P196" s="34"/>
      <c r="Q196" s="34"/>
      <c r="R196" s="34"/>
      <c r="S196" s="34"/>
      <c r="T196" s="34"/>
      <c r="U196" s="34"/>
      <c r="V196" s="34"/>
      <c r="W196" s="34"/>
      <c r="X196" s="34"/>
      <c r="Y196" s="34"/>
      <c r="Z196" s="34"/>
      <c r="AA196" s="34"/>
      <c r="AB196" s="34"/>
      <c r="AC196" s="34"/>
      <c r="AD196" s="34"/>
      <c r="AE196" s="34"/>
      <c r="AF196" s="34"/>
      <c r="AG196" s="34"/>
      <c r="AH196" s="34"/>
      <c r="AI196" s="34"/>
      <c r="AJ196" s="34"/>
      <c r="AK196" s="34"/>
      <c r="AL196" s="34"/>
      <c r="AM196" s="34"/>
      <c r="AN196" s="34"/>
      <c r="AO196" s="34"/>
      <c r="AP196" s="34"/>
      <c r="AQ196" s="34"/>
      <c r="AR196" s="34"/>
      <c r="AS196" s="34"/>
      <c r="AT196" s="34"/>
      <c r="AU196" s="34"/>
      <c r="AV196" s="34"/>
      <c r="AW196" s="34"/>
      <c r="AX196" s="34"/>
      <c r="AY196" s="34"/>
      <c r="AZ196" s="34"/>
      <c r="BA196" s="34"/>
      <c r="BB196" s="34"/>
      <c r="BC196" s="34"/>
      <c r="BD196" s="34"/>
      <c r="BE196" s="34"/>
      <c r="BF196" s="34"/>
      <c r="BG196" s="34"/>
      <c r="BH196" s="34"/>
      <c r="BI196" s="34"/>
      <c r="BJ196" s="34"/>
      <c r="BK196" s="34"/>
      <c r="BL196" s="34"/>
      <c r="BM196" s="34"/>
      <c r="BN196" s="34"/>
      <c r="BO196" s="34"/>
      <c r="BP196" s="34"/>
      <c r="BQ196" s="34"/>
      <c r="BR196" s="34"/>
      <c r="BS196" s="34"/>
      <c r="BT196" s="34"/>
      <c r="BU196" s="34"/>
      <c r="BV196" s="34"/>
      <c r="BW196" s="34"/>
      <c r="BX196" s="34"/>
      <c r="BY196" s="34"/>
      <c r="BZ196" s="34"/>
      <c r="CA196" s="34"/>
      <c r="CB196" s="34"/>
      <c r="CC196" s="34"/>
      <c r="CD196" s="34"/>
      <c r="CE196" s="34"/>
      <c r="CF196" s="34"/>
      <c r="CG196" s="34"/>
      <c r="CH196" s="34"/>
      <c r="CI196" s="34"/>
      <c r="CJ196" s="34"/>
      <c r="CK196" s="34"/>
      <c r="CL196" s="34"/>
      <c r="CM196" s="34"/>
      <c r="CN196" s="34"/>
      <c r="CO196" s="34"/>
      <c r="CP196" s="34"/>
      <c r="CQ196" s="34"/>
      <c r="CR196" s="34"/>
      <c r="CS196" s="34"/>
      <c r="CT196" s="34"/>
      <c r="CU196" s="34"/>
      <c r="CV196" s="34"/>
      <c r="CW196" s="34"/>
    </row>
    <row r="197" spans="1:101" ht="25.5">
      <c r="A197" s="255" t="str">
        <f>INDEX(WeightedSavings!$E$10:$E$81,FLOOR((ROW(A192))/3,1))</f>
        <v>Ground Source Heat Pump Upgrade from Air Source Heat Pump - With Desuperheater - Existing House 4000 square feet or greater - Heating Zone 1 - Cooling Zone 1</v>
      </c>
      <c r="B197" s="255" t="str">
        <f t="shared" si="9"/>
        <v>heat</v>
      </c>
      <c r="C197" s="39">
        <f>IF(B197="heat",VLOOKUP($A197,WeightedSavings!$E$10:$K$81,2,FALSE),IF(B197="cool",VLOOKUP($A197,WeightedSavings!$E$10:$K$81,3,FALSE),IF(B197="DHW",VLOOKUP($A197,WeightedSavings!$E$10:$K$81,4,FALSE),0)))</f>
        <v>1132.4234015861102</v>
      </c>
      <c r="D197" s="39">
        <f t="shared" si="10"/>
        <v>20</v>
      </c>
      <c r="E197" s="256">
        <f>IF(B197="heat",VLOOKUP(A197,WeightedSavings!$E$10:$K$81,5,FALSE), IF(B197="cool",0, IF(B197="DHW",VLOOKUP(A197,WeightedSavings!$E$10:K270,6,FALSE))))</f>
        <v>92.390941923862698</v>
      </c>
      <c r="F197" s="39"/>
      <c r="G197" s="257" t="str">
        <f t="shared" si="8"/>
        <v>ResSpHtHPZ1</v>
      </c>
      <c r="H197" s="39">
        <f>IF(B197="heat",VLOOKUP($A197,WeightedSavings!$E$10:$K$81,5,FALSE),0)</f>
        <v>92.390941923862698</v>
      </c>
      <c r="I197" s="34"/>
      <c r="J197" s="34"/>
      <c r="K197" s="34"/>
      <c r="L197" s="34"/>
      <c r="M197" s="34"/>
      <c r="N197" s="34"/>
      <c r="O197" s="34"/>
      <c r="P197" s="34"/>
      <c r="Q197" s="34"/>
      <c r="R197" s="34"/>
      <c r="S197" s="34"/>
      <c r="T197" s="34"/>
      <c r="U197" s="34"/>
      <c r="V197" s="34"/>
      <c r="W197" s="34"/>
      <c r="X197" s="34"/>
      <c r="Y197" s="34"/>
      <c r="Z197" s="34"/>
      <c r="AA197" s="34"/>
      <c r="AB197" s="34"/>
      <c r="AC197" s="34"/>
      <c r="AD197" s="34"/>
      <c r="AE197" s="34"/>
      <c r="AF197" s="34"/>
      <c r="AG197" s="34"/>
      <c r="AH197" s="34"/>
      <c r="AI197" s="34"/>
      <c r="AJ197" s="34"/>
      <c r="AK197" s="34"/>
      <c r="AL197" s="34"/>
      <c r="AM197" s="34"/>
      <c r="AN197" s="34"/>
      <c r="AO197" s="34"/>
      <c r="AP197" s="34"/>
      <c r="AQ197" s="34"/>
      <c r="AR197" s="34"/>
      <c r="AS197" s="34"/>
      <c r="AT197" s="34"/>
      <c r="AU197" s="34"/>
      <c r="AV197" s="34"/>
      <c r="AW197" s="34"/>
      <c r="AX197" s="34"/>
      <c r="AY197" s="34"/>
      <c r="AZ197" s="34"/>
      <c r="BA197" s="34"/>
      <c r="BB197" s="34"/>
      <c r="BC197" s="34"/>
      <c r="BD197" s="34"/>
      <c r="BE197" s="34"/>
      <c r="BF197" s="34"/>
      <c r="BG197" s="34"/>
      <c r="BH197" s="34"/>
      <c r="BI197" s="34"/>
      <c r="BJ197" s="34"/>
      <c r="BK197" s="34"/>
      <c r="BL197" s="34"/>
      <c r="BM197" s="34"/>
      <c r="BN197" s="34"/>
      <c r="BO197" s="34"/>
      <c r="BP197" s="34"/>
      <c r="BQ197" s="34"/>
      <c r="BR197" s="34"/>
      <c r="BS197" s="34"/>
      <c r="BT197" s="34"/>
      <c r="BU197" s="34"/>
      <c r="BV197" s="34"/>
      <c r="BW197" s="34"/>
      <c r="BX197" s="34"/>
      <c r="BY197" s="34"/>
      <c r="BZ197" s="34"/>
      <c r="CA197" s="34"/>
      <c r="CB197" s="34"/>
      <c r="CC197" s="34"/>
      <c r="CD197" s="34"/>
      <c r="CE197" s="34"/>
      <c r="CF197" s="34"/>
      <c r="CG197" s="34"/>
      <c r="CH197" s="34"/>
      <c r="CI197" s="34"/>
      <c r="CJ197" s="34"/>
      <c r="CK197" s="34"/>
      <c r="CL197" s="34"/>
      <c r="CM197" s="34"/>
      <c r="CN197" s="34"/>
      <c r="CO197" s="34"/>
      <c r="CP197" s="34"/>
      <c r="CQ197" s="34"/>
      <c r="CR197" s="34"/>
      <c r="CS197" s="34"/>
      <c r="CT197" s="34"/>
      <c r="CU197" s="34"/>
      <c r="CV197" s="34"/>
      <c r="CW197" s="34"/>
    </row>
    <row r="198" spans="1:101" ht="25.5">
      <c r="A198" s="255" t="str">
        <f>INDEX(WeightedSavings!$E$10:$E$81,FLOOR((ROW(A193))/3,1))</f>
        <v>Ground Source Heat Pump Upgrade from Air Source Heat Pump - With Desuperheater - Existing House 4000 square feet or greater - Heating Zone 1 - Cooling Zone 1</v>
      </c>
      <c r="B198" s="255" t="str">
        <f t="shared" si="9"/>
        <v>cool</v>
      </c>
      <c r="C198" s="39">
        <f>IF(B198="heat",VLOOKUP($A198,WeightedSavings!$E$10:$K$81,2,FALSE),IF(B198="cool",VLOOKUP($A198,WeightedSavings!$E$10:$K$81,3,FALSE),IF(B198="DHW",VLOOKUP($A198,WeightedSavings!$E$10:$K$81,4,FALSE),0)))</f>
        <v>61.380484749999994</v>
      </c>
      <c r="D198" s="39">
        <f t="shared" si="10"/>
        <v>20</v>
      </c>
      <c r="E198" s="256">
        <f>IF(B198="heat",VLOOKUP(A198,WeightedSavings!$E$10:$K$81,5,FALSE), IF(B198="cool",0, IF(B198="DHW",VLOOKUP(A198,WeightedSavings!$E$10:K271,6,FALSE))))</f>
        <v>0</v>
      </c>
      <c r="F198" s="39"/>
      <c r="G198" s="257" t="str">
        <f t="shared" si="8"/>
        <v>ResCACPNW</v>
      </c>
      <c r="H198" s="39">
        <f>IF(B198="heat",VLOOKUP($A198,WeightedSavings!$E$10:$K$81,5,FALSE),0)</f>
        <v>0</v>
      </c>
      <c r="I198" s="34"/>
      <c r="J198" s="34"/>
      <c r="K198" s="34"/>
      <c r="L198" s="34"/>
      <c r="M198" s="34"/>
      <c r="N198" s="34"/>
      <c r="O198" s="34"/>
      <c r="P198" s="34"/>
      <c r="Q198" s="34"/>
      <c r="R198" s="34"/>
      <c r="S198" s="34"/>
      <c r="T198" s="34"/>
      <c r="U198" s="34"/>
      <c r="V198" s="34"/>
      <c r="W198" s="34"/>
      <c r="X198" s="34"/>
      <c r="Y198" s="34"/>
      <c r="Z198" s="34"/>
      <c r="AA198" s="34"/>
      <c r="AB198" s="34"/>
      <c r="AC198" s="34"/>
      <c r="AD198" s="34"/>
      <c r="AE198" s="34"/>
      <c r="AF198" s="34"/>
      <c r="AG198" s="34"/>
      <c r="AH198" s="34"/>
      <c r="AI198" s="34"/>
      <c r="AJ198" s="34"/>
      <c r="AK198" s="34"/>
      <c r="AL198" s="34"/>
      <c r="AM198" s="34"/>
      <c r="AN198" s="34"/>
      <c r="AO198" s="34"/>
      <c r="AP198" s="34"/>
      <c r="AQ198" s="34"/>
      <c r="AR198" s="34"/>
      <c r="AS198" s="34"/>
      <c r="AT198" s="34"/>
      <c r="AU198" s="34"/>
      <c r="AV198" s="34"/>
      <c r="AW198" s="34"/>
      <c r="AX198" s="34"/>
      <c r="AY198" s="34"/>
      <c r="AZ198" s="34"/>
      <c r="BA198" s="34"/>
      <c r="BB198" s="34"/>
      <c r="BC198" s="34"/>
      <c r="BD198" s="34"/>
      <c r="BE198" s="34"/>
      <c r="BF198" s="34"/>
      <c r="BG198" s="34"/>
      <c r="BH198" s="34"/>
      <c r="BI198" s="34"/>
      <c r="BJ198" s="34"/>
      <c r="BK198" s="34"/>
      <c r="BL198" s="34"/>
      <c r="BM198" s="34"/>
      <c r="BN198" s="34"/>
      <c r="BO198" s="34"/>
      <c r="BP198" s="34"/>
      <c r="BQ198" s="34"/>
      <c r="BR198" s="34"/>
      <c r="BS198" s="34"/>
      <c r="BT198" s="34"/>
      <c r="BU198" s="34"/>
      <c r="BV198" s="34"/>
      <c r="BW198" s="34"/>
      <c r="BX198" s="34"/>
      <c r="BY198" s="34"/>
      <c r="BZ198" s="34"/>
      <c r="CA198" s="34"/>
      <c r="CB198" s="34"/>
      <c r="CC198" s="34"/>
      <c r="CD198" s="34"/>
      <c r="CE198" s="34"/>
      <c r="CF198" s="34"/>
      <c r="CG198" s="34"/>
      <c r="CH198" s="34"/>
      <c r="CI198" s="34"/>
      <c r="CJ198" s="34"/>
      <c r="CK198" s="34"/>
      <c r="CL198" s="34"/>
      <c r="CM198" s="34"/>
      <c r="CN198" s="34"/>
      <c r="CO198" s="34"/>
      <c r="CP198" s="34"/>
      <c r="CQ198" s="34"/>
      <c r="CR198" s="34"/>
      <c r="CS198" s="34"/>
      <c r="CT198" s="34"/>
      <c r="CU198" s="34"/>
      <c r="CV198" s="34"/>
      <c r="CW198" s="34"/>
    </row>
    <row r="199" spans="1:101" ht="25.5">
      <c r="A199" s="255" t="str">
        <f>INDEX(WeightedSavings!$E$10:$E$81,FLOOR((ROW(A194))/3,1))</f>
        <v>Ground Source Heat Pump Upgrade from Air Source Heat Pump - With Desuperheater - Existing House 4000 square feet or greater - Heating Zone 1 - Cooling Zone 1</v>
      </c>
      <c r="B199" s="255" t="str">
        <f t="shared" si="9"/>
        <v>dhw</v>
      </c>
      <c r="C199" s="39">
        <f>IF(B199="heat",VLOOKUP($A199,WeightedSavings!$E$10:$K$81,2,FALSE),IF(B199="cool",VLOOKUP($A199,WeightedSavings!$E$10:$K$81,3,FALSE),IF(B199="DHW",VLOOKUP($A199,WeightedSavings!$E$10:$K$81,4,FALSE),0)))</f>
        <v>1616.9923642499998</v>
      </c>
      <c r="D199" s="39">
        <f t="shared" si="10"/>
        <v>20</v>
      </c>
      <c r="E199" s="256">
        <f>IF(B199="heat",VLOOKUP(A199,WeightedSavings!$E$10:$K$81,5,FALSE), IF(B199="cool",0, IF(B199="DHW",VLOOKUP(A199,WeightedSavings!$E$10:K272,6,FALSE))))</f>
        <v>6948.3720000000003</v>
      </c>
      <c r="F199" s="39"/>
      <c r="G199" s="257" t="str">
        <f t="shared" si="8"/>
        <v>ResDHW</v>
      </c>
      <c r="H199" s="39">
        <f>IF(B199="heat",VLOOKUP($A199,WeightedSavings!$E$10:$K$81,5,FALSE),0)</f>
        <v>0</v>
      </c>
      <c r="I199" s="34"/>
      <c r="J199" s="34"/>
      <c r="K199" s="34"/>
      <c r="L199" s="34"/>
      <c r="M199" s="34"/>
      <c r="N199" s="34"/>
      <c r="O199" s="34"/>
      <c r="P199" s="34"/>
      <c r="Q199" s="34"/>
      <c r="R199" s="34"/>
      <c r="S199" s="34"/>
      <c r="T199" s="34"/>
      <c r="U199" s="34"/>
      <c r="V199" s="34"/>
      <c r="W199" s="34"/>
      <c r="X199" s="34"/>
      <c r="Y199" s="34"/>
      <c r="Z199" s="34"/>
      <c r="AA199" s="34"/>
      <c r="AB199" s="34"/>
      <c r="AC199" s="34"/>
      <c r="AD199" s="34"/>
      <c r="AE199" s="34"/>
      <c r="AF199" s="34"/>
      <c r="AG199" s="34"/>
      <c r="AH199" s="34"/>
      <c r="AI199" s="34"/>
      <c r="AJ199" s="34"/>
      <c r="AK199" s="34"/>
      <c r="AL199" s="34"/>
      <c r="AM199" s="34"/>
      <c r="AN199" s="34"/>
      <c r="AO199" s="34"/>
      <c r="AP199" s="34"/>
      <c r="AQ199" s="34"/>
      <c r="AR199" s="34"/>
      <c r="AS199" s="34"/>
      <c r="AT199" s="34"/>
      <c r="AU199" s="34"/>
      <c r="AV199" s="34"/>
      <c r="AW199" s="34"/>
      <c r="AX199" s="34"/>
      <c r="AY199" s="34"/>
      <c r="AZ199" s="34"/>
      <c r="BA199" s="34"/>
      <c r="BB199" s="34"/>
      <c r="BC199" s="34"/>
      <c r="BD199" s="34"/>
      <c r="BE199" s="34"/>
      <c r="BF199" s="34"/>
      <c r="BG199" s="34"/>
      <c r="BH199" s="34"/>
      <c r="BI199" s="34"/>
      <c r="BJ199" s="34"/>
      <c r="BK199" s="34"/>
      <c r="BL199" s="34"/>
      <c r="BM199" s="34"/>
      <c r="BN199" s="34"/>
      <c r="BO199" s="34"/>
      <c r="BP199" s="34"/>
      <c r="BQ199" s="34"/>
      <c r="BR199" s="34"/>
      <c r="BS199" s="34"/>
      <c r="BT199" s="34"/>
      <c r="BU199" s="34"/>
      <c r="BV199" s="34"/>
      <c r="BW199" s="34"/>
      <c r="BX199" s="34"/>
      <c r="BY199" s="34"/>
      <c r="BZ199" s="34"/>
      <c r="CA199" s="34"/>
      <c r="CB199" s="34"/>
      <c r="CC199" s="34"/>
      <c r="CD199" s="34"/>
      <c r="CE199" s="34"/>
      <c r="CF199" s="34"/>
      <c r="CG199" s="34"/>
      <c r="CH199" s="34"/>
      <c r="CI199" s="34"/>
      <c r="CJ199" s="34"/>
      <c r="CK199" s="34"/>
      <c r="CL199" s="34"/>
      <c r="CM199" s="34"/>
      <c r="CN199" s="34"/>
      <c r="CO199" s="34"/>
      <c r="CP199" s="34"/>
      <c r="CQ199" s="34"/>
      <c r="CR199" s="34"/>
      <c r="CS199" s="34"/>
      <c r="CT199" s="34"/>
      <c r="CU199" s="34"/>
      <c r="CV199" s="34"/>
      <c r="CW199" s="34"/>
    </row>
    <row r="200" spans="1:101" ht="25.5">
      <c r="A200" s="255" t="str">
        <f>INDEX(WeightedSavings!$E$10:$E$81,FLOOR((ROW(A195))/3,1))</f>
        <v>Ground Source Heat Pump Upgrade from Air Source Heat Pump - With Desuperheater - Existing House 4000 square feet or greater - Heating Zone 1 - Cooling Zone 2</v>
      </c>
      <c r="B200" s="255" t="str">
        <f t="shared" si="9"/>
        <v>heat</v>
      </c>
      <c r="C200" s="39">
        <f>IF(B200="heat",VLOOKUP($A200,WeightedSavings!$E$10:$K$81,2,FALSE),IF(B200="cool",VLOOKUP($A200,WeightedSavings!$E$10:$K$81,3,FALSE),IF(B200="DHW",VLOOKUP($A200,WeightedSavings!$E$10:$K$81,4,FALSE),0)))</f>
        <v>1132.4234015861102</v>
      </c>
      <c r="D200" s="39">
        <f t="shared" si="10"/>
        <v>20</v>
      </c>
      <c r="E200" s="256">
        <f>IF(B200="heat",VLOOKUP(A200,WeightedSavings!$E$10:$K$81,5,FALSE), IF(B200="cool",0, IF(B200="DHW",VLOOKUP(A200,WeightedSavings!$E$10:K273,6,FALSE))))</f>
        <v>92.390941923862698</v>
      </c>
      <c r="F200" s="39"/>
      <c r="G200" s="257" t="str">
        <f t="shared" si="8"/>
        <v>ResSpHtHPZ1</v>
      </c>
      <c r="H200" s="39">
        <f>IF(B200="heat",VLOOKUP($A200,WeightedSavings!$E$10:$K$81,5,FALSE),0)</f>
        <v>92.390941923862698</v>
      </c>
      <c r="I200" s="34"/>
      <c r="J200" s="34"/>
      <c r="K200" s="34"/>
      <c r="L200" s="34"/>
      <c r="M200" s="34"/>
      <c r="N200" s="34"/>
      <c r="O200" s="34"/>
      <c r="P200" s="34"/>
      <c r="Q200" s="34"/>
      <c r="R200" s="34"/>
      <c r="S200" s="34"/>
      <c r="T200" s="34"/>
      <c r="U200" s="34"/>
      <c r="V200" s="34"/>
      <c r="W200" s="34"/>
      <c r="X200" s="34"/>
      <c r="Y200" s="34"/>
      <c r="Z200" s="34"/>
      <c r="AA200" s="34"/>
      <c r="AB200" s="34"/>
      <c r="AC200" s="34"/>
      <c r="AD200" s="34"/>
      <c r="AE200" s="34"/>
      <c r="AF200" s="34"/>
      <c r="AG200" s="34"/>
      <c r="AH200" s="34"/>
      <c r="AI200" s="34"/>
      <c r="AJ200" s="34"/>
      <c r="AK200" s="34"/>
      <c r="AL200" s="34"/>
      <c r="AM200" s="34"/>
      <c r="AN200" s="34"/>
      <c r="AO200" s="34"/>
      <c r="AP200" s="34"/>
      <c r="AQ200" s="34"/>
      <c r="AR200" s="34"/>
      <c r="AS200" s="34"/>
      <c r="AT200" s="34"/>
      <c r="AU200" s="34"/>
      <c r="AV200" s="34"/>
      <c r="AW200" s="34"/>
      <c r="AX200" s="34"/>
      <c r="AY200" s="34"/>
      <c r="AZ200" s="34"/>
      <c r="BA200" s="34"/>
      <c r="BB200" s="34"/>
      <c r="BC200" s="34"/>
      <c r="BD200" s="34"/>
      <c r="BE200" s="34"/>
      <c r="BF200" s="34"/>
      <c r="BG200" s="34"/>
      <c r="BH200" s="34"/>
      <c r="BI200" s="34"/>
      <c r="BJ200" s="34"/>
      <c r="BK200" s="34"/>
      <c r="BL200" s="34"/>
      <c r="BM200" s="34"/>
      <c r="BN200" s="34"/>
      <c r="BO200" s="34"/>
      <c r="BP200" s="34"/>
      <c r="BQ200" s="34"/>
      <c r="BR200" s="34"/>
      <c r="BS200" s="34"/>
      <c r="BT200" s="34"/>
      <c r="BU200" s="34"/>
      <c r="BV200" s="34"/>
      <c r="BW200" s="34"/>
      <c r="BX200" s="34"/>
      <c r="BY200" s="34"/>
      <c r="BZ200" s="34"/>
      <c r="CA200" s="34"/>
      <c r="CB200" s="34"/>
      <c r="CC200" s="34"/>
      <c r="CD200" s="34"/>
      <c r="CE200" s="34"/>
      <c r="CF200" s="34"/>
      <c r="CG200" s="34"/>
      <c r="CH200" s="34"/>
      <c r="CI200" s="34"/>
      <c r="CJ200" s="34"/>
      <c r="CK200" s="34"/>
      <c r="CL200" s="34"/>
      <c r="CM200" s="34"/>
      <c r="CN200" s="34"/>
      <c r="CO200" s="34"/>
      <c r="CP200" s="34"/>
      <c r="CQ200" s="34"/>
      <c r="CR200" s="34"/>
      <c r="CS200" s="34"/>
      <c r="CT200" s="34"/>
      <c r="CU200" s="34"/>
      <c r="CV200" s="34"/>
      <c r="CW200" s="34"/>
    </row>
    <row r="201" spans="1:101" ht="25.5">
      <c r="A201" s="255" t="str">
        <f>INDEX(WeightedSavings!$E$10:$E$81,FLOOR((ROW(A196))/3,1))</f>
        <v>Ground Source Heat Pump Upgrade from Air Source Heat Pump - With Desuperheater - Existing House 4000 square feet or greater - Heating Zone 1 - Cooling Zone 2</v>
      </c>
      <c r="B201" s="255" t="str">
        <f t="shared" si="9"/>
        <v>cool</v>
      </c>
      <c r="C201" s="39">
        <f>IF(B201="heat",VLOOKUP($A201,WeightedSavings!$E$10:$K$81,2,FALSE),IF(B201="cool",VLOOKUP($A201,WeightedSavings!$E$10:$K$81,3,FALSE),IF(B201="DHW",VLOOKUP($A201,WeightedSavings!$E$10:$K$81,4,FALSE),0)))</f>
        <v>181.79869203571423</v>
      </c>
      <c r="D201" s="39">
        <f t="shared" si="10"/>
        <v>20</v>
      </c>
      <c r="E201" s="256">
        <f>IF(B201="heat",VLOOKUP(A201,WeightedSavings!$E$10:$K$81,5,FALSE), IF(B201="cool",0, IF(B201="DHW",VLOOKUP(A201,WeightedSavings!$E$10:K274,6,FALSE))))</f>
        <v>0</v>
      </c>
      <c r="F201" s="39"/>
      <c r="G201" s="257" t="str">
        <f t="shared" ref="G201:G223" si="11">IF(B201="heat",IF(MID(A201,SEARCH("Heating Zone",A201)+13,1)="1","ResSpHtHPZ1",IF(MID(A201,SEARCH("Heating Zone",A201)+13,1)="2","ResSpHtHPZ2","ResSpHtHPZ3")),IF(B201="cool","ResCACPNW",IF(B201="DHW","ResDHW")))</f>
        <v>ResCACPNW</v>
      </c>
      <c r="H201" s="39">
        <f>IF(B201="heat",VLOOKUP($A201,WeightedSavings!$E$10:$K$81,5,FALSE),0)</f>
        <v>0</v>
      </c>
      <c r="I201" s="34"/>
      <c r="J201" s="34"/>
      <c r="K201" s="34"/>
      <c r="L201" s="34"/>
      <c r="M201" s="34"/>
      <c r="N201" s="34"/>
      <c r="O201" s="34"/>
      <c r="P201" s="34"/>
      <c r="Q201" s="34"/>
      <c r="R201" s="34"/>
      <c r="S201" s="34"/>
      <c r="T201" s="34"/>
      <c r="U201" s="34"/>
      <c r="V201" s="34"/>
      <c r="W201" s="34"/>
      <c r="X201" s="34"/>
      <c r="Y201" s="34"/>
      <c r="Z201" s="34"/>
      <c r="AA201" s="34"/>
      <c r="AB201" s="34"/>
      <c r="AC201" s="34"/>
      <c r="AD201" s="34"/>
      <c r="AE201" s="34"/>
      <c r="AF201" s="34"/>
      <c r="AG201" s="34"/>
      <c r="AH201" s="34"/>
      <c r="AI201" s="34"/>
      <c r="AJ201" s="34"/>
      <c r="AK201" s="34"/>
      <c r="AL201" s="34"/>
      <c r="AM201" s="34"/>
      <c r="AN201" s="34"/>
      <c r="AO201" s="34"/>
      <c r="AP201" s="34"/>
      <c r="AQ201" s="34"/>
      <c r="AR201" s="34"/>
      <c r="AS201" s="34"/>
      <c r="AT201" s="34"/>
      <c r="AU201" s="34"/>
      <c r="AV201" s="34"/>
      <c r="AW201" s="34"/>
      <c r="AX201" s="34"/>
      <c r="AY201" s="34"/>
      <c r="AZ201" s="34"/>
      <c r="BA201" s="34"/>
      <c r="BB201" s="34"/>
      <c r="BC201" s="34"/>
      <c r="BD201" s="34"/>
      <c r="BE201" s="34"/>
      <c r="BF201" s="34"/>
      <c r="BG201" s="34"/>
      <c r="BH201" s="34"/>
      <c r="BI201" s="34"/>
      <c r="BJ201" s="34"/>
      <c r="BK201" s="34"/>
      <c r="BL201" s="34"/>
      <c r="BM201" s="34"/>
      <c r="BN201" s="34"/>
      <c r="BO201" s="34"/>
      <c r="BP201" s="34"/>
      <c r="BQ201" s="34"/>
      <c r="BR201" s="34"/>
      <c r="BS201" s="34"/>
      <c r="BT201" s="34"/>
      <c r="BU201" s="34"/>
      <c r="BV201" s="34"/>
      <c r="BW201" s="34"/>
      <c r="BX201" s="34"/>
      <c r="BY201" s="34"/>
      <c r="BZ201" s="34"/>
      <c r="CA201" s="34"/>
      <c r="CB201" s="34"/>
      <c r="CC201" s="34"/>
      <c r="CD201" s="34"/>
      <c r="CE201" s="34"/>
      <c r="CF201" s="34"/>
      <c r="CG201" s="34"/>
      <c r="CH201" s="34"/>
      <c r="CI201" s="34"/>
      <c r="CJ201" s="34"/>
      <c r="CK201" s="34"/>
      <c r="CL201" s="34"/>
      <c r="CM201" s="34"/>
      <c r="CN201" s="34"/>
      <c r="CO201" s="34"/>
      <c r="CP201" s="34"/>
      <c r="CQ201" s="34"/>
      <c r="CR201" s="34"/>
      <c r="CS201" s="34"/>
      <c r="CT201" s="34"/>
      <c r="CU201" s="34"/>
      <c r="CV201" s="34"/>
      <c r="CW201" s="34"/>
    </row>
    <row r="202" spans="1:101" ht="25.5">
      <c r="A202" s="255" t="str">
        <f>INDEX(WeightedSavings!$E$10:$E$81,FLOOR((ROW(A197))/3,1))</f>
        <v>Ground Source Heat Pump Upgrade from Air Source Heat Pump - With Desuperheater - Existing House 4000 square feet or greater - Heating Zone 1 - Cooling Zone 2</v>
      </c>
      <c r="B202" s="255" t="str">
        <f t="shared" si="9"/>
        <v>dhw</v>
      </c>
      <c r="C202" s="39">
        <f>IF(B202="heat",VLOOKUP($A202,WeightedSavings!$E$10:$K$81,2,FALSE),IF(B202="cool",VLOOKUP($A202,WeightedSavings!$E$10:$K$81,3,FALSE),IF(B202="DHW",VLOOKUP($A202,WeightedSavings!$E$10:$K$81,4,FALSE),0)))</f>
        <v>1616.9923642499998</v>
      </c>
      <c r="D202" s="39">
        <f t="shared" si="10"/>
        <v>20</v>
      </c>
      <c r="E202" s="256">
        <f>IF(B202="heat",VLOOKUP(A202,WeightedSavings!$E$10:$K$81,5,FALSE), IF(B202="cool",0, IF(B202="DHW",VLOOKUP(A202,WeightedSavings!$E$10:K275,6,FALSE))))</f>
        <v>6948.3720000000003</v>
      </c>
      <c r="F202" s="39"/>
      <c r="G202" s="257" t="str">
        <f t="shared" si="11"/>
        <v>ResDHW</v>
      </c>
      <c r="H202" s="39">
        <f>IF(B202="heat",VLOOKUP($A202,WeightedSavings!$E$10:$K$81,5,FALSE),0)</f>
        <v>0</v>
      </c>
      <c r="I202" s="34"/>
      <c r="J202" s="34"/>
      <c r="K202" s="34"/>
      <c r="L202" s="34"/>
      <c r="M202" s="34"/>
      <c r="N202" s="34"/>
      <c r="O202" s="34"/>
      <c r="P202" s="34"/>
      <c r="Q202" s="34"/>
      <c r="R202" s="34"/>
      <c r="S202" s="34"/>
      <c r="T202" s="34"/>
      <c r="U202" s="34"/>
      <c r="V202" s="34"/>
      <c r="W202" s="34"/>
      <c r="X202" s="34"/>
      <c r="Y202" s="34"/>
      <c r="Z202" s="34"/>
      <c r="AA202" s="34"/>
      <c r="AB202" s="34"/>
      <c r="AC202" s="34"/>
      <c r="AD202" s="34"/>
      <c r="AE202" s="34"/>
      <c r="AF202" s="34"/>
      <c r="AG202" s="34"/>
      <c r="AH202" s="34"/>
      <c r="AI202" s="34"/>
      <c r="AJ202" s="34"/>
      <c r="AK202" s="34"/>
      <c r="AL202" s="34"/>
      <c r="AM202" s="34"/>
      <c r="AN202" s="34"/>
      <c r="AO202" s="34"/>
      <c r="AP202" s="34"/>
      <c r="AQ202" s="34"/>
      <c r="AR202" s="34"/>
      <c r="AS202" s="34"/>
      <c r="AT202" s="34"/>
      <c r="AU202" s="34"/>
      <c r="AV202" s="34"/>
      <c r="AW202" s="34"/>
      <c r="AX202" s="34"/>
      <c r="AY202" s="34"/>
      <c r="AZ202" s="34"/>
      <c r="BA202" s="34"/>
      <c r="BB202" s="34"/>
      <c r="BC202" s="34"/>
      <c r="BD202" s="34"/>
      <c r="BE202" s="34"/>
      <c r="BF202" s="34"/>
      <c r="BG202" s="34"/>
      <c r="BH202" s="34"/>
      <c r="BI202" s="34"/>
      <c r="BJ202" s="34"/>
      <c r="BK202" s="34"/>
      <c r="BL202" s="34"/>
      <c r="BM202" s="34"/>
      <c r="BN202" s="34"/>
      <c r="BO202" s="34"/>
      <c r="BP202" s="34"/>
      <c r="BQ202" s="34"/>
      <c r="BR202" s="34"/>
      <c r="BS202" s="34"/>
      <c r="BT202" s="34"/>
      <c r="BU202" s="34"/>
      <c r="BV202" s="34"/>
      <c r="BW202" s="34"/>
      <c r="BX202" s="34"/>
      <c r="BY202" s="34"/>
      <c r="BZ202" s="34"/>
      <c r="CA202" s="34"/>
      <c r="CB202" s="34"/>
      <c r="CC202" s="34"/>
      <c r="CD202" s="34"/>
      <c r="CE202" s="34"/>
      <c r="CF202" s="34"/>
      <c r="CG202" s="34"/>
      <c r="CH202" s="34"/>
      <c r="CI202" s="34"/>
      <c r="CJ202" s="34"/>
      <c r="CK202" s="34"/>
      <c r="CL202" s="34"/>
      <c r="CM202" s="34"/>
      <c r="CN202" s="34"/>
      <c r="CO202" s="34"/>
      <c r="CP202" s="34"/>
      <c r="CQ202" s="34"/>
      <c r="CR202" s="34"/>
      <c r="CS202" s="34"/>
      <c r="CT202" s="34"/>
      <c r="CU202" s="34"/>
      <c r="CV202" s="34"/>
      <c r="CW202" s="34"/>
    </row>
    <row r="203" spans="1:101" ht="25.5">
      <c r="A203" s="255" t="str">
        <f>INDEX(WeightedSavings!$E$10:$E$81,FLOOR((ROW(A198))/3,1))</f>
        <v>Ground Source Heat Pump Upgrade from Air Source Heat Pump - With Desuperheater - Existing House 4000 square feet or greater - Heating Zone 1 - Cooling Zone 3</v>
      </c>
      <c r="B203" s="255" t="str">
        <f t="shared" si="9"/>
        <v>heat</v>
      </c>
      <c r="C203" s="39">
        <f>IF(B203="heat",VLOOKUP($A203,WeightedSavings!$E$10:$K$81,2,FALSE),IF(B203="cool",VLOOKUP($A203,WeightedSavings!$E$10:$K$81,3,FALSE),IF(B203="DHW",VLOOKUP($A203,WeightedSavings!$E$10:$K$81,4,FALSE),0)))</f>
        <v>1132.4234015861102</v>
      </c>
      <c r="D203" s="39">
        <f t="shared" si="10"/>
        <v>20</v>
      </c>
      <c r="E203" s="256">
        <f>IF(B203="heat",VLOOKUP(A203,WeightedSavings!$E$10:$K$81,5,FALSE), IF(B203="cool",0, IF(B203="DHW",VLOOKUP(A203,WeightedSavings!$E$10:K276,6,FALSE))))</f>
        <v>92.390941923862698</v>
      </c>
      <c r="F203" s="39"/>
      <c r="G203" s="257" t="str">
        <f t="shared" si="11"/>
        <v>ResSpHtHPZ1</v>
      </c>
      <c r="H203" s="39">
        <f>IF(B203="heat",VLOOKUP($A203,WeightedSavings!$E$10:$K$81,5,FALSE),0)</f>
        <v>92.390941923862698</v>
      </c>
      <c r="I203" s="34"/>
      <c r="J203" s="34"/>
      <c r="K203" s="34"/>
      <c r="L203" s="34"/>
      <c r="M203" s="34"/>
      <c r="N203" s="34"/>
      <c r="O203" s="34"/>
      <c r="P203" s="34"/>
      <c r="Q203" s="34"/>
      <c r="R203" s="34"/>
      <c r="S203" s="34"/>
      <c r="T203" s="34"/>
      <c r="U203" s="34"/>
      <c r="V203" s="34"/>
      <c r="W203" s="34"/>
      <c r="X203" s="34"/>
      <c r="Y203" s="34"/>
      <c r="Z203" s="34"/>
      <c r="AA203" s="34"/>
      <c r="AB203" s="34"/>
      <c r="AC203" s="34"/>
      <c r="AD203" s="34"/>
      <c r="AE203" s="34"/>
      <c r="AF203" s="34"/>
      <c r="AG203" s="34"/>
      <c r="AH203" s="34"/>
      <c r="AI203" s="34"/>
      <c r="AJ203" s="34"/>
      <c r="AK203" s="34"/>
      <c r="AL203" s="34"/>
      <c r="AM203" s="34"/>
      <c r="AN203" s="34"/>
      <c r="AO203" s="34"/>
      <c r="AP203" s="34"/>
      <c r="AQ203" s="34"/>
      <c r="AR203" s="34"/>
      <c r="AS203" s="34"/>
      <c r="AT203" s="34"/>
      <c r="AU203" s="34"/>
      <c r="AV203" s="34"/>
      <c r="AW203" s="34"/>
      <c r="AX203" s="34"/>
      <c r="AY203" s="34"/>
      <c r="AZ203" s="34"/>
      <c r="BA203" s="34"/>
      <c r="BB203" s="34"/>
      <c r="BC203" s="34"/>
      <c r="BD203" s="34"/>
      <c r="BE203" s="34"/>
      <c r="BF203" s="34"/>
      <c r="BG203" s="34"/>
      <c r="BH203" s="34"/>
      <c r="BI203" s="34"/>
      <c r="BJ203" s="34"/>
      <c r="BK203" s="34"/>
      <c r="BL203" s="34"/>
      <c r="BM203" s="34"/>
      <c r="BN203" s="34"/>
      <c r="BO203" s="34"/>
      <c r="BP203" s="34"/>
      <c r="BQ203" s="34"/>
      <c r="BR203" s="34"/>
      <c r="BS203" s="34"/>
      <c r="BT203" s="34"/>
      <c r="BU203" s="34"/>
      <c r="BV203" s="34"/>
      <c r="BW203" s="34"/>
      <c r="BX203" s="34"/>
      <c r="BY203" s="34"/>
      <c r="BZ203" s="34"/>
      <c r="CA203" s="34"/>
      <c r="CB203" s="34"/>
      <c r="CC203" s="34"/>
      <c r="CD203" s="34"/>
      <c r="CE203" s="34"/>
      <c r="CF203" s="34"/>
      <c r="CG203" s="34"/>
      <c r="CH203" s="34"/>
      <c r="CI203" s="34"/>
      <c r="CJ203" s="34"/>
      <c r="CK203" s="34"/>
      <c r="CL203" s="34"/>
      <c r="CM203" s="34"/>
      <c r="CN203" s="34"/>
      <c r="CO203" s="34"/>
      <c r="CP203" s="34"/>
      <c r="CQ203" s="34"/>
      <c r="CR203" s="34"/>
      <c r="CS203" s="34"/>
      <c r="CT203" s="34"/>
      <c r="CU203" s="34"/>
      <c r="CV203" s="34"/>
      <c r="CW203" s="34"/>
    </row>
    <row r="204" spans="1:101" ht="25.5">
      <c r="A204" s="255" t="str">
        <f>INDEX(WeightedSavings!$E$10:$E$81,FLOOR((ROW(A199))/3,1))</f>
        <v>Ground Source Heat Pump Upgrade from Air Source Heat Pump - With Desuperheater - Existing House 4000 square feet or greater - Heating Zone 1 - Cooling Zone 3</v>
      </c>
      <c r="B204" s="255" t="str">
        <f t="shared" ref="B204:B223" si="12">B201</f>
        <v>cool</v>
      </c>
      <c r="C204" s="39">
        <f>IF(B204="heat",VLOOKUP($A204,WeightedSavings!$E$10:$K$81,2,FALSE),IF(B204="cool",VLOOKUP($A204,WeightedSavings!$E$10:$K$81,3,FALSE),IF(B204="DHW",VLOOKUP($A204,WeightedSavings!$E$10:$K$81,4,FALSE),0)))</f>
        <v>381.6730038571427</v>
      </c>
      <c r="D204" s="39">
        <f t="shared" si="10"/>
        <v>20</v>
      </c>
      <c r="E204" s="256">
        <f>IF(B204="heat",VLOOKUP(A204,WeightedSavings!$E$10:$K$81,5,FALSE), IF(B204="cool",0, IF(B204="DHW",VLOOKUP(A204,WeightedSavings!$E$10:K277,6,FALSE))))</f>
        <v>0</v>
      </c>
      <c r="F204" s="39"/>
      <c r="G204" s="257" t="str">
        <f t="shared" si="11"/>
        <v>ResCACPNW</v>
      </c>
      <c r="H204" s="39">
        <f>IF(B204="heat",VLOOKUP($A204,WeightedSavings!$E$10:$K$81,5,FALSE),0)</f>
        <v>0</v>
      </c>
      <c r="I204" s="34"/>
      <c r="J204" s="34"/>
      <c r="K204" s="34"/>
      <c r="L204" s="34"/>
      <c r="M204" s="34"/>
      <c r="N204" s="34"/>
      <c r="O204" s="34"/>
      <c r="P204" s="34"/>
      <c r="Q204" s="34"/>
      <c r="R204" s="34"/>
      <c r="S204" s="34"/>
      <c r="T204" s="34"/>
      <c r="U204" s="34"/>
      <c r="V204" s="34"/>
      <c r="W204" s="34"/>
      <c r="X204" s="34"/>
      <c r="Y204" s="34"/>
      <c r="Z204" s="34"/>
      <c r="AA204" s="34"/>
      <c r="AB204" s="34"/>
      <c r="AC204" s="34"/>
      <c r="AD204" s="34"/>
      <c r="AE204" s="34"/>
      <c r="AF204" s="34"/>
      <c r="AG204" s="34"/>
      <c r="AH204" s="34"/>
      <c r="AI204" s="34"/>
      <c r="AJ204" s="34"/>
      <c r="AK204" s="34"/>
      <c r="AL204" s="34"/>
      <c r="AM204" s="34"/>
      <c r="AN204" s="34"/>
      <c r="AO204" s="34"/>
      <c r="AP204" s="34"/>
      <c r="AQ204" s="34"/>
      <c r="AR204" s="34"/>
      <c r="AS204" s="34"/>
      <c r="AT204" s="34"/>
      <c r="AU204" s="34"/>
      <c r="AV204" s="34"/>
      <c r="AW204" s="34"/>
      <c r="AX204" s="34"/>
      <c r="AY204" s="34"/>
      <c r="AZ204" s="34"/>
      <c r="BA204" s="34"/>
      <c r="BB204" s="34"/>
      <c r="BC204" s="34"/>
      <c r="BD204" s="34"/>
      <c r="BE204" s="34"/>
      <c r="BF204" s="34"/>
      <c r="BG204" s="34"/>
      <c r="BH204" s="34"/>
      <c r="BI204" s="34"/>
      <c r="BJ204" s="34"/>
      <c r="BK204" s="34"/>
      <c r="BL204" s="34"/>
      <c r="BM204" s="34"/>
      <c r="BN204" s="34"/>
      <c r="BO204" s="34"/>
      <c r="BP204" s="34"/>
      <c r="BQ204" s="34"/>
      <c r="BR204" s="34"/>
      <c r="BS204" s="34"/>
      <c r="BT204" s="34"/>
      <c r="BU204" s="34"/>
      <c r="BV204" s="34"/>
      <c r="BW204" s="34"/>
      <c r="BX204" s="34"/>
      <c r="BY204" s="34"/>
      <c r="BZ204" s="34"/>
      <c r="CA204" s="34"/>
      <c r="CB204" s="34"/>
      <c r="CC204" s="34"/>
      <c r="CD204" s="34"/>
      <c r="CE204" s="34"/>
      <c r="CF204" s="34"/>
      <c r="CG204" s="34"/>
      <c r="CH204" s="34"/>
      <c r="CI204" s="34"/>
      <c r="CJ204" s="34"/>
      <c r="CK204" s="34"/>
      <c r="CL204" s="34"/>
      <c r="CM204" s="34"/>
      <c r="CN204" s="34"/>
      <c r="CO204" s="34"/>
      <c r="CP204" s="34"/>
      <c r="CQ204" s="34"/>
      <c r="CR204" s="34"/>
      <c r="CS204" s="34"/>
      <c r="CT204" s="34"/>
      <c r="CU204" s="34"/>
      <c r="CV204" s="34"/>
      <c r="CW204" s="34"/>
    </row>
    <row r="205" spans="1:101" ht="25.5">
      <c r="A205" s="255" t="str">
        <f>INDEX(WeightedSavings!$E$10:$E$81,FLOOR((ROW(A200))/3,1))</f>
        <v>Ground Source Heat Pump Upgrade from Air Source Heat Pump - With Desuperheater - Existing House 4000 square feet or greater - Heating Zone 1 - Cooling Zone 3</v>
      </c>
      <c r="B205" s="255" t="str">
        <f t="shared" si="12"/>
        <v>dhw</v>
      </c>
      <c r="C205" s="39">
        <f>IF(B205="heat",VLOOKUP($A205,WeightedSavings!$E$10:$K$81,2,FALSE),IF(B205="cool",VLOOKUP($A205,WeightedSavings!$E$10:$K$81,3,FALSE),IF(B205="DHW",VLOOKUP($A205,WeightedSavings!$E$10:$K$81,4,FALSE),0)))</f>
        <v>1616.9923642499998</v>
      </c>
      <c r="D205" s="39">
        <f t="shared" si="10"/>
        <v>20</v>
      </c>
      <c r="E205" s="256">
        <f>IF(B205="heat",VLOOKUP(A205,WeightedSavings!$E$10:$K$81,5,FALSE), IF(B205="cool",0, IF(B205="DHW",VLOOKUP(A205,WeightedSavings!$E$10:K278,6,FALSE))))</f>
        <v>6948.3720000000003</v>
      </c>
      <c r="F205" s="39"/>
      <c r="G205" s="257" t="str">
        <f t="shared" si="11"/>
        <v>ResDHW</v>
      </c>
      <c r="H205" s="39">
        <f>IF(B205="heat",VLOOKUP($A205,WeightedSavings!$E$10:$K$81,5,FALSE),0)</f>
        <v>0</v>
      </c>
      <c r="I205" s="34"/>
      <c r="J205" s="34"/>
      <c r="K205" s="34"/>
      <c r="L205" s="34"/>
      <c r="M205" s="34"/>
      <c r="N205" s="34"/>
      <c r="O205" s="34"/>
      <c r="P205" s="34"/>
      <c r="Q205" s="34"/>
      <c r="R205" s="34"/>
      <c r="S205" s="34"/>
      <c r="T205" s="34"/>
      <c r="U205" s="34"/>
      <c r="V205" s="34"/>
      <c r="W205" s="34"/>
      <c r="X205" s="34"/>
      <c r="Y205" s="34"/>
      <c r="Z205" s="34"/>
      <c r="AA205" s="34"/>
      <c r="AB205" s="34"/>
      <c r="AC205" s="34"/>
      <c r="AD205" s="34"/>
      <c r="AE205" s="34"/>
      <c r="AF205" s="34"/>
      <c r="AG205" s="34"/>
      <c r="AH205" s="34"/>
      <c r="AI205" s="34"/>
      <c r="AJ205" s="34"/>
      <c r="AK205" s="34"/>
      <c r="AL205" s="34"/>
      <c r="AM205" s="34"/>
      <c r="AN205" s="34"/>
      <c r="AO205" s="34"/>
      <c r="AP205" s="34"/>
      <c r="AQ205" s="34"/>
      <c r="AR205" s="34"/>
      <c r="AS205" s="34"/>
      <c r="AT205" s="34"/>
      <c r="AU205" s="34"/>
      <c r="AV205" s="34"/>
      <c r="AW205" s="34"/>
      <c r="AX205" s="34"/>
      <c r="AY205" s="34"/>
      <c r="AZ205" s="34"/>
      <c r="BA205" s="34"/>
      <c r="BB205" s="34"/>
      <c r="BC205" s="34"/>
      <c r="BD205" s="34"/>
      <c r="BE205" s="34"/>
      <c r="BF205" s="34"/>
      <c r="BG205" s="34"/>
      <c r="BH205" s="34"/>
      <c r="BI205" s="34"/>
      <c r="BJ205" s="34"/>
      <c r="BK205" s="34"/>
      <c r="BL205" s="34"/>
      <c r="BM205" s="34"/>
      <c r="BN205" s="34"/>
      <c r="BO205" s="34"/>
      <c r="BP205" s="34"/>
      <c r="BQ205" s="34"/>
      <c r="BR205" s="34"/>
      <c r="BS205" s="34"/>
      <c r="BT205" s="34"/>
      <c r="BU205" s="34"/>
      <c r="BV205" s="34"/>
      <c r="BW205" s="34"/>
      <c r="BX205" s="34"/>
      <c r="BY205" s="34"/>
      <c r="BZ205" s="34"/>
      <c r="CA205" s="34"/>
      <c r="CB205" s="34"/>
      <c r="CC205" s="34"/>
      <c r="CD205" s="34"/>
      <c r="CE205" s="34"/>
      <c r="CF205" s="34"/>
      <c r="CG205" s="34"/>
      <c r="CH205" s="34"/>
      <c r="CI205" s="34"/>
      <c r="CJ205" s="34"/>
      <c r="CK205" s="34"/>
      <c r="CL205" s="34"/>
      <c r="CM205" s="34"/>
      <c r="CN205" s="34"/>
      <c r="CO205" s="34"/>
      <c r="CP205" s="34"/>
      <c r="CQ205" s="34"/>
      <c r="CR205" s="34"/>
      <c r="CS205" s="34"/>
      <c r="CT205" s="34"/>
      <c r="CU205" s="34"/>
      <c r="CV205" s="34"/>
      <c r="CW205" s="34"/>
    </row>
    <row r="206" spans="1:101" ht="25.5">
      <c r="A206" s="255" t="str">
        <f>INDEX(WeightedSavings!$E$10:$E$81,FLOOR((ROW(A201))/3,1))</f>
        <v>Ground Source Heat Pump Upgrade from Air Source Heat Pump - With Desuperheater - Existing House 4000 square feet or greater - Heating Zone 2 - Cooling Zone 1</v>
      </c>
      <c r="B206" s="255" t="str">
        <f t="shared" si="12"/>
        <v>heat</v>
      </c>
      <c r="C206" s="39">
        <f>IF(B206="heat",VLOOKUP($A206,WeightedSavings!$E$10:$K$81,2,FALSE),IF(B206="cool",VLOOKUP($A206,WeightedSavings!$E$10:$K$81,3,FALSE),IF(B206="DHW",VLOOKUP($A206,WeightedSavings!$E$10:$K$81,4,FALSE),0)))</f>
        <v>2869.5671714844666</v>
      </c>
      <c r="D206" s="39">
        <f t="shared" si="10"/>
        <v>20</v>
      </c>
      <c r="E206" s="256">
        <f>IF(B206="heat",VLOOKUP(A206,WeightedSavings!$E$10:$K$81,5,FALSE), IF(B206="cool",0, IF(B206="DHW",VLOOKUP(A206,WeightedSavings!$E$10:K279,6,FALSE))))</f>
        <v>91.198641469819933</v>
      </c>
      <c r="F206" s="39"/>
      <c r="G206" s="257" t="str">
        <f t="shared" si="11"/>
        <v>ResSpHtHPZ2</v>
      </c>
      <c r="H206" s="39">
        <f>IF(B206="heat",VLOOKUP($A206,WeightedSavings!$E$10:$K$81,5,FALSE),0)</f>
        <v>91.198641469819933</v>
      </c>
      <c r="I206" s="34"/>
      <c r="J206" s="34"/>
      <c r="K206" s="34"/>
      <c r="L206" s="34"/>
      <c r="M206" s="34"/>
      <c r="N206" s="34"/>
      <c r="O206" s="34"/>
      <c r="P206" s="34"/>
      <c r="Q206" s="34"/>
      <c r="R206" s="34"/>
      <c r="S206" s="34"/>
      <c r="T206" s="34"/>
      <c r="U206" s="34"/>
      <c r="V206" s="34"/>
      <c r="W206" s="34"/>
      <c r="X206" s="34"/>
      <c r="Y206" s="34"/>
      <c r="Z206" s="34"/>
      <c r="AA206" s="34"/>
      <c r="AB206" s="34"/>
      <c r="AC206" s="34"/>
      <c r="AD206" s="34"/>
      <c r="AE206" s="34"/>
      <c r="AF206" s="34"/>
      <c r="AG206" s="34"/>
      <c r="AH206" s="34"/>
      <c r="AI206" s="34"/>
      <c r="AJ206" s="34"/>
      <c r="AK206" s="34"/>
      <c r="AL206" s="34"/>
      <c r="AM206" s="34"/>
      <c r="AN206" s="34"/>
      <c r="AO206" s="34"/>
      <c r="AP206" s="34"/>
      <c r="AQ206" s="34"/>
      <c r="AR206" s="34"/>
      <c r="AS206" s="34"/>
      <c r="AT206" s="34"/>
      <c r="AU206" s="34"/>
      <c r="AV206" s="34"/>
      <c r="AW206" s="34"/>
      <c r="AX206" s="34"/>
      <c r="AY206" s="34"/>
      <c r="AZ206" s="34"/>
      <c r="BA206" s="34"/>
      <c r="BB206" s="34"/>
      <c r="BC206" s="34"/>
      <c r="BD206" s="34"/>
      <c r="BE206" s="34"/>
      <c r="BF206" s="34"/>
      <c r="BG206" s="34"/>
      <c r="BH206" s="34"/>
      <c r="BI206" s="34"/>
      <c r="BJ206" s="34"/>
      <c r="BK206" s="34"/>
      <c r="BL206" s="34"/>
      <c r="BM206" s="34"/>
      <c r="BN206" s="34"/>
      <c r="BO206" s="34"/>
      <c r="BP206" s="34"/>
      <c r="BQ206" s="34"/>
      <c r="BR206" s="34"/>
      <c r="BS206" s="34"/>
      <c r="BT206" s="34"/>
      <c r="BU206" s="34"/>
      <c r="BV206" s="34"/>
      <c r="BW206" s="34"/>
      <c r="BX206" s="34"/>
      <c r="BY206" s="34"/>
      <c r="BZ206" s="34"/>
      <c r="CA206" s="34"/>
      <c r="CB206" s="34"/>
      <c r="CC206" s="34"/>
      <c r="CD206" s="34"/>
      <c r="CE206" s="34"/>
      <c r="CF206" s="34"/>
      <c r="CG206" s="34"/>
      <c r="CH206" s="34"/>
      <c r="CI206" s="34"/>
      <c r="CJ206" s="34"/>
      <c r="CK206" s="34"/>
      <c r="CL206" s="34"/>
      <c r="CM206" s="34"/>
      <c r="CN206" s="34"/>
      <c r="CO206" s="34"/>
      <c r="CP206" s="34"/>
      <c r="CQ206" s="34"/>
      <c r="CR206" s="34"/>
      <c r="CS206" s="34"/>
      <c r="CT206" s="34"/>
      <c r="CU206" s="34"/>
      <c r="CV206" s="34"/>
      <c r="CW206" s="34"/>
    </row>
    <row r="207" spans="1:101" ht="25.5">
      <c r="A207" s="255" t="str">
        <f>INDEX(WeightedSavings!$E$10:$E$81,FLOOR((ROW(A202))/3,1))</f>
        <v>Ground Source Heat Pump Upgrade from Air Source Heat Pump - With Desuperheater - Existing House 4000 square feet or greater - Heating Zone 2 - Cooling Zone 1</v>
      </c>
      <c r="B207" s="255" t="str">
        <f t="shared" si="12"/>
        <v>cool</v>
      </c>
      <c r="C207" s="39">
        <f>IF(B207="heat",VLOOKUP($A207,WeightedSavings!$E$10:$K$81,2,FALSE),IF(B207="cool",VLOOKUP($A207,WeightedSavings!$E$10:$K$81,3,FALSE),IF(B207="DHW",VLOOKUP($A207,WeightedSavings!$E$10:$K$81,4,FALSE),0)))</f>
        <v>61.380484749999994</v>
      </c>
      <c r="D207" s="39">
        <f t="shared" si="10"/>
        <v>20</v>
      </c>
      <c r="E207" s="256">
        <f>IF(B207="heat",VLOOKUP(A207,WeightedSavings!$E$10:$K$81,5,FALSE), IF(B207="cool",0, IF(B207="DHW",VLOOKUP(A207,WeightedSavings!$E$10:K280,6,FALSE))))</f>
        <v>0</v>
      </c>
      <c r="F207" s="39"/>
      <c r="G207" s="257" t="str">
        <f t="shared" si="11"/>
        <v>ResCACPNW</v>
      </c>
      <c r="H207" s="39">
        <f>IF(B207="heat",VLOOKUP($A207,WeightedSavings!$E$10:$K$81,5,FALSE),0)</f>
        <v>0</v>
      </c>
      <c r="I207" s="34"/>
      <c r="J207" s="34"/>
      <c r="K207" s="34"/>
      <c r="L207" s="34"/>
      <c r="M207" s="34"/>
      <c r="N207" s="34"/>
      <c r="O207" s="34"/>
      <c r="P207" s="34"/>
      <c r="Q207" s="34"/>
      <c r="R207" s="34"/>
      <c r="S207" s="34"/>
      <c r="T207" s="34"/>
      <c r="U207" s="34"/>
      <c r="V207" s="34"/>
      <c r="W207" s="34"/>
      <c r="X207" s="34"/>
      <c r="Y207" s="34"/>
      <c r="Z207" s="34"/>
      <c r="AA207" s="34"/>
      <c r="AB207" s="34"/>
      <c r="AC207" s="34"/>
      <c r="AD207" s="34"/>
      <c r="AE207" s="34"/>
      <c r="AF207" s="34"/>
      <c r="AG207" s="34"/>
      <c r="AH207" s="34"/>
      <c r="AI207" s="34"/>
      <c r="AJ207" s="34"/>
      <c r="AK207" s="34"/>
      <c r="AL207" s="34"/>
      <c r="AM207" s="34"/>
      <c r="AN207" s="34"/>
      <c r="AO207" s="34"/>
      <c r="AP207" s="34"/>
      <c r="AQ207" s="34"/>
      <c r="AR207" s="34"/>
      <c r="AS207" s="34"/>
      <c r="AT207" s="34"/>
      <c r="AU207" s="34"/>
      <c r="AV207" s="34"/>
      <c r="AW207" s="34"/>
      <c r="AX207" s="34"/>
      <c r="AY207" s="34"/>
      <c r="AZ207" s="34"/>
      <c r="BA207" s="34"/>
      <c r="BB207" s="34"/>
      <c r="BC207" s="34"/>
      <c r="BD207" s="34"/>
      <c r="BE207" s="34"/>
      <c r="BF207" s="34"/>
      <c r="BG207" s="34"/>
      <c r="BH207" s="34"/>
      <c r="BI207" s="34"/>
      <c r="BJ207" s="34"/>
      <c r="BK207" s="34"/>
      <c r="BL207" s="34"/>
      <c r="BM207" s="34"/>
      <c r="BN207" s="34"/>
      <c r="BO207" s="34"/>
      <c r="BP207" s="34"/>
      <c r="BQ207" s="34"/>
      <c r="BR207" s="34"/>
      <c r="BS207" s="34"/>
      <c r="BT207" s="34"/>
      <c r="BU207" s="34"/>
      <c r="BV207" s="34"/>
      <c r="BW207" s="34"/>
      <c r="BX207" s="34"/>
      <c r="BY207" s="34"/>
      <c r="BZ207" s="34"/>
      <c r="CA207" s="34"/>
      <c r="CB207" s="34"/>
      <c r="CC207" s="34"/>
      <c r="CD207" s="34"/>
      <c r="CE207" s="34"/>
      <c r="CF207" s="34"/>
      <c r="CG207" s="34"/>
      <c r="CH207" s="34"/>
      <c r="CI207" s="34"/>
      <c r="CJ207" s="34"/>
      <c r="CK207" s="34"/>
      <c r="CL207" s="34"/>
      <c r="CM207" s="34"/>
      <c r="CN207" s="34"/>
      <c r="CO207" s="34"/>
      <c r="CP207" s="34"/>
      <c r="CQ207" s="34"/>
      <c r="CR207" s="34"/>
      <c r="CS207" s="34"/>
      <c r="CT207" s="34"/>
      <c r="CU207" s="34"/>
      <c r="CV207" s="34"/>
      <c r="CW207" s="34"/>
    </row>
    <row r="208" spans="1:101" ht="25.5">
      <c r="A208" s="255" t="str">
        <f>INDEX(WeightedSavings!$E$10:$E$81,FLOOR((ROW(A203))/3,1))</f>
        <v>Ground Source Heat Pump Upgrade from Air Source Heat Pump - With Desuperheater - Existing House 4000 square feet or greater - Heating Zone 2 - Cooling Zone 1</v>
      </c>
      <c r="B208" s="255" t="str">
        <f t="shared" si="12"/>
        <v>dhw</v>
      </c>
      <c r="C208" s="39">
        <f>IF(B208="heat",VLOOKUP($A208,WeightedSavings!$E$10:$K$81,2,FALSE),IF(B208="cool",VLOOKUP($A208,WeightedSavings!$E$10:$K$81,3,FALSE),IF(B208="DHW",VLOOKUP($A208,WeightedSavings!$E$10:$K$81,4,FALSE),0)))</f>
        <v>2215.71985425</v>
      </c>
      <c r="D208" s="39">
        <f t="shared" si="10"/>
        <v>20</v>
      </c>
      <c r="E208" s="256">
        <f>IF(B208="heat",VLOOKUP(A208,WeightedSavings!$E$10:$K$81,5,FALSE), IF(B208="cool",0, IF(B208="DHW",VLOOKUP(A208,WeightedSavings!$E$10:K281,6,FALSE))))</f>
        <v>13713.364000000003</v>
      </c>
      <c r="F208" s="39"/>
      <c r="G208" s="257" t="str">
        <f t="shared" si="11"/>
        <v>ResDHW</v>
      </c>
      <c r="H208" s="39">
        <f>IF(B208="heat",VLOOKUP($A208,WeightedSavings!$E$10:$K$81,5,FALSE),0)</f>
        <v>0</v>
      </c>
      <c r="I208" s="34"/>
      <c r="J208" s="34"/>
      <c r="K208" s="34"/>
      <c r="L208" s="34"/>
      <c r="M208" s="34"/>
      <c r="N208" s="34"/>
      <c r="O208" s="34"/>
      <c r="P208" s="34"/>
      <c r="Q208" s="34"/>
      <c r="R208" s="34"/>
      <c r="S208" s="34"/>
      <c r="T208" s="34"/>
      <c r="U208" s="34"/>
      <c r="V208" s="34"/>
      <c r="W208" s="34"/>
      <c r="X208" s="34"/>
      <c r="Y208" s="34"/>
      <c r="Z208" s="34"/>
      <c r="AA208" s="34"/>
      <c r="AB208" s="34"/>
      <c r="AC208" s="34"/>
      <c r="AD208" s="34"/>
      <c r="AE208" s="34"/>
      <c r="AF208" s="34"/>
      <c r="AG208" s="34"/>
      <c r="AH208" s="34"/>
      <c r="AI208" s="34"/>
      <c r="AJ208" s="34"/>
      <c r="AK208" s="34"/>
      <c r="AL208" s="34"/>
      <c r="AM208" s="34"/>
      <c r="AN208" s="34"/>
      <c r="AO208" s="34"/>
      <c r="AP208" s="34"/>
      <c r="AQ208" s="34"/>
      <c r="AR208" s="34"/>
      <c r="AS208" s="34"/>
      <c r="AT208" s="34"/>
      <c r="AU208" s="34"/>
      <c r="AV208" s="34"/>
      <c r="AW208" s="34"/>
      <c r="AX208" s="34"/>
      <c r="AY208" s="34"/>
      <c r="AZ208" s="34"/>
      <c r="BA208" s="34"/>
      <c r="BB208" s="34"/>
      <c r="BC208" s="34"/>
      <c r="BD208" s="34"/>
      <c r="BE208" s="34"/>
      <c r="BF208" s="34"/>
      <c r="BG208" s="34"/>
      <c r="BH208" s="34"/>
      <c r="BI208" s="34"/>
      <c r="BJ208" s="34"/>
      <c r="BK208" s="34"/>
      <c r="BL208" s="34"/>
      <c r="BM208" s="34"/>
      <c r="BN208" s="34"/>
      <c r="BO208" s="34"/>
      <c r="BP208" s="34"/>
      <c r="BQ208" s="34"/>
      <c r="BR208" s="34"/>
      <c r="BS208" s="34"/>
      <c r="BT208" s="34"/>
      <c r="BU208" s="34"/>
      <c r="BV208" s="34"/>
      <c r="BW208" s="34"/>
      <c r="BX208" s="34"/>
      <c r="BY208" s="34"/>
      <c r="BZ208" s="34"/>
      <c r="CA208" s="34"/>
      <c r="CB208" s="34"/>
      <c r="CC208" s="34"/>
      <c r="CD208" s="34"/>
      <c r="CE208" s="34"/>
      <c r="CF208" s="34"/>
      <c r="CG208" s="34"/>
      <c r="CH208" s="34"/>
      <c r="CI208" s="34"/>
      <c r="CJ208" s="34"/>
      <c r="CK208" s="34"/>
      <c r="CL208" s="34"/>
      <c r="CM208" s="34"/>
      <c r="CN208" s="34"/>
      <c r="CO208" s="34"/>
      <c r="CP208" s="34"/>
      <c r="CQ208" s="34"/>
      <c r="CR208" s="34"/>
      <c r="CS208" s="34"/>
      <c r="CT208" s="34"/>
      <c r="CU208" s="34"/>
      <c r="CV208" s="34"/>
      <c r="CW208" s="34"/>
    </row>
    <row r="209" spans="1:101" ht="25.5">
      <c r="A209" s="255" t="str">
        <f>INDEX(WeightedSavings!$E$10:$E$81,FLOOR((ROW(A204))/3,1))</f>
        <v>Ground Source Heat Pump Upgrade from Air Source Heat Pump - With Desuperheater - Existing House 4000 square feet or greater - Heating Zone 2 - Cooling Zone 2</v>
      </c>
      <c r="B209" s="255" t="str">
        <f t="shared" si="12"/>
        <v>heat</v>
      </c>
      <c r="C209" s="39">
        <f>IF(B209="heat",VLOOKUP($A209,WeightedSavings!$E$10:$K$81,2,FALSE),IF(B209="cool",VLOOKUP($A209,WeightedSavings!$E$10:$K$81,3,FALSE),IF(B209="DHW",VLOOKUP($A209,WeightedSavings!$E$10:$K$81,4,FALSE),0)))</f>
        <v>2869.5671714844666</v>
      </c>
      <c r="D209" s="39">
        <f t="shared" ref="D209:D223" si="13">D200</f>
        <v>20</v>
      </c>
      <c r="E209" s="256">
        <f>IF(B209="heat",VLOOKUP(A209,WeightedSavings!$E$10:$K$81,5,FALSE), IF(B209="cool",0, IF(B209="DHW",VLOOKUP(A209,WeightedSavings!$E$10:K282,6,FALSE))))</f>
        <v>91.198641469819933</v>
      </c>
      <c r="F209" s="39"/>
      <c r="G209" s="257" t="str">
        <f t="shared" si="11"/>
        <v>ResSpHtHPZ2</v>
      </c>
      <c r="H209" s="39">
        <f>IF(B209="heat",VLOOKUP($A209,WeightedSavings!$E$10:$K$81,5,FALSE),0)</f>
        <v>91.198641469819933</v>
      </c>
      <c r="I209" s="34"/>
      <c r="J209" s="34"/>
      <c r="K209" s="34"/>
      <c r="L209" s="34"/>
      <c r="M209" s="34"/>
      <c r="N209" s="34"/>
      <c r="O209" s="34"/>
      <c r="P209" s="34"/>
      <c r="Q209" s="34"/>
      <c r="R209" s="34"/>
      <c r="S209" s="34"/>
      <c r="T209" s="34"/>
      <c r="U209" s="34"/>
      <c r="V209" s="34"/>
      <c r="W209" s="34"/>
      <c r="X209" s="34"/>
      <c r="Y209" s="34"/>
      <c r="Z209" s="34"/>
      <c r="AA209" s="34"/>
      <c r="AB209" s="34"/>
      <c r="AC209" s="34"/>
      <c r="AD209" s="34"/>
      <c r="AE209" s="34"/>
      <c r="AF209" s="34"/>
      <c r="AG209" s="34"/>
      <c r="AH209" s="34"/>
      <c r="AI209" s="34"/>
      <c r="AJ209" s="34"/>
      <c r="AK209" s="34"/>
      <c r="AL209" s="34"/>
      <c r="AM209" s="34"/>
      <c r="AN209" s="34"/>
      <c r="AO209" s="34"/>
      <c r="AP209" s="34"/>
      <c r="AQ209" s="34"/>
      <c r="AR209" s="34"/>
      <c r="AS209" s="34"/>
      <c r="AT209" s="34"/>
      <c r="AU209" s="34"/>
      <c r="AV209" s="34"/>
      <c r="AW209" s="34"/>
      <c r="AX209" s="34"/>
      <c r="AY209" s="34"/>
      <c r="AZ209" s="34"/>
      <c r="BA209" s="34"/>
      <c r="BB209" s="34"/>
      <c r="BC209" s="34"/>
      <c r="BD209" s="34"/>
      <c r="BE209" s="34"/>
      <c r="BF209" s="34"/>
      <c r="BG209" s="34"/>
      <c r="BH209" s="34"/>
      <c r="BI209" s="34"/>
      <c r="BJ209" s="34"/>
      <c r="BK209" s="34"/>
      <c r="BL209" s="34"/>
      <c r="BM209" s="34"/>
      <c r="BN209" s="34"/>
      <c r="BO209" s="34"/>
      <c r="BP209" s="34"/>
      <c r="BQ209" s="34"/>
      <c r="BR209" s="34"/>
      <c r="BS209" s="34"/>
      <c r="BT209" s="34"/>
      <c r="BU209" s="34"/>
      <c r="BV209" s="34"/>
      <c r="BW209" s="34"/>
      <c r="BX209" s="34"/>
      <c r="BY209" s="34"/>
      <c r="BZ209" s="34"/>
      <c r="CA209" s="34"/>
      <c r="CB209" s="34"/>
      <c r="CC209" s="34"/>
      <c r="CD209" s="34"/>
      <c r="CE209" s="34"/>
      <c r="CF209" s="34"/>
      <c r="CG209" s="34"/>
      <c r="CH209" s="34"/>
      <c r="CI209" s="34"/>
      <c r="CJ209" s="34"/>
      <c r="CK209" s="34"/>
      <c r="CL209" s="34"/>
      <c r="CM209" s="34"/>
      <c r="CN209" s="34"/>
      <c r="CO209" s="34"/>
      <c r="CP209" s="34"/>
      <c r="CQ209" s="34"/>
      <c r="CR209" s="34"/>
      <c r="CS209" s="34"/>
      <c r="CT209" s="34"/>
      <c r="CU209" s="34"/>
      <c r="CV209" s="34"/>
      <c r="CW209" s="34"/>
    </row>
    <row r="210" spans="1:101" ht="25.5">
      <c r="A210" s="255" t="str">
        <f>INDEX(WeightedSavings!$E$10:$E$81,FLOOR((ROW(A205))/3,1))</f>
        <v>Ground Source Heat Pump Upgrade from Air Source Heat Pump - With Desuperheater - Existing House 4000 square feet or greater - Heating Zone 2 - Cooling Zone 2</v>
      </c>
      <c r="B210" s="255" t="str">
        <f t="shared" si="12"/>
        <v>cool</v>
      </c>
      <c r="C210" s="39">
        <f>IF(B210="heat",VLOOKUP($A210,WeightedSavings!$E$10:$K$81,2,FALSE),IF(B210="cool",VLOOKUP($A210,WeightedSavings!$E$10:$K$81,3,FALSE),IF(B210="DHW",VLOOKUP($A210,WeightedSavings!$E$10:$K$81,4,FALSE),0)))</f>
        <v>181.79869203571423</v>
      </c>
      <c r="D210" s="39">
        <f t="shared" si="13"/>
        <v>20</v>
      </c>
      <c r="E210" s="256">
        <f>IF(B210="heat",VLOOKUP(A210,WeightedSavings!$E$10:$K$81,5,FALSE), IF(B210="cool",0, IF(B210="DHW",VLOOKUP(A210,WeightedSavings!$E$10:K283,6,FALSE))))</f>
        <v>0</v>
      </c>
      <c r="F210" s="39"/>
      <c r="G210" s="257" t="str">
        <f t="shared" si="11"/>
        <v>ResCACPNW</v>
      </c>
      <c r="H210" s="39">
        <f>IF(B210="heat",VLOOKUP($A210,WeightedSavings!$E$10:$K$81,5,FALSE),0)</f>
        <v>0</v>
      </c>
      <c r="I210" s="34"/>
      <c r="J210" s="34"/>
      <c r="K210" s="34"/>
      <c r="L210" s="34"/>
      <c r="M210" s="34"/>
      <c r="N210" s="34"/>
      <c r="O210" s="34"/>
      <c r="P210" s="34"/>
      <c r="Q210" s="34"/>
      <c r="R210" s="34"/>
      <c r="S210" s="34"/>
      <c r="T210" s="34"/>
      <c r="U210" s="34"/>
      <c r="V210" s="34"/>
      <c r="W210" s="34"/>
      <c r="X210" s="34"/>
      <c r="Y210" s="34"/>
      <c r="Z210" s="34"/>
      <c r="AA210" s="34"/>
      <c r="AB210" s="34"/>
      <c r="AC210" s="34"/>
      <c r="AD210" s="34"/>
      <c r="AE210" s="34"/>
      <c r="AF210" s="34"/>
      <c r="AG210" s="34"/>
      <c r="AH210" s="34"/>
      <c r="AI210" s="34"/>
      <c r="AJ210" s="34"/>
      <c r="AK210" s="34"/>
      <c r="AL210" s="34"/>
      <c r="AM210" s="34"/>
      <c r="AN210" s="34"/>
      <c r="AO210" s="34"/>
      <c r="AP210" s="34"/>
      <c r="AQ210" s="34"/>
      <c r="AR210" s="34"/>
      <c r="AS210" s="34"/>
      <c r="AT210" s="34"/>
      <c r="AU210" s="34"/>
      <c r="AV210" s="34"/>
      <c r="AW210" s="34"/>
      <c r="AX210" s="34"/>
      <c r="AY210" s="34"/>
      <c r="AZ210" s="34"/>
      <c r="BA210" s="34"/>
      <c r="BB210" s="34"/>
      <c r="BC210" s="34"/>
      <c r="BD210" s="34"/>
      <c r="BE210" s="34"/>
      <c r="BF210" s="34"/>
      <c r="BG210" s="34"/>
      <c r="BH210" s="34"/>
      <c r="BI210" s="34"/>
      <c r="BJ210" s="34"/>
      <c r="BK210" s="34"/>
      <c r="BL210" s="34"/>
      <c r="BM210" s="34"/>
      <c r="BN210" s="34"/>
      <c r="BO210" s="34"/>
      <c r="BP210" s="34"/>
      <c r="BQ210" s="34"/>
      <c r="BR210" s="34"/>
      <c r="BS210" s="34"/>
      <c r="BT210" s="34"/>
      <c r="BU210" s="34"/>
      <c r="BV210" s="34"/>
      <c r="BW210" s="34"/>
      <c r="BX210" s="34"/>
      <c r="BY210" s="34"/>
      <c r="BZ210" s="34"/>
      <c r="CA210" s="34"/>
      <c r="CB210" s="34"/>
      <c r="CC210" s="34"/>
      <c r="CD210" s="34"/>
      <c r="CE210" s="34"/>
      <c r="CF210" s="34"/>
      <c r="CG210" s="34"/>
      <c r="CH210" s="34"/>
      <c r="CI210" s="34"/>
      <c r="CJ210" s="34"/>
      <c r="CK210" s="34"/>
      <c r="CL210" s="34"/>
      <c r="CM210" s="34"/>
      <c r="CN210" s="34"/>
      <c r="CO210" s="34"/>
      <c r="CP210" s="34"/>
      <c r="CQ210" s="34"/>
      <c r="CR210" s="34"/>
      <c r="CS210" s="34"/>
      <c r="CT210" s="34"/>
      <c r="CU210" s="34"/>
      <c r="CV210" s="34"/>
      <c r="CW210" s="34"/>
    </row>
    <row r="211" spans="1:101" ht="25.5">
      <c r="A211" s="255" t="str">
        <f>INDEX(WeightedSavings!$E$10:$E$81,FLOOR((ROW(A206))/3,1))</f>
        <v>Ground Source Heat Pump Upgrade from Air Source Heat Pump - With Desuperheater - Existing House 4000 square feet or greater - Heating Zone 2 - Cooling Zone 2</v>
      </c>
      <c r="B211" s="255" t="str">
        <f t="shared" si="12"/>
        <v>dhw</v>
      </c>
      <c r="C211" s="39">
        <f>IF(B211="heat",VLOOKUP($A211,WeightedSavings!$E$10:$K$81,2,FALSE),IF(B211="cool",VLOOKUP($A211,WeightedSavings!$E$10:$K$81,3,FALSE),IF(B211="DHW",VLOOKUP($A211,WeightedSavings!$E$10:$K$81,4,FALSE),0)))</f>
        <v>2215.71985425</v>
      </c>
      <c r="D211" s="39">
        <f t="shared" si="13"/>
        <v>20</v>
      </c>
      <c r="E211" s="256">
        <f>IF(B211="heat",VLOOKUP(A211,WeightedSavings!$E$10:$K$81,5,FALSE), IF(B211="cool",0, IF(B211="DHW",VLOOKUP(A211,WeightedSavings!$E$10:K284,6,FALSE))))</f>
        <v>13713.364000000003</v>
      </c>
      <c r="F211" s="39"/>
      <c r="G211" s="257" t="str">
        <f t="shared" si="11"/>
        <v>ResDHW</v>
      </c>
      <c r="H211" s="39">
        <f>IF(B211="heat",VLOOKUP($A211,WeightedSavings!$E$10:$K$81,5,FALSE),0)</f>
        <v>0</v>
      </c>
      <c r="I211" s="34"/>
      <c r="J211" s="34"/>
      <c r="K211" s="34"/>
      <c r="L211" s="34"/>
      <c r="M211" s="34"/>
      <c r="N211" s="34"/>
      <c r="O211" s="34"/>
      <c r="P211" s="34"/>
      <c r="Q211" s="34"/>
      <c r="R211" s="34"/>
      <c r="S211" s="34"/>
      <c r="T211" s="34"/>
      <c r="U211" s="34"/>
      <c r="V211" s="34"/>
      <c r="W211" s="34"/>
      <c r="X211" s="34"/>
      <c r="Y211" s="34"/>
      <c r="Z211" s="34"/>
      <c r="AA211" s="34"/>
      <c r="AB211" s="34"/>
      <c r="AC211" s="34"/>
      <c r="AD211" s="34"/>
      <c r="AE211" s="34"/>
      <c r="AF211" s="34"/>
      <c r="AG211" s="34"/>
      <c r="AH211" s="34"/>
      <c r="AI211" s="34"/>
      <c r="AJ211" s="34"/>
      <c r="AK211" s="34"/>
      <c r="AL211" s="34"/>
      <c r="AM211" s="34"/>
      <c r="AN211" s="34"/>
      <c r="AO211" s="34"/>
      <c r="AP211" s="34"/>
      <c r="AQ211" s="34"/>
      <c r="AR211" s="34"/>
      <c r="AS211" s="34"/>
      <c r="AT211" s="34"/>
      <c r="AU211" s="34"/>
      <c r="AV211" s="34"/>
      <c r="AW211" s="34"/>
      <c r="AX211" s="34"/>
      <c r="AY211" s="34"/>
      <c r="AZ211" s="34"/>
      <c r="BA211" s="34"/>
      <c r="BB211" s="34"/>
      <c r="BC211" s="34"/>
      <c r="BD211" s="34"/>
      <c r="BE211" s="34"/>
      <c r="BF211" s="34"/>
      <c r="BG211" s="34"/>
      <c r="BH211" s="34"/>
      <c r="BI211" s="34"/>
      <c r="BJ211" s="34"/>
      <c r="BK211" s="34"/>
      <c r="BL211" s="34"/>
      <c r="BM211" s="34"/>
      <c r="BN211" s="34"/>
      <c r="BO211" s="34"/>
      <c r="BP211" s="34"/>
      <c r="BQ211" s="34"/>
      <c r="BR211" s="34"/>
      <c r="BS211" s="34"/>
      <c r="BT211" s="34"/>
      <c r="BU211" s="34"/>
      <c r="BV211" s="34"/>
      <c r="BW211" s="34"/>
      <c r="BX211" s="34"/>
      <c r="BY211" s="34"/>
      <c r="BZ211" s="34"/>
      <c r="CA211" s="34"/>
      <c r="CB211" s="34"/>
      <c r="CC211" s="34"/>
      <c r="CD211" s="34"/>
      <c r="CE211" s="34"/>
      <c r="CF211" s="34"/>
      <c r="CG211" s="34"/>
      <c r="CH211" s="34"/>
      <c r="CI211" s="34"/>
      <c r="CJ211" s="34"/>
      <c r="CK211" s="34"/>
      <c r="CL211" s="34"/>
      <c r="CM211" s="34"/>
      <c r="CN211" s="34"/>
      <c r="CO211" s="34"/>
      <c r="CP211" s="34"/>
      <c r="CQ211" s="34"/>
      <c r="CR211" s="34"/>
      <c r="CS211" s="34"/>
      <c r="CT211" s="34"/>
      <c r="CU211" s="34"/>
      <c r="CV211" s="34"/>
      <c r="CW211" s="34"/>
    </row>
    <row r="212" spans="1:101" ht="25.5">
      <c r="A212" s="255" t="str">
        <f>INDEX(WeightedSavings!$E$10:$E$81,FLOOR((ROW(A207))/3,1))</f>
        <v>Ground Source Heat Pump Upgrade from Air Source Heat Pump - With Desuperheater - Existing House 4000 square feet or greater - Heating Zone 2 - Cooling Zone 3</v>
      </c>
      <c r="B212" s="255" t="str">
        <f t="shared" si="12"/>
        <v>heat</v>
      </c>
      <c r="C212" s="39">
        <f>IF(B212="heat",VLOOKUP($A212,WeightedSavings!$E$10:$K$81,2,FALSE),IF(B212="cool",VLOOKUP($A212,WeightedSavings!$E$10:$K$81,3,FALSE),IF(B212="DHW",VLOOKUP($A212,WeightedSavings!$E$10:$K$81,4,FALSE),0)))</f>
        <v>2869.5671714844666</v>
      </c>
      <c r="D212" s="39">
        <f t="shared" si="13"/>
        <v>20</v>
      </c>
      <c r="E212" s="256">
        <f>IF(B212="heat",VLOOKUP(A212,WeightedSavings!$E$10:$K$81,5,FALSE), IF(B212="cool",0, IF(B212="DHW",VLOOKUP(A212,WeightedSavings!$E$10:K285,6,FALSE))))</f>
        <v>91.198641469819933</v>
      </c>
      <c r="F212" s="39"/>
      <c r="G212" s="257" t="str">
        <f t="shared" si="11"/>
        <v>ResSpHtHPZ2</v>
      </c>
      <c r="H212" s="39">
        <f>IF(B212="heat",VLOOKUP($A212,WeightedSavings!$E$10:$K$81,5,FALSE),0)</f>
        <v>91.198641469819933</v>
      </c>
      <c r="I212" s="34"/>
      <c r="J212" s="34"/>
      <c r="K212" s="34"/>
      <c r="L212" s="34"/>
      <c r="M212" s="34"/>
      <c r="N212" s="34"/>
      <c r="O212" s="34"/>
      <c r="P212" s="34"/>
      <c r="Q212" s="34"/>
      <c r="R212" s="34"/>
      <c r="S212" s="34"/>
      <c r="T212" s="34"/>
      <c r="U212" s="34"/>
      <c r="V212" s="34"/>
      <c r="W212" s="34"/>
      <c r="X212" s="34"/>
      <c r="Y212" s="34"/>
      <c r="Z212" s="34"/>
      <c r="AA212" s="34"/>
      <c r="AB212" s="34"/>
      <c r="AC212" s="34"/>
      <c r="AD212" s="34"/>
      <c r="AE212" s="34"/>
      <c r="AF212" s="34"/>
      <c r="AG212" s="34"/>
      <c r="AH212" s="34"/>
      <c r="AI212" s="34"/>
      <c r="AJ212" s="34"/>
      <c r="AK212" s="34"/>
      <c r="AL212" s="34"/>
      <c r="AM212" s="34"/>
      <c r="AN212" s="34"/>
      <c r="AO212" s="34"/>
      <c r="AP212" s="34"/>
      <c r="AQ212" s="34"/>
      <c r="AR212" s="34"/>
      <c r="AS212" s="34"/>
      <c r="AT212" s="34"/>
      <c r="AU212" s="34"/>
      <c r="AV212" s="34"/>
      <c r="AW212" s="34"/>
      <c r="AX212" s="34"/>
      <c r="AY212" s="34"/>
      <c r="AZ212" s="34"/>
      <c r="BA212" s="34"/>
      <c r="BB212" s="34"/>
      <c r="BC212" s="34"/>
      <c r="BD212" s="34"/>
      <c r="BE212" s="34"/>
      <c r="BF212" s="34"/>
      <c r="BG212" s="34"/>
      <c r="BH212" s="34"/>
      <c r="BI212" s="34"/>
      <c r="BJ212" s="34"/>
      <c r="BK212" s="34"/>
      <c r="BL212" s="34"/>
      <c r="BM212" s="34"/>
      <c r="BN212" s="34"/>
      <c r="BO212" s="34"/>
      <c r="BP212" s="34"/>
      <c r="BQ212" s="34"/>
      <c r="BR212" s="34"/>
      <c r="BS212" s="34"/>
      <c r="BT212" s="34"/>
      <c r="BU212" s="34"/>
      <c r="BV212" s="34"/>
      <c r="BW212" s="34"/>
      <c r="BX212" s="34"/>
      <c r="BY212" s="34"/>
      <c r="BZ212" s="34"/>
      <c r="CA212" s="34"/>
      <c r="CB212" s="34"/>
      <c r="CC212" s="34"/>
      <c r="CD212" s="34"/>
      <c r="CE212" s="34"/>
      <c r="CF212" s="34"/>
      <c r="CG212" s="34"/>
      <c r="CH212" s="34"/>
      <c r="CI212" s="34"/>
      <c r="CJ212" s="34"/>
      <c r="CK212" s="34"/>
      <c r="CL212" s="34"/>
      <c r="CM212" s="34"/>
      <c r="CN212" s="34"/>
      <c r="CO212" s="34"/>
      <c r="CP212" s="34"/>
      <c r="CQ212" s="34"/>
      <c r="CR212" s="34"/>
      <c r="CS212" s="34"/>
      <c r="CT212" s="34"/>
      <c r="CU212" s="34"/>
      <c r="CV212" s="34"/>
      <c r="CW212" s="34"/>
    </row>
    <row r="213" spans="1:101" ht="25.5">
      <c r="A213" s="255" t="str">
        <f>INDEX(WeightedSavings!$E$10:$E$81,FLOOR((ROW(A208))/3,1))</f>
        <v>Ground Source Heat Pump Upgrade from Air Source Heat Pump - With Desuperheater - Existing House 4000 square feet or greater - Heating Zone 2 - Cooling Zone 3</v>
      </c>
      <c r="B213" s="255" t="str">
        <f t="shared" si="12"/>
        <v>cool</v>
      </c>
      <c r="C213" s="39">
        <f>IF(B213="heat",VLOOKUP($A213,WeightedSavings!$E$10:$K$81,2,FALSE),IF(B213="cool",VLOOKUP($A213,WeightedSavings!$E$10:$K$81,3,FALSE),IF(B213="DHW",VLOOKUP($A213,WeightedSavings!$E$10:$K$81,4,FALSE),0)))</f>
        <v>381.6730038571427</v>
      </c>
      <c r="D213" s="39">
        <f t="shared" si="13"/>
        <v>20</v>
      </c>
      <c r="E213" s="256">
        <f>IF(B213="heat",VLOOKUP(A213,WeightedSavings!$E$10:$K$81,5,FALSE), IF(B213="cool",0, IF(B213="DHW",VLOOKUP(A213,WeightedSavings!$E$10:K286,6,FALSE))))</f>
        <v>0</v>
      </c>
      <c r="F213" s="39"/>
      <c r="G213" s="257" t="str">
        <f t="shared" si="11"/>
        <v>ResCACPNW</v>
      </c>
      <c r="H213" s="39">
        <f>IF(B213="heat",VLOOKUP($A213,WeightedSavings!$E$10:$K$81,5,FALSE),0)</f>
        <v>0</v>
      </c>
      <c r="I213" s="34"/>
      <c r="J213" s="34"/>
      <c r="K213" s="34"/>
      <c r="L213" s="34"/>
      <c r="M213" s="34"/>
      <c r="N213" s="34"/>
      <c r="O213" s="34"/>
      <c r="P213" s="34"/>
      <c r="Q213" s="34"/>
      <c r="R213" s="34"/>
      <c r="S213" s="34"/>
      <c r="T213" s="34"/>
      <c r="U213" s="34"/>
      <c r="V213" s="34"/>
      <c r="W213" s="34"/>
      <c r="X213" s="34"/>
      <c r="Y213" s="34"/>
      <c r="Z213" s="34"/>
      <c r="AA213" s="34"/>
      <c r="AB213" s="34"/>
      <c r="AC213" s="34"/>
      <c r="AD213" s="34"/>
      <c r="AE213" s="34"/>
      <c r="AF213" s="34"/>
      <c r="AG213" s="34"/>
      <c r="AH213" s="34"/>
      <c r="AI213" s="34"/>
      <c r="AJ213" s="34"/>
      <c r="AK213" s="34"/>
      <c r="AL213" s="34"/>
      <c r="AM213" s="34"/>
      <c r="AN213" s="34"/>
      <c r="AO213" s="34"/>
      <c r="AP213" s="34"/>
      <c r="AQ213" s="34"/>
      <c r="AR213" s="34"/>
      <c r="AS213" s="34"/>
      <c r="AT213" s="34"/>
      <c r="AU213" s="34"/>
      <c r="AV213" s="34"/>
      <c r="AW213" s="34"/>
      <c r="AX213" s="34"/>
      <c r="AY213" s="34"/>
      <c r="AZ213" s="34"/>
      <c r="BA213" s="34"/>
      <c r="BB213" s="34"/>
      <c r="BC213" s="34"/>
      <c r="BD213" s="34"/>
      <c r="BE213" s="34"/>
      <c r="BF213" s="34"/>
      <c r="BG213" s="34"/>
      <c r="BH213" s="34"/>
      <c r="BI213" s="34"/>
      <c r="BJ213" s="34"/>
      <c r="BK213" s="34"/>
      <c r="BL213" s="34"/>
      <c r="BM213" s="34"/>
      <c r="BN213" s="34"/>
      <c r="BO213" s="34"/>
      <c r="BP213" s="34"/>
      <c r="BQ213" s="34"/>
      <c r="BR213" s="34"/>
      <c r="BS213" s="34"/>
      <c r="BT213" s="34"/>
      <c r="BU213" s="34"/>
      <c r="BV213" s="34"/>
      <c r="BW213" s="34"/>
      <c r="BX213" s="34"/>
      <c r="BY213" s="34"/>
      <c r="BZ213" s="34"/>
      <c r="CA213" s="34"/>
      <c r="CB213" s="34"/>
      <c r="CC213" s="34"/>
      <c r="CD213" s="34"/>
      <c r="CE213" s="34"/>
      <c r="CF213" s="34"/>
      <c r="CG213" s="34"/>
      <c r="CH213" s="34"/>
      <c r="CI213" s="34"/>
      <c r="CJ213" s="34"/>
      <c r="CK213" s="34"/>
      <c r="CL213" s="34"/>
      <c r="CM213" s="34"/>
      <c r="CN213" s="34"/>
      <c r="CO213" s="34"/>
      <c r="CP213" s="34"/>
      <c r="CQ213" s="34"/>
      <c r="CR213" s="34"/>
      <c r="CS213" s="34"/>
      <c r="CT213" s="34"/>
      <c r="CU213" s="34"/>
      <c r="CV213" s="34"/>
      <c r="CW213" s="34"/>
    </row>
    <row r="214" spans="1:101" ht="25.5">
      <c r="A214" s="255" t="str">
        <f>INDEX(WeightedSavings!$E$10:$E$81,FLOOR((ROW(A209))/3,1))</f>
        <v>Ground Source Heat Pump Upgrade from Air Source Heat Pump - With Desuperheater - Existing House 4000 square feet or greater - Heating Zone 2 - Cooling Zone 3</v>
      </c>
      <c r="B214" s="255" t="str">
        <f t="shared" si="12"/>
        <v>dhw</v>
      </c>
      <c r="C214" s="39">
        <f>IF(B214="heat",VLOOKUP($A214,WeightedSavings!$E$10:$K$81,2,FALSE),IF(B214="cool",VLOOKUP($A214,WeightedSavings!$E$10:$K$81,3,FALSE),IF(B214="DHW",VLOOKUP($A214,WeightedSavings!$E$10:$K$81,4,FALSE),0)))</f>
        <v>2215.71985425</v>
      </c>
      <c r="D214" s="39">
        <f t="shared" si="13"/>
        <v>20</v>
      </c>
      <c r="E214" s="256">
        <f>IF(B214="heat",VLOOKUP(A214,WeightedSavings!$E$10:$K$81,5,FALSE), IF(B214="cool",0, IF(B214="DHW",VLOOKUP(A214,WeightedSavings!$E$10:K287,6,FALSE))))</f>
        <v>13713.364000000003</v>
      </c>
      <c r="F214" s="39"/>
      <c r="G214" s="257" t="str">
        <f t="shared" si="11"/>
        <v>ResDHW</v>
      </c>
      <c r="H214" s="39">
        <f>IF(B214="heat",VLOOKUP($A214,WeightedSavings!$E$10:$K$81,5,FALSE),0)</f>
        <v>0</v>
      </c>
      <c r="I214" s="34"/>
      <c r="J214" s="34"/>
      <c r="K214" s="34"/>
      <c r="L214" s="34"/>
      <c r="M214" s="34"/>
      <c r="N214" s="34"/>
      <c r="O214" s="34"/>
      <c r="P214" s="34"/>
      <c r="Q214" s="34"/>
      <c r="R214" s="34"/>
      <c r="S214" s="34"/>
      <c r="T214" s="34"/>
      <c r="U214" s="34"/>
      <c r="V214" s="34"/>
      <c r="W214" s="34"/>
      <c r="X214" s="34"/>
      <c r="Y214" s="34"/>
      <c r="Z214" s="34"/>
      <c r="AA214" s="34"/>
      <c r="AB214" s="34"/>
      <c r="AC214" s="34"/>
      <c r="AD214" s="34"/>
      <c r="AE214" s="34"/>
      <c r="AF214" s="34"/>
      <c r="AG214" s="34"/>
      <c r="AH214" s="34"/>
      <c r="AI214" s="34"/>
      <c r="AJ214" s="34"/>
      <c r="AK214" s="34"/>
      <c r="AL214" s="34"/>
      <c r="AM214" s="34"/>
      <c r="AN214" s="34"/>
      <c r="AO214" s="34"/>
      <c r="AP214" s="34"/>
      <c r="AQ214" s="34"/>
      <c r="AR214" s="34"/>
      <c r="AS214" s="34"/>
      <c r="AT214" s="34"/>
      <c r="AU214" s="34"/>
      <c r="AV214" s="34"/>
      <c r="AW214" s="34"/>
      <c r="AX214" s="34"/>
      <c r="AY214" s="34"/>
      <c r="AZ214" s="34"/>
      <c r="BA214" s="34"/>
      <c r="BB214" s="34"/>
      <c r="BC214" s="34"/>
      <c r="BD214" s="34"/>
      <c r="BE214" s="34"/>
      <c r="BF214" s="34"/>
      <c r="BG214" s="34"/>
      <c r="BH214" s="34"/>
      <c r="BI214" s="34"/>
      <c r="BJ214" s="34"/>
      <c r="BK214" s="34"/>
      <c r="BL214" s="34"/>
      <c r="BM214" s="34"/>
      <c r="BN214" s="34"/>
      <c r="BO214" s="34"/>
      <c r="BP214" s="34"/>
      <c r="BQ214" s="34"/>
      <c r="BR214" s="34"/>
      <c r="BS214" s="34"/>
      <c r="BT214" s="34"/>
      <c r="BU214" s="34"/>
      <c r="BV214" s="34"/>
      <c r="BW214" s="34"/>
      <c r="BX214" s="34"/>
      <c r="BY214" s="34"/>
      <c r="BZ214" s="34"/>
      <c r="CA214" s="34"/>
      <c r="CB214" s="34"/>
      <c r="CC214" s="34"/>
      <c r="CD214" s="34"/>
      <c r="CE214" s="34"/>
      <c r="CF214" s="34"/>
      <c r="CG214" s="34"/>
      <c r="CH214" s="34"/>
      <c r="CI214" s="34"/>
      <c r="CJ214" s="34"/>
      <c r="CK214" s="34"/>
      <c r="CL214" s="34"/>
      <c r="CM214" s="34"/>
      <c r="CN214" s="34"/>
      <c r="CO214" s="34"/>
      <c r="CP214" s="34"/>
      <c r="CQ214" s="34"/>
      <c r="CR214" s="34"/>
      <c r="CS214" s="34"/>
      <c r="CT214" s="34"/>
      <c r="CU214" s="34"/>
      <c r="CV214" s="34"/>
      <c r="CW214" s="34"/>
    </row>
    <row r="215" spans="1:101" ht="25.5">
      <c r="A215" s="255" t="str">
        <f>INDEX(WeightedSavings!$E$10:$E$81,FLOOR((ROW(A210))/3,1))</f>
        <v>Ground Source Heat Pump Upgrade from Air Source Heat Pump - With Desuperheater - Existing House 4000 square feet or greater - Heating Zone 3 - Cooling Zone 1</v>
      </c>
      <c r="B215" s="255" t="str">
        <f t="shared" si="12"/>
        <v>heat</v>
      </c>
      <c r="C215" s="39">
        <f>IF(B215="heat",VLOOKUP($A215,WeightedSavings!$E$10:$K$81,2,FALSE),IF(B215="cool",VLOOKUP($A215,WeightedSavings!$E$10:$K$81,3,FALSE),IF(B215="DHW",VLOOKUP($A215,WeightedSavings!$E$10:$K$81,4,FALSE),0)))</f>
        <v>4148.3847787312352</v>
      </c>
      <c r="D215" s="39">
        <f t="shared" si="13"/>
        <v>20</v>
      </c>
      <c r="E215" s="256">
        <f>IF(B215="heat",VLOOKUP(A215,WeightedSavings!$E$10:$K$81,5,FALSE), IF(B215="cool",0, IF(B215="DHW",VLOOKUP(A215,WeightedSavings!$E$10:K288,6,FALSE))))</f>
        <v>99.587710055462708</v>
      </c>
      <c r="F215" s="39"/>
      <c r="G215" s="257" t="str">
        <f t="shared" si="11"/>
        <v>ResSpHtHPZ3</v>
      </c>
      <c r="H215" s="39">
        <f>IF(B215="heat",VLOOKUP($A215,WeightedSavings!$E$10:$K$81,5,FALSE),0)</f>
        <v>99.587710055462708</v>
      </c>
      <c r="I215" s="34"/>
      <c r="J215" s="34"/>
      <c r="K215" s="34"/>
      <c r="L215" s="34"/>
      <c r="M215" s="34"/>
      <c r="N215" s="34"/>
      <c r="O215" s="34"/>
      <c r="P215" s="34"/>
      <c r="Q215" s="34"/>
      <c r="R215" s="34"/>
      <c r="S215" s="34"/>
      <c r="T215" s="34"/>
      <c r="U215" s="34"/>
      <c r="V215" s="34"/>
      <c r="W215" s="34"/>
      <c r="X215" s="34"/>
      <c r="Y215" s="34"/>
      <c r="Z215" s="34"/>
      <c r="AA215" s="34"/>
      <c r="AB215" s="34"/>
      <c r="AC215" s="34"/>
      <c r="AD215" s="34"/>
      <c r="AE215" s="34"/>
      <c r="AF215" s="34"/>
      <c r="AG215" s="34"/>
      <c r="AH215" s="34"/>
      <c r="AI215" s="34"/>
      <c r="AJ215" s="34"/>
      <c r="AK215" s="34"/>
      <c r="AL215" s="34"/>
      <c r="AM215" s="34"/>
      <c r="AN215" s="34"/>
      <c r="AO215" s="34"/>
      <c r="AP215" s="34"/>
      <c r="AQ215" s="34"/>
      <c r="AR215" s="34"/>
      <c r="AS215" s="34"/>
      <c r="AT215" s="34"/>
      <c r="AU215" s="34"/>
      <c r="AV215" s="34"/>
      <c r="AW215" s="34"/>
      <c r="AX215" s="34"/>
      <c r="AY215" s="34"/>
      <c r="AZ215" s="34"/>
      <c r="BA215" s="34"/>
      <c r="BB215" s="34"/>
      <c r="BC215" s="34"/>
      <c r="BD215" s="34"/>
      <c r="BE215" s="34"/>
      <c r="BF215" s="34"/>
      <c r="BG215" s="34"/>
      <c r="BH215" s="34"/>
      <c r="BI215" s="34"/>
      <c r="BJ215" s="34"/>
      <c r="BK215" s="34"/>
      <c r="BL215" s="34"/>
      <c r="BM215" s="34"/>
      <c r="BN215" s="34"/>
      <c r="BO215" s="34"/>
      <c r="BP215" s="34"/>
      <c r="BQ215" s="34"/>
      <c r="BR215" s="34"/>
      <c r="BS215" s="34"/>
      <c r="BT215" s="34"/>
      <c r="BU215" s="34"/>
      <c r="BV215" s="34"/>
      <c r="BW215" s="34"/>
      <c r="BX215" s="34"/>
      <c r="BY215" s="34"/>
      <c r="BZ215" s="34"/>
      <c r="CA215" s="34"/>
      <c r="CB215" s="34"/>
      <c r="CC215" s="34"/>
      <c r="CD215" s="34"/>
      <c r="CE215" s="34"/>
      <c r="CF215" s="34"/>
      <c r="CG215" s="34"/>
      <c r="CH215" s="34"/>
      <c r="CI215" s="34"/>
      <c r="CJ215" s="34"/>
      <c r="CK215" s="34"/>
      <c r="CL215" s="34"/>
      <c r="CM215" s="34"/>
      <c r="CN215" s="34"/>
      <c r="CO215" s="34"/>
      <c r="CP215" s="34"/>
      <c r="CQ215" s="34"/>
      <c r="CR215" s="34"/>
      <c r="CS215" s="34"/>
      <c r="CT215" s="34"/>
      <c r="CU215" s="34"/>
      <c r="CV215" s="34"/>
      <c r="CW215" s="34"/>
    </row>
    <row r="216" spans="1:101" ht="25.5">
      <c r="A216" s="255" t="str">
        <f>INDEX(WeightedSavings!$E$10:$E$81,FLOOR((ROW(A211))/3,1))</f>
        <v>Ground Source Heat Pump Upgrade from Air Source Heat Pump - With Desuperheater - Existing House 4000 square feet or greater - Heating Zone 3 - Cooling Zone 1</v>
      </c>
      <c r="B216" s="255" t="str">
        <f t="shared" si="12"/>
        <v>cool</v>
      </c>
      <c r="C216" s="39">
        <f>IF(B216="heat",VLOOKUP($A216,WeightedSavings!$E$10:$K$81,2,FALSE),IF(B216="cool",VLOOKUP($A216,WeightedSavings!$E$10:$K$81,3,FALSE),IF(B216="DHW",VLOOKUP($A216,WeightedSavings!$E$10:$K$81,4,FALSE),0)))</f>
        <v>61.380484749999994</v>
      </c>
      <c r="D216" s="39">
        <f t="shared" si="13"/>
        <v>20</v>
      </c>
      <c r="E216" s="256">
        <f>IF(B216="heat",VLOOKUP(A216,WeightedSavings!$E$10:$K$81,5,FALSE), IF(B216="cool",0, IF(B216="DHW",VLOOKUP(A216,WeightedSavings!$E$10:K289,6,FALSE))))</f>
        <v>0</v>
      </c>
      <c r="F216" s="39"/>
      <c r="G216" s="257" t="str">
        <f t="shared" si="11"/>
        <v>ResCACPNW</v>
      </c>
      <c r="H216" s="39">
        <f>IF(B216="heat",VLOOKUP($A216,WeightedSavings!$E$10:$K$81,5,FALSE),0)</f>
        <v>0</v>
      </c>
      <c r="I216" s="34"/>
      <c r="J216" s="34"/>
      <c r="K216" s="34"/>
      <c r="L216" s="34"/>
      <c r="M216" s="34"/>
      <c r="N216" s="34"/>
      <c r="O216" s="34"/>
      <c r="P216" s="34"/>
      <c r="Q216" s="34"/>
      <c r="R216" s="34"/>
      <c r="S216" s="34"/>
      <c r="T216" s="34"/>
      <c r="U216" s="34"/>
      <c r="V216" s="34"/>
      <c r="W216" s="34"/>
      <c r="X216" s="34"/>
      <c r="Y216" s="34"/>
      <c r="Z216" s="34"/>
      <c r="AA216" s="34"/>
      <c r="AB216" s="34"/>
      <c r="AC216" s="34"/>
      <c r="AD216" s="34"/>
      <c r="AE216" s="34"/>
      <c r="AF216" s="34"/>
      <c r="AG216" s="34"/>
      <c r="AH216" s="34"/>
      <c r="AI216" s="34"/>
      <c r="AJ216" s="34"/>
      <c r="AK216" s="34"/>
      <c r="AL216" s="34"/>
      <c r="AM216" s="34"/>
      <c r="AN216" s="34"/>
      <c r="AO216" s="34"/>
      <c r="AP216" s="34"/>
      <c r="AQ216" s="34"/>
      <c r="AR216" s="34"/>
      <c r="AS216" s="34"/>
      <c r="AT216" s="34"/>
      <c r="AU216" s="34"/>
      <c r="AV216" s="34"/>
      <c r="AW216" s="34"/>
      <c r="AX216" s="34"/>
      <c r="AY216" s="34"/>
      <c r="AZ216" s="34"/>
      <c r="BA216" s="34"/>
      <c r="BB216" s="34"/>
      <c r="BC216" s="34"/>
      <c r="BD216" s="34"/>
      <c r="BE216" s="34"/>
      <c r="BF216" s="34"/>
      <c r="BG216" s="34"/>
      <c r="BH216" s="34"/>
      <c r="BI216" s="34"/>
      <c r="BJ216" s="34"/>
      <c r="BK216" s="34"/>
      <c r="BL216" s="34"/>
      <c r="BM216" s="34"/>
      <c r="BN216" s="34"/>
      <c r="BO216" s="34"/>
      <c r="BP216" s="34"/>
      <c r="BQ216" s="34"/>
      <c r="BR216" s="34"/>
      <c r="BS216" s="34"/>
      <c r="BT216" s="34"/>
      <c r="BU216" s="34"/>
      <c r="BV216" s="34"/>
      <c r="BW216" s="34"/>
      <c r="BX216" s="34"/>
      <c r="BY216" s="34"/>
      <c r="BZ216" s="34"/>
      <c r="CA216" s="34"/>
      <c r="CB216" s="34"/>
      <c r="CC216" s="34"/>
      <c r="CD216" s="34"/>
      <c r="CE216" s="34"/>
      <c r="CF216" s="34"/>
      <c r="CG216" s="34"/>
      <c r="CH216" s="34"/>
      <c r="CI216" s="34"/>
      <c r="CJ216" s="34"/>
      <c r="CK216" s="34"/>
      <c r="CL216" s="34"/>
      <c r="CM216" s="34"/>
      <c r="CN216" s="34"/>
      <c r="CO216" s="34"/>
      <c r="CP216" s="34"/>
      <c r="CQ216" s="34"/>
      <c r="CR216" s="34"/>
      <c r="CS216" s="34"/>
      <c r="CT216" s="34"/>
      <c r="CU216" s="34"/>
      <c r="CV216" s="34"/>
      <c r="CW216" s="34"/>
    </row>
    <row r="217" spans="1:101" ht="25.5">
      <c r="A217" s="255" t="str">
        <f>INDEX(WeightedSavings!$E$10:$E$81,FLOOR((ROW(A212))/3,1))</f>
        <v>Ground Source Heat Pump Upgrade from Air Source Heat Pump - With Desuperheater - Existing House 4000 square feet or greater - Heating Zone 3 - Cooling Zone 1</v>
      </c>
      <c r="B217" s="255" t="str">
        <f t="shared" si="12"/>
        <v>dhw</v>
      </c>
      <c r="C217" s="39">
        <f>IF(B217="heat",VLOOKUP($A217,WeightedSavings!$E$10:$K$81,2,FALSE),IF(B217="cool",VLOOKUP($A217,WeightedSavings!$E$10:$K$81,3,FALSE),IF(B217="DHW",VLOOKUP($A217,WeightedSavings!$E$10:$K$81,4,FALSE),0)))</f>
        <v>2533.68478125</v>
      </c>
      <c r="D217" s="39">
        <f t="shared" si="13"/>
        <v>20</v>
      </c>
      <c r="E217" s="256">
        <f>IF(B217="heat",VLOOKUP(A217,WeightedSavings!$E$10:$K$81,5,FALSE), IF(B217="cool",0, IF(B217="DHW",VLOOKUP(A217,WeightedSavings!$E$10:K290,6,FALSE))))</f>
        <v>22392.255000000005</v>
      </c>
      <c r="F217" s="39"/>
      <c r="G217" s="257" t="str">
        <f t="shared" si="11"/>
        <v>ResDHW</v>
      </c>
      <c r="H217" s="39">
        <f>IF(B217="heat",VLOOKUP($A217,WeightedSavings!$E$10:$K$81,5,FALSE),0)</f>
        <v>0</v>
      </c>
      <c r="I217" s="34"/>
      <c r="J217" s="34"/>
      <c r="K217" s="34"/>
      <c r="L217" s="34"/>
      <c r="M217" s="34"/>
      <c r="N217" s="34"/>
      <c r="O217" s="34"/>
      <c r="P217" s="34"/>
      <c r="Q217" s="34"/>
      <c r="R217" s="34"/>
      <c r="S217" s="34"/>
      <c r="T217" s="34"/>
      <c r="U217" s="34"/>
      <c r="V217" s="34"/>
      <c r="W217" s="34"/>
      <c r="X217" s="34"/>
      <c r="Y217" s="34"/>
      <c r="Z217" s="34"/>
      <c r="AA217" s="34"/>
      <c r="AB217" s="34"/>
      <c r="AC217" s="34"/>
      <c r="AD217" s="34"/>
      <c r="AE217" s="34"/>
      <c r="AF217" s="34"/>
      <c r="AG217" s="34"/>
      <c r="AH217" s="34"/>
      <c r="AI217" s="34"/>
      <c r="AJ217" s="34"/>
      <c r="AK217" s="34"/>
      <c r="AL217" s="34"/>
      <c r="AM217" s="34"/>
      <c r="AN217" s="34"/>
      <c r="AO217" s="34"/>
      <c r="AP217" s="34"/>
      <c r="AQ217" s="34"/>
      <c r="AR217" s="34"/>
      <c r="AS217" s="34"/>
      <c r="AT217" s="34"/>
      <c r="AU217" s="34"/>
      <c r="AV217" s="34"/>
      <c r="AW217" s="34"/>
      <c r="AX217" s="34"/>
      <c r="AY217" s="34"/>
      <c r="AZ217" s="34"/>
      <c r="BA217" s="34"/>
      <c r="BB217" s="34"/>
      <c r="BC217" s="34"/>
      <c r="BD217" s="34"/>
      <c r="BE217" s="34"/>
      <c r="BF217" s="34"/>
      <c r="BG217" s="34"/>
      <c r="BH217" s="34"/>
      <c r="BI217" s="34"/>
      <c r="BJ217" s="34"/>
      <c r="BK217" s="34"/>
      <c r="BL217" s="34"/>
      <c r="BM217" s="34"/>
      <c r="BN217" s="34"/>
      <c r="BO217" s="34"/>
      <c r="BP217" s="34"/>
      <c r="BQ217" s="34"/>
      <c r="BR217" s="34"/>
      <c r="BS217" s="34"/>
      <c r="BT217" s="34"/>
      <c r="BU217" s="34"/>
      <c r="BV217" s="34"/>
      <c r="BW217" s="34"/>
      <c r="BX217" s="34"/>
      <c r="BY217" s="34"/>
      <c r="BZ217" s="34"/>
      <c r="CA217" s="34"/>
      <c r="CB217" s="34"/>
      <c r="CC217" s="34"/>
      <c r="CD217" s="34"/>
      <c r="CE217" s="34"/>
      <c r="CF217" s="34"/>
      <c r="CG217" s="34"/>
      <c r="CH217" s="34"/>
      <c r="CI217" s="34"/>
      <c r="CJ217" s="34"/>
      <c r="CK217" s="34"/>
      <c r="CL217" s="34"/>
      <c r="CM217" s="34"/>
      <c r="CN217" s="34"/>
      <c r="CO217" s="34"/>
      <c r="CP217" s="34"/>
      <c r="CQ217" s="34"/>
      <c r="CR217" s="34"/>
      <c r="CS217" s="34"/>
      <c r="CT217" s="34"/>
      <c r="CU217" s="34"/>
      <c r="CV217" s="34"/>
      <c r="CW217" s="34"/>
    </row>
    <row r="218" spans="1:101" ht="25.5">
      <c r="A218" s="255" t="str">
        <f>INDEX(WeightedSavings!$E$10:$E$81,FLOOR((ROW(A213))/3,1))</f>
        <v>Ground Source Heat Pump Upgrade from Air Source Heat Pump - With Desuperheater - Existing House 4000 square feet or greater - Heating Zone 3 - Cooling Zone 2</v>
      </c>
      <c r="B218" s="255" t="str">
        <f t="shared" si="12"/>
        <v>heat</v>
      </c>
      <c r="C218" s="39">
        <f>IF(B218="heat",VLOOKUP($A218,WeightedSavings!$E$10:$K$81,2,FALSE),IF(B218="cool",VLOOKUP($A218,WeightedSavings!$E$10:$K$81,3,FALSE),IF(B218="DHW",VLOOKUP($A218,WeightedSavings!$E$10:$K$81,4,FALSE),0)))</f>
        <v>4148.3847787312352</v>
      </c>
      <c r="D218" s="39">
        <f t="shared" si="13"/>
        <v>20</v>
      </c>
      <c r="E218" s="256">
        <f>IF(B218="heat",VLOOKUP(A218,WeightedSavings!$E$10:$K$81,5,FALSE), IF(B218="cool",0, IF(B218="DHW",VLOOKUP(A218,WeightedSavings!$E$10:K291,6,FALSE))))</f>
        <v>99.587710055462708</v>
      </c>
      <c r="F218" s="39"/>
      <c r="G218" s="257" t="str">
        <f t="shared" si="11"/>
        <v>ResSpHtHPZ3</v>
      </c>
      <c r="H218" s="39">
        <f>IF(B218="heat",VLOOKUP($A218,WeightedSavings!$E$10:$K$81,5,FALSE),0)</f>
        <v>99.587710055462708</v>
      </c>
      <c r="I218" s="34"/>
      <c r="J218" s="34"/>
      <c r="K218" s="34"/>
      <c r="L218" s="34"/>
      <c r="M218" s="34"/>
      <c r="N218" s="34"/>
      <c r="O218" s="34"/>
      <c r="P218" s="34"/>
      <c r="Q218" s="34"/>
      <c r="R218" s="34"/>
      <c r="S218" s="34"/>
      <c r="T218" s="34"/>
      <c r="U218" s="34"/>
      <c r="V218" s="34"/>
      <c r="W218" s="34"/>
      <c r="X218" s="34"/>
      <c r="Y218" s="34"/>
      <c r="Z218" s="34"/>
      <c r="AA218" s="34"/>
      <c r="AB218" s="34"/>
      <c r="AC218" s="34"/>
      <c r="AD218" s="34"/>
      <c r="AE218" s="34"/>
      <c r="AF218" s="34"/>
      <c r="AG218" s="34"/>
      <c r="AH218" s="34"/>
      <c r="AI218" s="34"/>
      <c r="AJ218" s="34"/>
      <c r="AK218" s="34"/>
      <c r="AL218" s="34"/>
      <c r="AM218" s="34"/>
      <c r="AN218" s="34"/>
      <c r="AO218" s="34"/>
      <c r="AP218" s="34"/>
      <c r="AQ218" s="34"/>
      <c r="AR218" s="34"/>
      <c r="AS218" s="34"/>
      <c r="AT218" s="34"/>
      <c r="AU218" s="34"/>
      <c r="AV218" s="34"/>
      <c r="AW218" s="34"/>
      <c r="AX218" s="34"/>
      <c r="AY218" s="34"/>
      <c r="AZ218" s="34"/>
      <c r="BA218" s="34"/>
      <c r="BB218" s="34"/>
      <c r="BC218" s="34"/>
      <c r="BD218" s="34"/>
      <c r="BE218" s="34"/>
      <c r="BF218" s="34"/>
      <c r="BG218" s="34"/>
      <c r="BH218" s="34"/>
      <c r="BI218" s="34"/>
      <c r="BJ218" s="34"/>
      <c r="BK218" s="34"/>
      <c r="BL218" s="34"/>
      <c r="BM218" s="34"/>
      <c r="BN218" s="34"/>
      <c r="BO218" s="34"/>
      <c r="BP218" s="34"/>
      <c r="BQ218" s="34"/>
      <c r="BR218" s="34"/>
      <c r="BS218" s="34"/>
      <c r="BT218" s="34"/>
      <c r="BU218" s="34"/>
      <c r="BV218" s="34"/>
      <c r="BW218" s="34"/>
      <c r="BX218" s="34"/>
      <c r="BY218" s="34"/>
      <c r="BZ218" s="34"/>
      <c r="CA218" s="34"/>
      <c r="CB218" s="34"/>
      <c r="CC218" s="34"/>
      <c r="CD218" s="34"/>
      <c r="CE218" s="34"/>
      <c r="CF218" s="34"/>
      <c r="CG218" s="34"/>
      <c r="CH218" s="34"/>
      <c r="CI218" s="34"/>
      <c r="CJ218" s="34"/>
      <c r="CK218" s="34"/>
      <c r="CL218" s="34"/>
      <c r="CM218" s="34"/>
      <c r="CN218" s="34"/>
      <c r="CO218" s="34"/>
      <c r="CP218" s="34"/>
      <c r="CQ218" s="34"/>
      <c r="CR218" s="34"/>
      <c r="CS218" s="34"/>
      <c r="CT218" s="34"/>
      <c r="CU218" s="34"/>
      <c r="CV218" s="34"/>
      <c r="CW218" s="34"/>
    </row>
    <row r="219" spans="1:101" ht="25.5">
      <c r="A219" s="255" t="str">
        <f>INDEX(WeightedSavings!$E$10:$E$81,FLOOR((ROW(A214))/3,1))</f>
        <v>Ground Source Heat Pump Upgrade from Air Source Heat Pump - With Desuperheater - Existing House 4000 square feet or greater - Heating Zone 3 - Cooling Zone 2</v>
      </c>
      <c r="B219" s="255" t="str">
        <f t="shared" si="12"/>
        <v>cool</v>
      </c>
      <c r="C219" s="39">
        <f>IF(B219="heat",VLOOKUP($A219,WeightedSavings!$E$10:$K$81,2,FALSE),IF(B219="cool",VLOOKUP($A219,WeightedSavings!$E$10:$K$81,3,FALSE),IF(B219="DHW",VLOOKUP($A219,WeightedSavings!$E$10:$K$81,4,FALSE),0)))</f>
        <v>181.79869203571423</v>
      </c>
      <c r="D219" s="39">
        <f t="shared" si="13"/>
        <v>20</v>
      </c>
      <c r="E219" s="256">
        <f>IF(B219="heat",VLOOKUP(A219,WeightedSavings!$E$10:$K$81,5,FALSE), IF(B219="cool",0, IF(B219="DHW",VLOOKUP(A219,WeightedSavings!$E$10:K292,6,FALSE))))</f>
        <v>0</v>
      </c>
      <c r="F219" s="39"/>
      <c r="G219" s="257" t="str">
        <f t="shared" si="11"/>
        <v>ResCACPNW</v>
      </c>
      <c r="H219" s="39">
        <f>IF(B219="heat",VLOOKUP($A219,WeightedSavings!$E$10:$K$81,5,FALSE),0)</f>
        <v>0</v>
      </c>
      <c r="I219" s="34"/>
      <c r="J219" s="34"/>
      <c r="K219" s="34"/>
      <c r="L219" s="34"/>
      <c r="M219" s="34"/>
      <c r="N219" s="34"/>
      <c r="O219" s="34"/>
      <c r="P219" s="34"/>
      <c r="Q219" s="34"/>
      <c r="R219" s="34"/>
      <c r="S219" s="34"/>
      <c r="T219" s="34"/>
      <c r="U219" s="34"/>
      <c r="V219" s="34"/>
      <c r="W219" s="34"/>
      <c r="X219" s="34"/>
      <c r="Y219" s="34"/>
      <c r="Z219" s="34"/>
      <c r="AA219" s="34"/>
      <c r="AB219" s="34"/>
      <c r="AC219" s="34"/>
      <c r="AD219" s="34"/>
      <c r="AE219" s="34"/>
      <c r="AF219" s="34"/>
      <c r="AG219" s="34"/>
      <c r="AH219" s="34"/>
      <c r="AI219" s="34"/>
      <c r="AJ219" s="34"/>
      <c r="AK219" s="34"/>
      <c r="AL219" s="34"/>
      <c r="AM219" s="34"/>
      <c r="AN219" s="34"/>
      <c r="AO219" s="34"/>
      <c r="AP219" s="34"/>
      <c r="AQ219" s="34"/>
      <c r="AR219" s="34"/>
      <c r="AS219" s="34"/>
      <c r="AT219" s="34"/>
      <c r="AU219" s="34"/>
      <c r="AV219" s="34"/>
      <c r="AW219" s="34"/>
      <c r="AX219" s="34"/>
      <c r="AY219" s="34"/>
      <c r="AZ219" s="34"/>
      <c r="BA219" s="34"/>
      <c r="BB219" s="34"/>
      <c r="BC219" s="34"/>
      <c r="BD219" s="34"/>
      <c r="BE219" s="34"/>
      <c r="BF219" s="34"/>
      <c r="BG219" s="34"/>
      <c r="BH219" s="34"/>
      <c r="BI219" s="34"/>
      <c r="BJ219" s="34"/>
      <c r="BK219" s="34"/>
      <c r="BL219" s="34"/>
      <c r="BM219" s="34"/>
      <c r="BN219" s="34"/>
      <c r="BO219" s="34"/>
      <c r="BP219" s="34"/>
      <c r="BQ219" s="34"/>
      <c r="BR219" s="34"/>
      <c r="BS219" s="34"/>
      <c r="BT219" s="34"/>
      <c r="BU219" s="34"/>
      <c r="BV219" s="34"/>
      <c r="BW219" s="34"/>
      <c r="BX219" s="34"/>
      <c r="BY219" s="34"/>
      <c r="BZ219" s="34"/>
      <c r="CA219" s="34"/>
      <c r="CB219" s="34"/>
      <c r="CC219" s="34"/>
      <c r="CD219" s="34"/>
      <c r="CE219" s="34"/>
      <c r="CF219" s="34"/>
      <c r="CG219" s="34"/>
      <c r="CH219" s="34"/>
      <c r="CI219" s="34"/>
      <c r="CJ219" s="34"/>
      <c r="CK219" s="34"/>
      <c r="CL219" s="34"/>
      <c r="CM219" s="34"/>
      <c r="CN219" s="34"/>
      <c r="CO219" s="34"/>
      <c r="CP219" s="34"/>
      <c r="CQ219" s="34"/>
      <c r="CR219" s="34"/>
      <c r="CS219" s="34"/>
      <c r="CT219" s="34"/>
      <c r="CU219" s="34"/>
      <c r="CV219" s="34"/>
      <c r="CW219" s="34"/>
    </row>
    <row r="220" spans="1:101" ht="25.5">
      <c r="A220" s="255" t="str">
        <f>INDEX(WeightedSavings!$E$10:$E$81,FLOOR((ROW(A215))/3,1))</f>
        <v>Ground Source Heat Pump Upgrade from Air Source Heat Pump - With Desuperheater - Existing House 4000 square feet or greater - Heating Zone 3 - Cooling Zone 2</v>
      </c>
      <c r="B220" s="255" t="str">
        <f t="shared" si="12"/>
        <v>dhw</v>
      </c>
      <c r="C220" s="39">
        <f>IF(B220="heat",VLOOKUP($A220,WeightedSavings!$E$10:$K$81,2,FALSE),IF(B220="cool",VLOOKUP($A220,WeightedSavings!$E$10:$K$81,3,FALSE),IF(B220="DHW",VLOOKUP($A220,WeightedSavings!$E$10:$K$81,4,FALSE),0)))</f>
        <v>2533.68478125</v>
      </c>
      <c r="D220" s="39">
        <f t="shared" si="13"/>
        <v>20</v>
      </c>
      <c r="E220" s="256">
        <f>IF(B220="heat",VLOOKUP(A220,WeightedSavings!$E$10:$K$81,5,FALSE), IF(B220="cool",0, IF(B220="DHW",VLOOKUP(A220,WeightedSavings!$E$10:K293,6,FALSE))))</f>
        <v>22392.255000000005</v>
      </c>
      <c r="F220" s="39"/>
      <c r="G220" s="257" t="str">
        <f t="shared" si="11"/>
        <v>ResDHW</v>
      </c>
      <c r="H220" s="39">
        <f>IF(B220="heat",VLOOKUP($A220,WeightedSavings!$E$10:$K$81,5,FALSE),0)</f>
        <v>0</v>
      </c>
      <c r="I220" s="34"/>
      <c r="J220" s="34"/>
      <c r="K220" s="34"/>
      <c r="L220" s="34"/>
      <c r="M220" s="34"/>
      <c r="N220" s="34"/>
      <c r="O220" s="34"/>
      <c r="P220" s="34"/>
      <c r="Q220" s="34"/>
      <c r="R220" s="34"/>
      <c r="S220" s="34"/>
      <c r="T220" s="34"/>
      <c r="U220" s="34"/>
      <c r="V220" s="34"/>
      <c r="W220" s="34"/>
      <c r="X220" s="34"/>
      <c r="Y220" s="34"/>
      <c r="Z220" s="34"/>
      <c r="AA220" s="34"/>
      <c r="AB220" s="34"/>
      <c r="AC220" s="34"/>
      <c r="AD220" s="34"/>
      <c r="AE220" s="34"/>
      <c r="AF220" s="34"/>
      <c r="AG220" s="34"/>
      <c r="AH220" s="34"/>
      <c r="AI220" s="34"/>
      <c r="AJ220" s="34"/>
      <c r="AK220" s="34"/>
      <c r="AL220" s="34"/>
      <c r="AM220" s="34"/>
      <c r="AN220" s="34"/>
      <c r="AO220" s="34"/>
      <c r="AP220" s="34"/>
      <c r="AQ220" s="34"/>
      <c r="AR220" s="34"/>
      <c r="AS220" s="34"/>
      <c r="AT220" s="34"/>
      <c r="AU220" s="34"/>
      <c r="AV220" s="34"/>
      <c r="AW220" s="34"/>
      <c r="AX220" s="34"/>
      <c r="AY220" s="34"/>
      <c r="AZ220" s="34"/>
      <c r="BA220" s="34"/>
      <c r="BB220" s="34"/>
      <c r="BC220" s="34"/>
      <c r="BD220" s="34"/>
      <c r="BE220" s="34"/>
      <c r="BF220" s="34"/>
      <c r="BG220" s="34"/>
      <c r="BH220" s="34"/>
      <c r="BI220" s="34"/>
      <c r="BJ220" s="34"/>
      <c r="BK220" s="34"/>
      <c r="BL220" s="34"/>
      <c r="BM220" s="34"/>
      <c r="BN220" s="34"/>
      <c r="BO220" s="34"/>
      <c r="BP220" s="34"/>
      <c r="BQ220" s="34"/>
      <c r="BR220" s="34"/>
      <c r="BS220" s="34"/>
      <c r="BT220" s="34"/>
      <c r="BU220" s="34"/>
      <c r="BV220" s="34"/>
      <c r="BW220" s="34"/>
      <c r="BX220" s="34"/>
      <c r="BY220" s="34"/>
      <c r="BZ220" s="34"/>
      <c r="CA220" s="34"/>
      <c r="CB220" s="34"/>
      <c r="CC220" s="34"/>
      <c r="CD220" s="34"/>
      <c r="CE220" s="34"/>
      <c r="CF220" s="34"/>
      <c r="CG220" s="34"/>
      <c r="CH220" s="34"/>
      <c r="CI220" s="34"/>
      <c r="CJ220" s="34"/>
      <c r="CK220" s="34"/>
      <c r="CL220" s="34"/>
      <c r="CM220" s="34"/>
      <c r="CN220" s="34"/>
      <c r="CO220" s="34"/>
      <c r="CP220" s="34"/>
      <c r="CQ220" s="34"/>
      <c r="CR220" s="34"/>
      <c r="CS220" s="34"/>
      <c r="CT220" s="34"/>
      <c r="CU220" s="34"/>
      <c r="CV220" s="34"/>
      <c r="CW220" s="34"/>
    </row>
    <row r="221" spans="1:101" ht="25.5">
      <c r="A221" s="255" t="str">
        <f>INDEX(WeightedSavings!$E$10:$E$81,FLOOR((ROW(A216))/3,1))</f>
        <v>Ground Source Heat Pump Upgrade from Air Source Heat Pump - With Desuperheater - Existing House 4000 square feet or greater - Heating Zone 3 - Cooling Zone 3</v>
      </c>
      <c r="B221" s="255" t="str">
        <f t="shared" si="12"/>
        <v>heat</v>
      </c>
      <c r="C221" s="39">
        <f>IF(B221="heat",VLOOKUP($A221,WeightedSavings!$E$10:$K$81,2,FALSE),IF(B221="cool",VLOOKUP($A221,WeightedSavings!$E$10:$K$81,3,FALSE),IF(B221="DHW",VLOOKUP($A221,WeightedSavings!$E$10:$K$81,4,FALSE),0)))</f>
        <v>4148.3847787312352</v>
      </c>
      <c r="D221" s="39">
        <f t="shared" si="13"/>
        <v>20</v>
      </c>
      <c r="E221" s="256">
        <f>IF(B221="heat",VLOOKUP(A221,WeightedSavings!$E$10:$K$81,5,FALSE), IF(B221="cool",0, IF(B221="DHW",VLOOKUP(A221,WeightedSavings!$E$10:K294,6,FALSE))))</f>
        <v>99.587710055462708</v>
      </c>
      <c r="F221" s="39"/>
      <c r="G221" s="257" t="str">
        <f t="shared" si="11"/>
        <v>ResSpHtHPZ3</v>
      </c>
      <c r="H221" s="39">
        <f>IF(B221="heat",VLOOKUP($A221,WeightedSavings!$E$10:$K$81,5,FALSE),0)</f>
        <v>99.587710055462708</v>
      </c>
      <c r="I221" s="34"/>
      <c r="J221" s="34"/>
      <c r="K221" s="34"/>
      <c r="L221" s="34"/>
      <c r="M221" s="34"/>
      <c r="N221" s="34"/>
      <c r="O221" s="34"/>
      <c r="P221" s="34"/>
      <c r="Q221" s="34"/>
      <c r="R221" s="34"/>
      <c r="S221" s="34"/>
      <c r="T221" s="34"/>
      <c r="U221" s="34"/>
      <c r="V221" s="34"/>
      <c r="W221" s="34"/>
      <c r="X221" s="34"/>
      <c r="Y221" s="34"/>
      <c r="Z221" s="34"/>
      <c r="AA221" s="34"/>
      <c r="AB221" s="34"/>
      <c r="AC221" s="34"/>
      <c r="AD221" s="34"/>
      <c r="AE221" s="34"/>
      <c r="AF221" s="34"/>
      <c r="AG221" s="34"/>
      <c r="AH221" s="34"/>
      <c r="AI221" s="34"/>
      <c r="AJ221" s="34"/>
      <c r="AK221" s="34"/>
      <c r="AL221" s="34"/>
      <c r="AM221" s="34"/>
      <c r="AN221" s="34"/>
      <c r="AO221" s="34"/>
      <c r="AP221" s="34"/>
      <c r="AQ221" s="34"/>
      <c r="AR221" s="34"/>
      <c r="AS221" s="34"/>
      <c r="AT221" s="34"/>
      <c r="AU221" s="34"/>
      <c r="AV221" s="34"/>
      <c r="AW221" s="34"/>
      <c r="AX221" s="34"/>
      <c r="AY221" s="34"/>
      <c r="AZ221" s="34"/>
      <c r="BA221" s="34"/>
      <c r="BB221" s="34"/>
      <c r="BC221" s="34"/>
      <c r="BD221" s="34"/>
      <c r="BE221" s="34"/>
      <c r="BF221" s="34"/>
      <c r="BG221" s="34"/>
      <c r="BH221" s="34"/>
      <c r="BI221" s="34"/>
      <c r="BJ221" s="34"/>
      <c r="BK221" s="34"/>
      <c r="BL221" s="34"/>
      <c r="BM221" s="34"/>
      <c r="BN221" s="34"/>
      <c r="BO221" s="34"/>
      <c r="BP221" s="34"/>
      <c r="BQ221" s="34"/>
      <c r="BR221" s="34"/>
      <c r="BS221" s="34"/>
      <c r="BT221" s="34"/>
      <c r="BU221" s="34"/>
      <c r="BV221" s="34"/>
      <c r="BW221" s="34"/>
      <c r="BX221" s="34"/>
      <c r="BY221" s="34"/>
      <c r="BZ221" s="34"/>
      <c r="CA221" s="34"/>
      <c r="CB221" s="34"/>
      <c r="CC221" s="34"/>
      <c r="CD221" s="34"/>
      <c r="CE221" s="34"/>
      <c r="CF221" s="34"/>
      <c r="CG221" s="34"/>
      <c r="CH221" s="34"/>
      <c r="CI221" s="34"/>
      <c r="CJ221" s="34"/>
      <c r="CK221" s="34"/>
      <c r="CL221" s="34"/>
      <c r="CM221" s="34"/>
      <c r="CN221" s="34"/>
      <c r="CO221" s="34"/>
      <c r="CP221" s="34"/>
      <c r="CQ221" s="34"/>
      <c r="CR221" s="34"/>
      <c r="CS221" s="34"/>
      <c r="CT221" s="34"/>
      <c r="CU221" s="34"/>
      <c r="CV221" s="34"/>
      <c r="CW221" s="34"/>
    </row>
    <row r="222" spans="1:101" ht="25.5">
      <c r="A222" s="255" t="str">
        <f>INDEX(WeightedSavings!$E$10:$E$81,FLOOR((ROW(A217))/3,1))</f>
        <v>Ground Source Heat Pump Upgrade from Air Source Heat Pump - With Desuperheater - Existing House 4000 square feet or greater - Heating Zone 3 - Cooling Zone 3</v>
      </c>
      <c r="B222" s="255" t="str">
        <f t="shared" si="12"/>
        <v>cool</v>
      </c>
      <c r="C222" s="39">
        <f>IF(B222="heat",VLOOKUP($A222,WeightedSavings!$E$10:$K$81,2,FALSE),IF(B222="cool",VLOOKUP($A222,WeightedSavings!$E$10:$K$81,3,FALSE),IF(B222="DHW",VLOOKUP($A222,WeightedSavings!$E$10:$K$81,4,FALSE),0)))</f>
        <v>381.6730038571427</v>
      </c>
      <c r="D222" s="39">
        <f t="shared" si="13"/>
        <v>20</v>
      </c>
      <c r="E222" s="256">
        <f>IF(B222="heat",VLOOKUP(A222,WeightedSavings!$E$10:$K$81,5,FALSE), IF(B222="cool",0, IF(B222="DHW",VLOOKUP(A222,WeightedSavings!$E$10:K295,6,FALSE))))</f>
        <v>0</v>
      </c>
      <c r="F222" s="39"/>
      <c r="G222" s="257" t="str">
        <f t="shared" si="11"/>
        <v>ResCACPNW</v>
      </c>
      <c r="H222" s="39">
        <f>IF(B222="heat",VLOOKUP($A222,WeightedSavings!$E$10:$K$81,5,FALSE),0)</f>
        <v>0</v>
      </c>
      <c r="I222" s="34"/>
      <c r="J222" s="34"/>
      <c r="K222" s="34"/>
      <c r="L222" s="34"/>
      <c r="M222" s="34"/>
      <c r="N222" s="34"/>
      <c r="O222" s="34"/>
      <c r="P222" s="34"/>
      <c r="Q222" s="34"/>
      <c r="R222" s="34"/>
      <c r="S222" s="34"/>
      <c r="T222" s="34"/>
      <c r="U222" s="34"/>
      <c r="V222" s="34"/>
      <c r="W222" s="34"/>
      <c r="X222" s="34"/>
      <c r="Y222" s="34"/>
      <c r="Z222" s="34"/>
      <c r="AA222" s="34"/>
      <c r="AB222" s="34"/>
      <c r="AC222" s="34"/>
      <c r="AD222" s="34"/>
      <c r="AE222" s="34"/>
      <c r="AF222" s="34"/>
      <c r="AG222" s="34"/>
      <c r="AH222" s="34"/>
      <c r="AI222" s="34"/>
      <c r="AJ222" s="34"/>
      <c r="AK222" s="34"/>
      <c r="AL222" s="34"/>
      <c r="AM222" s="34"/>
      <c r="AN222" s="34"/>
      <c r="AO222" s="34"/>
      <c r="AP222" s="34"/>
      <c r="AQ222" s="34"/>
      <c r="AR222" s="34"/>
      <c r="AS222" s="34"/>
      <c r="AT222" s="34"/>
      <c r="AU222" s="34"/>
      <c r="AV222" s="34"/>
      <c r="AW222" s="34"/>
      <c r="AX222" s="34"/>
      <c r="AY222" s="34"/>
      <c r="AZ222" s="34"/>
      <c r="BA222" s="34"/>
      <c r="BB222" s="34"/>
      <c r="BC222" s="34"/>
      <c r="BD222" s="34"/>
      <c r="BE222" s="34"/>
      <c r="BF222" s="34"/>
      <c r="BG222" s="34"/>
      <c r="BH222" s="34"/>
      <c r="BI222" s="34"/>
      <c r="BJ222" s="34"/>
      <c r="BK222" s="34"/>
      <c r="BL222" s="34"/>
      <c r="BM222" s="34"/>
      <c r="BN222" s="34"/>
      <c r="BO222" s="34"/>
      <c r="BP222" s="34"/>
      <c r="BQ222" s="34"/>
      <c r="BR222" s="34"/>
      <c r="BS222" s="34"/>
      <c r="BT222" s="34"/>
      <c r="BU222" s="34"/>
      <c r="BV222" s="34"/>
      <c r="BW222" s="34"/>
      <c r="BX222" s="34"/>
      <c r="BY222" s="34"/>
      <c r="BZ222" s="34"/>
      <c r="CA222" s="34"/>
      <c r="CB222" s="34"/>
      <c r="CC222" s="34"/>
      <c r="CD222" s="34"/>
      <c r="CE222" s="34"/>
      <c r="CF222" s="34"/>
      <c r="CG222" s="34"/>
      <c r="CH222" s="34"/>
      <c r="CI222" s="34"/>
      <c r="CJ222" s="34"/>
      <c r="CK222" s="34"/>
      <c r="CL222" s="34"/>
      <c r="CM222" s="34"/>
      <c r="CN222" s="34"/>
      <c r="CO222" s="34"/>
      <c r="CP222" s="34"/>
      <c r="CQ222" s="34"/>
      <c r="CR222" s="34"/>
      <c r="CS222" s="34"/>
      <c r="CT222" s="34"/>
      <c r="CU222" s="34"/>
      <c r="CV222" s="34"/>
      <c r="CW222" s="34"/>
    </row>
    <row r="223" spans="1:101" ht="25.5">
      <c r="A223" s="255" t="str">
        <f>INDEX(WeightedSavings!$E$10:$E$81,FLOOR((ROW(A218))/3,1))</f>
        <v>Ground Source Heat Pump Upgrade from Air Source Heat Pump - With Desuperheater - Existing House 4000 square feet or greater - Heating Zone 3 - Cooling Zone 3</v>
      </c>
      <c r="B223" s="255" t="str">
        <f t="shared" si="12"/>
        <v>dhw</v>
      </c>
      <c r="C223" s="39">
        <f>IF(B223="heat",VLOOKUP($A223,WeightedSavings!$E$10:$K$81,2,FALSE),IF(B223="cool",VLOOKUP($A223,WeightedSavings!$E$10:$K$81,3,FALSE),IF(B223="DHW",VLOOKUP($A223,WeightedSavings!$E$10:$K$81,4,FALSE),0)))</f>
        <v>2533.68478125</v>
      </c>
      <c r="D223" s="39">
        <f t="shared" si="13"/>
        <v>20</v>
      </c>
      <c r="E223" s="256">
        <f>IF(B223="heat",VLOOKUP(A223,WeightedSavings!$E$10:$K$81,5,FALSE), IF(B223="cool",0, IF(B223="DHW",VLOOKUP(A223,WeightedSavings!$E$10:K296,6,FALSE))))</f>
        <v>22392.255000000005</v>
      </c>
      <c r="F223" s="39"/>
      <c r="G223" s="257" t="str">
        <f t="shared" si="11"/>
        <v>ResDHW</v>
      </c>
      <c r="H223" s="39">
        <f>IF(B223="heat",VLOOKUP($A223,WeightedSavings!$E$10:$K$81,5,FALSE),0)</f>
        <v>0</v>
      </c>
      <c r="I223" s="34"/>
      <c r="J223" s="34"/>
      <c r="K223" s="34"/>
      <c r="L223" s="34"/>
      <c r="M223" s="34"/>
      <c r="N223" s="34"/>
      <c r="O223" s="34"/>
      <c r="P223" s="34"/>
      <c r="Q223" s="34"/>
      <c r="R223" s="34"/>
      <c r="S223" s="34"/>
      <c r="T223" s="34"/>
      <c r="U223" s="34"/>
      <c r="V223" s="34"/>
      <c r="W223" s="34"/>
      <c r="X223" s="34"/>
      <c r="Y223" s="34"/>
      <c r="Z223" s="34"/>
      <c r="AA223" s="34"/>
      <c r="AB223" s="34"/>
      <c r="AC223" s="34"/>
      <c r="AD223" s="34"/>
      <c r="AE223" s="34"/>
      <c r="AF223" s="34"/>
      <c r="AG223" s="34"/>
      <c r="AH223" s="34"/>
      <c r="AI223" s="34"/>
      <c r="AJ223" s="34"/>
      <c r="AK223" s="34"/>
      <c r="AL223" s="34"/>
      <c r="AM223" s="34"/>
      <c r="AN223" s="34"/>
      <c r="AO223" s="34"/>
      <c r="AP223" s="34"/>
      <c r="AQ223" s="34"/>
      <c r="AR223" s="34"/>
      <c r="AS223" s="34"/>
      <c r="AT223" s="34"/>
      <c r="AU223" s="34"/>
      <c r="AV223" s="34"/>
      <c r="AW223" s="34"/>
      <c r="AX223" s="34"/>
      <c r="AY223" s="34"/>
      <c r="AZ223" s="34"/>
      <c r="BA223" s="34"/>
      <c r="BB223" s="34"/>
      <c r="BC223" s="34"/>
      <c r="BD223" s="34"/>
      <c r="BE223" s="34"/>
      <c r="BF223" s="34"/>
      <c r="BG223" s="34"/>
      <c r="BH223" s="34"/>
      <c r="BI223" s="34"/>
      <c r="BJ223" s="34"/>
      <c r="BK223" s="34"/>
      <c r="BL223" s="34"/>
      <c r="BM223" s="34"/>
      <c r="BN223" s="34"/>
      <c r="BO223" s="34"/>
      <c r="BP223" s="34"/>
      <c r="BQ223" s="34"/>
      <c r="BR223" s="34"/>
      <c r="BS223" s="34"/>
      <c r="BT223" s="34"/>
      <c r="BU223" s="34"/>
      <c r="BV223" s="34"/>
      <c r="BW223" s="34"/>
      <c r="BX223" s="34"/>
      <c r="BY223" s="34"/>
      <c r="BZ223" s="34"/>
      <c r="CA223" s="34"/>
      <c r="CB223" s="34"/>
      <c r="CC223" s="34"/>
      <c r="CD223" s="34"/>
      <c r="CE223" s="34"/>
      <c r="CF223" s="34"/>
      <c r="CG223" s="34"/>
      <c r="CH223" s="34"/>
      <c r="CI223" s="34"/>
      <c r="CJ223" s="34"/>
      <c r="CK223" s="34"/>
      <c r="CL223" s="34"/>
      <c r="CM223" s="34"/>
      <c r="CN223" s="34"/>
      <c r="CO223" s="34"/>
      <c r="CP223" s="34"/>
      <c r="CQ223" s="34"/>
      <c r="CR223" s="34"/>
      <c r="CS223" s="34"/>
      <c r="CT223" s="34"/>
      <c r="CU223" s="34"/>
      <c r="CV223" s="34"/>
      <c r="CW223" s="34"/>
    </row>
  </sheetData>
  <mergeCells count="2">
    <mergeCell ref="I6:N6"/>
    <mergeCell ref="O6:P6"/>
  </mergeCell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sheetPr codeName="Sheet12"/>
  <dimension ref="A1:N225"/>
  <sheetViews>
    <sheetView topLeftCell="F19" workbookViewId="0">
      <selection activeCell="I9" sqref="I9"/>
    </sheetView>
  </sheetViews>
  <sheetFormatPr defaultRowHeight="12.75"/>
  <cols>
    <col min="1" max="1" width="8.5703125" style="9" bestFit="1" customWidth="1"/>
    <col min="2" max="2" width="8.7109375" style="9" bestFit="1" customWidth="1"/>
    <col min="3" max="3" width="7.42578125" style="9" bestFit="1" customWidth="1"/>
    <col min="4" max="4" width="7.5703125" style="9" bestFit="1" customWidth="1"/>
    <col min="5" max="5" width="140" style="9" customWidth="1"/>
    <col min="6" max="6" width="12.5703125" style="9" customWidth="1"/>
    <col min="7" max="7" width="13.140625" style="9" customWidth="1"/>
    <col min="8" max="9" width="20.7109375" style="9" customWidth="1"/>
    <col min="10" max="10" width="11.5703125" style="9" customWidth="1"/>
    <col min="11" max="12" width="10.5703125" style="9" customWidth="1"/>
    <col min="13" max="13" width="29.28515625" style="9" bestFit="1" customWidth="1"/>
    <col min="14" max="14" width="28.85546875" style="9" customWidth="1"/>
    <col min="15" max="16384" width="9.140625" style="9"/>
  </cols>
  <sheetData>
    <row r="1" spans="1:14" ht="13.5" thickBot="1">
      <c r="B1" s="235" t="s">
        <v>940</v>
      </c>
      <c r="C1" s="236" t="s">
        <v>941</v>
      </c>
    </row>
    <row r="2" spans="1:14">
      <c r="B2" s="237">
        <v>1568</v>
      </c>
      <c r="C2" s="238">
        <v>0.25</v>
      </c>
    </row>
    <row r="3" spans="1:14">
      <c r="B3" s="239">
        <v>2200</v>
      </c>
      <c r="C3" s="240">
        <v>0.4</v>
      </c>
    </row>
    <row r="4" spans="1:14" ht="13.5" thickBot="1">
      <c r="B4" s="241">
        <v>2688</v>
      </c>
      <c r="C4" s="242">
        <v>0.35</v>
      </c>
    </row>
    <row r="5" spans="1:14" ht="13.5" thickBot="1">
      <c r="B5" s="243">
        <v>5000</v>
      </c>
      <c r="C5" s="244">
        <v>1</v>
      </c>
    </row>
    <row r="8" spans="1:14">
      <c r="F8" s="9">
        <v>3</v>
      </c>
      <c r="G8" s="9">
        <v>4</v>
      </c>
      <c r="H8" s="9">
        <v>5</v>
      </c>
      <c r="I8" s="9">
        <v>7</v>
      </c>
      <c r="J8" s="9">
        <v>9</v>
      </c>
      <c r="K8" s="9">
        <v>12</v>
      </c>
    </row>
    <row r="9" spans="1:14" s="246" customFormat="1" ht="78.75" customHeight="1">
      <c r="A9" s="245" t="s">
        <v>942</v>
      </c>
      <c r="B9" s="245" t="s">
        <v>943</v>
      </c>
      <c r="C9" s="245" t="s">
        <v>944</v>
      </c>
      <c r="D9" s="245" t="s">
        <v>945</v>
      </c>
      <c r="E9" s="245" t="s">
        <v>7</v>
      </c>
      <c r="F9" s="217" t="s">
        <v>755</v>
      </c>
      <c r="G9" s="217" t="s">
        <v>756</v>
      </c>
      <c r="H9" s="217" t="s">
        <v>757</v>
      </c>
      <c r="I9" s="217" t="s">
        <v>1376</v>
      </c>
      <c r="J9" s="45" t="s">
        <v>946</v>
      </c>
      <c r="K9" s="45" t="s">
        <v>760</v>
      </c>
      <c r="L9" s="45"/>
    </row>
    <row r="10" spans="1:14">
      <c r="A10" s="220" t="s">
        <v>947</v>
      </c>
      <c r="B10" s="220" t="s">
        <v>948</v>
      </c>
      <c r="C10" s="220" t="s">
        <v>949</v>
      </c>
      <c r="D10" s="220" t="s">
        <v>950</v>
      </c>
      <c r="E10" s="220" t="str">
        <f>"Ground Source Heat Pump Upgrade from Air Source Heat Pump - "&amp;IF(B10="des0","Without Desuperheater - ","With Desuperheater - ")&amp;IF(A10="n","New House ","Existing House ")&amp;IF(C10="nwproto","less than 4000 square feet - ","4000 square feet or greater - ")&amp;"Heating Zone "&amp;MID(D10,3,1)&amp;" - Cooling Zone "&amp;RIGHT(D10,1)</f>
        <v>Ground Source Heat Pump Upgrade from Air Source Heat Pump - Without Desuperheater - New House less than 4000 square feet - Heating Zone 1 - Cooling Zone 1</v>
      </c>
      <c r="F10" s="247">
        <f>IF($C10="nwproto",VLOOKUP("*"&amp;$D10&amp;"_1568"&amp;$A10&amp;"*"&amp;$B10,SavingsCalcs!$B$5:$M$148,F$8,FALSE)*$C$2+VLOOKUP("*"&amp;$D10&amp;"_2200"&amp;$A10&amp;"*"&amp;$B10,SavingsCalcs!$B$5:$M$148,F$8,FALSE)*$C$3+VLOOKUP("*"&amp;$D10&amp;"_2688"&amp;$A10&amp;"*"&amp;$B10,SavingsCalcs!$B$5:$M$148,F$8,FALSE)*$C$4,VLOOKUP("*"&amp;$D10&amp;"_5000"&amp;$A10&amp;"*"&amp;$B10,SavingsCalcs!$B$5:$M$148,F$8,FALSE))</f>
        <v>820.78018270666314</v>
      </c>
      <c r="G10" s="247">
        <f>IF($C10="nwproto",VLOOKUP("*"&amp;$D10&amp;"_1568"&amp;$A10&amp;"*"&amp;$B10,SavingsCalcs!$B$5:$M$148,G$8,FALSE)*$C$2+VLOOKUP("*"&amp;$D10&amp;"_2200"&amp;$A10&amp;"*"&amp;$B10,SavingsCalcs!$B$5:$M$148,G$8,FALSE)*$C$3+VLOOKUP("*"&amp;$D10&amp;"_2688"&amp;$A10&amp;"*"&amp;$B10,SavingsCalcs!$B$5:$M$148,G$8,FALSE)*$C$4,VLOOKUP("*"&amp;$D10&amp;"_5000"&amp;$A10&amp;"*"&amp;$B10,SavingsCalcs!$B$5:$M$148,G$8,FALSE))</f>
        <v>34.948501862500002</v>
      </c>
      <c r="H10" s="247">
        <f>IF($C10="nwproto",VLOOKUP("*"&amp;$D10&amp;"_1568"&amp;$A10&amp;"*"&amp;$B10,SavingsCalcs!$B$5:$M$148,H$8,FALSE)*$C$2+VLOOKUP("*"&amp;$D10&amp;"_2200"&amp;$A10&amp;"*"&amp;$B10,SavingsCalcs!$B$5:$M$148,H$8,FALSE)*$C$3+VLOOKUP("*"&amp;$D10&amp;"_2688"&amp;$A10&amp;"*"&amp;$B10,SavingsCalcs!$B$5:$M$148,H$8,FALSE)*$C$4,VLOOKUP("*"&amp;$D10&amp;"_5000"&amp;$A10&amp;"*"&amp;$B10,SavingsCalcs!$B$5:$M$148,H$8,FALSE))</f>
        <v>0</v>
      </c>
      <c r="I10" s="247">
        <f>IF($C10="nwproto",VLOOKUP("*"&amp;$D10&amp;"_1568"&amp;$A10&amp;"*"&amp;$B10,SavingsCalcs!$B$5:$M$148,I$8,FALSE)*$C$2+VLOOKUP("*"&amp;$D10&amp;"_2200"&amp;$A10&amp;"*"&amp;$B10,SavingsCalcs!$B$5:$M$148,I$8,FALSE)*$C$3+VLOOKUP("*"&amp;$D10&amp;"_2688"&amp;$A10&amp;"*"&amp;$B10,SavingsCalcs!$B$5:$M$148,I$8,FALSE)*$C$4,VLOOKUP("*"&amp;$D10&amp;"_5000"&amp;$A10&amp;"*"&amp;$B10,SavingsCalcs!$B$5:$M$148,I$8,FALSE))</f>
        <v>58.329107224533132</v>
      </c>
      <c r="J10" s="248">
        <f>IF($C10="nwproto",VLOOKUP("*"&amp;$D10&amp;"_1568"&amp;$A10&amp;"*"&amp;$B10,SavingsCalcs!$B$5:$M$148,J$8,FALSE)*$C$2+VLOOKUP("*"&amp;$D10&amp;"_2200"&amp;$A10&amp;"*"&amp;$B10,SavingsCalcs!$B$5:$M$148,J$8,FALSE)*$C$3+VLOOKUP("*"&amp;$D10&amp;"_2688"&amp;$A10&amp;"*"&amp;$B10,SavingsCalcs!$B$5:$M$148,J$8,FALSE)*$C$4,VLOOKUP("*"&amp;$D10&amp;"_5000"&amp;$A10&amp;"*"&amp;$B10,SavingsCalcs!$B$5:$M$148,J$8,FALSE))</f>
        <v>4097.9850750000005</v>
      </c>
      <c r="K10" s="248">
        <f>IF($C10="nwproto",VLOOKUP("*"&amp;$D10&amp;"_1568"&amp;$A10&amp;"*"&amp;$B10,SavingsCalcs!$B$5:$M$148,K$8,FALSE)*$C$2+VLOOKUP("*"&amp;$D10&amp;"_2200"&amp;$A10&amp;"*"&amp;$B10,SavingsCalcs!$B$5:$M$148,K$8,FALSE)*$C$3+VLOOKUP("*"&amp;$D10&amp;"_2688"&amp;$A10&amp;"*"&amp;$B10,SavingsCalcs!$B$5:$M$148,K$8,FALSE)*$C$4,VLOOKUP("*"&amp;$D10&amp;"_5000"&amp;$A10&amp;"*"&amp;$B10,SavingsCalcs!$B$5:$M$148,K$8,FALSE))</f>
        <v>0</v>
      </c>
      <c r="L10" s="248"/>
      <c r="M10" s="9" t="str">
        <f>SavingsCalcs!B5</f>
        <v>NWHZ1CZ1_1568n_20gshp_des0</v>
      </c>
      <c r="N10" s="9" t="str">
        <f>A10&amp;"_"&amp;C10&amp;D10&amp;B10</f>
        <v>n_nwprotoHZ1CZ1des0</v>
      </c>
    </row>
    <row r="11" spans="1:14">
      <c r="A11" s="220" t="s">
        <v>947</v>
      </c>
      <c r="B11" s="220" t="s">
        <v>948</v>
      </c>
      <c r="C11" s="220" t="s">
        <v>949</v>
      </c>
      <c r="D11" s="220" t="s">
        <v>951</v>
      </c>
      <c r="E11" s="220" t="str">
        <f t="shared" ref="E11:E74" si="0">"Ground Source Heat Pump Upgrade from Air Source Heat Pump - "&amp;IF(B11="des0","Without Desuperheater - ","With Desuperheater - ")&amp;IF(A11="n","New House ","Existing House ")&amp;IF(C11="nwproto","less than 4000 square feet - ","4000 square feet or greater - ")&amp;"Heating Zone "&amp;MID(D11,3,1)&amp;" - Cooling Zone "&amp;RIGHT(D11,1)</f>
        <v>Ground Source Heat Pump Upgrade from Air Source Heat Pump - Without Desuperheater - New House less than 4000 square feet - Heating Zone 1 - Cooling Zone 2</v>
      </c>
      <c r="F11" s="247">
        <f>IF($C11="nwproto",VLOOKUP("*"&amp;$D11&amp;"_1568"&amp;$A11&amp;"*"&amp;$B11,SavingsCalcs!$B$5:$M$148,F$8,FALSE)*$C$2+VLOOKUP("*"&amp;$D11&amp;"_2200"&amp;$A11&amp;"*"&amp;$B11,SavingsCalcs!$B$5:$M$148,F$8,FALSE)*$C$3+VLOOKUP("*"&amp;$D11&amp;"_2688"&amp;$A11&amp;"*"&amp;$B11,SavingsCalcs!$B$5:$M$148,F$8,FALSE)*$C$4,VLOOKUP("*"&amp;$D11&amp;"_5000"&amp;$A11&amp;"*"&amp;$B11,SavingsCalcs!$B$5:$M$148,F$8,FALSE))</f>
        <v>820.78018270666314</v>
      </c>
      <c r="G11" s="247">
        <f>IF($C11="nwproto",VLOOKUP("*"&amp;$D11&amp;"_1568"&amp;$A11&amp;"*"&amp;$B11,SavingsCalcs!$B$5:$M$148,G$8,FALSE)*$C$2+VLOOKUP("*"&amp;$D11&amp;"_2200"&amp;$A11&amp;"*"&amp;$B11,SavingsCalcs!$B$5:$M$148,G$8,FALSE)*$C$3+VLOOKUP("*"&amp;$D11&amp;"_2688"&amp;$A11&amp;"*"&amp;$B11,SavingsCalcs!$B$5:$M$148,G$8,FALSE)*$C$4,VLOOKUP("*"&amp;$D11&amp;"_5000"&amp;$A11&amp;"*"&amp;$B11,SavingsCalcs!$B$5:$M$148,G$8,FALSE))</f>
        <v>109.81328655535711</v>
      </c>
      <c r="H11" s="247">
        <f>IF($C11="nwproto",VLOOKUP("*"&amp;$D11&amp;"_1568"&amp;$A11&amp;"*"&amp;$B11,SavingsCalcs!$B$5:$M$148,H$8,FALSE)*$C$2+VLOOKUP("*"&amp;$D11&amp;"_2200"&amp;$A11&amp;"*"&amp;$B11,SavingsCalcs!$B$5:$M$148,H$8,FALSE)*$C$3+VLOOKUP("*"&amp;$D11&amp;"_2688"&amp;$A11&amp;"*"&amp;$B11,SavingsCalcs!$B$5:$M$148,H$8,FALSE)*$C$4,VLOOKUP("*"&amp;$D11&amp;"_5000"&amp;$A11&amp;"*"&amp;$B11,SavingsCalcs!$B$5:$M$148,H$8,FALSE))</f>
        <v>0</v>
      </c>
      <c r="I11" s="247">
        <f>IF($C11="nwproto",VLOOKUP("*"&amp;$D11&amp;"_1568"&amp;$A11&amp;"*"&amp;$B11,SavingsCalcs!$B$5:$M$148,I$8,FALSE)*$C$2+VLOOKUP("*"&amp;$D11&amp;"_2200"&amp;$A11&amp;"*"&amp;$B11,SavingsCalcs!$B$5:$M$148,I$8,FALSE)*$C$3+VLOOKUP("*"&amp;$D11&amp;"_2688"&amp;$A11&amp;"*"&amp;$B11,SavingsCalcs!$B$5:$M$148,I$8,FALSE)*$C$4,VLOOKUP("*"&amp;$D11&amp;"_5000"&amp;$A11&amp;"*"&amp;$B11,SavingsCalcs!$B$5:$M$148,I$8,FALSE))</f>
        <v>58.329107224533132</v>
      </c>
      <c r="J11" s="248">
        <f>IF($C11="nwproto",VLOOKUP("*"&amp;$D11&amp;"_1568"&amp;$A11&amp;"*"&amp;$B11,SavingsCalcs!$B$5:$M$148,J$8,FALSE)*$C$2+VLOOKUP("*"&amp;$D11&amp;"_2200"&amp;$A11&amp;"*"&amp;$B11,SavingsCalcs!$B$5:$M$148,J$8,FALSE)*$C$3+VLOOKUP("*"&amp;$D11&amp;"_2688"&amp;$A11&amp;"*"&amp;$B11,SavingsCalcs!$B$5:$M$148,J$8,FALSE)*$C$4,VLOOKUP("*"&amp;$D11&amp;"_5000"&amp;$A11&amp;"*"&amp;$B11,SavingsCalcs!$B$5:$M$148,J$8,FALSE))</f>
        <v>4097.9850750000005</v>
      </c>
      <c r="K11" s="248">
        <f>IF($C11="nwproto",VLOOKUP("*"&amp;$D11&amp;"_1568"&amp;$A11&amp;"*"&amp;$B11,SavingsCalcs!$B$5:$M$148,K$8,FALSE)*$C$2+VLOOKUP("*"&amp;$D11&amp;"_2200"&amp;$A11&amp;"*"&amp;$B11,SavingsCalcs!$B$5:$M$148,K$8,FALSE)*$C$3+VLOOKUP("*"&amp;$D11&amp;"_2688"&amp;$A11&amp;"*"&amp;$B11,SavingsCalcs!$B$5:$M$148,K$8,FALSE)*$C$4,VLOOKUP("*"&amp;$D11&amp;"_5000"&amp;$A11&amp;"*"&amp;$B11,SavingsCalcs!$B$5:$M$148,K$8,FALSE))</f>
        <v>0</v>
      </c>
      <c r="L11" s="248"/>
      <c r="M11" s="9" t="str">
        <f>SavingsCalcs!B6</f>
        <v>NWHZ1CZ2_1568n_20gshp_des0</v>
      </c>
      <c r="N11" s="9" t="str">
        <f t="shared" ref="N11:N74" si="1">A11&amp;"_"&amp;C11&amp;D11&amp;B11</f>
        <v>n_nwprotoHZ1CZ2des0</v>
      </c>
    </row>
    <row r="12" spans="1:14">
      <c r="A12" s="220" t="s">
        <v>947</v>
      </c>
      <c r="B12" s="220" t="s">
        <v>948</v>
      </c>
      <c r="C12" s="220" t="s">
        <v>949</v>
      </c>
      <c r="D12" s="220" t="s">
        <v>952</v>
      </c>
      <c r="E12" s="220" t="str">
        <f t="shared" si="0"/>
        <v>Ground Source Heat Pump Upgrade from Air Source Heat Pump - Without Desuperheater - New House less than 4000 square feet - Heating Zone 1 - Cooling Zone 3</v>
      </c>
      <c r="F12" s="247">
        <f>IF($C12="nwproto",VLOOKUP("*"&amp;$D12&amp;"_1568"&amp;$A12&amp;"*"&amp;$B12,SavingsCalcs!$B$5:$M$148,F$8,FALSE)*$C$2+VLOOKUP("*"&amp;$D12&amp;"_2200"&amp;$A12&amp;"*"&amp;$B12,SavingsCalcs!$B$5:$M$148,F$8,FALSE)*$C$3+VLOOKUP("*"&amp;$D12&amp;"_2688"&amp;$A12&amp;"*"&amp;$B12,SavingsCalcs!$B$5:$M$148,F$8,FALSE)*$C$4,VLOOKUP("*"&amp;$D12&amp;"_5000"&amp;$A12&amp;"*"&amp;$B12,SavingsCalcs!$B$5:$M$148,F$8,FALSE))</f>
        <v>820.78018270666314</v>
      </c>
      <c r="G12" s="247">
        <f>IF($C12="nwproto",VLOOKUP("*"&amp;$D12&amp;"_1568"&amp;$A12&amp;"*"&amp;$B12,SavingsCalcs!$B$5:$M$148,G$8,FALSE)*$C$2+VLOOKUP("*"&amp;$D12&amp;"_2200"&amp;$A12&amp;"*"&amp;$B12,SavingsCalcs!$B$5:$M$148,G$8,FALSE)*$C$3+VLOOKUP("*"&amp;$D12&amp;"_2688"&amp;$A12&amp;"*"&amp;$B12,SavingsCalcs!$B$5:$M$148,G$8,FALSE)*$C$4,VLOOKUP("*"&amp;$D12&amp;"_5000"&amp;$A12&amp;"*"&amp;$B12,SavingsCalcs!$B$5:$M$148,G$8,FALSE))</f>
        <v>232.87577088392862</v>
      </c>
      <c r="H12" s="247">
        <f>IF($C12="nwproto",VLOOKUP("*"&amp;$D12&amp;"_1568"&amp;$A12&amp;"*"&amp;$B12,SavingsCalcs!$B$5:$M$148,H$8,FALSE)*$C$2+VLOOKUP("*"&amp;$D12&amp;"_2200"&amp;$A12&amp;"*"&amp;$B12,SavingsCalcs!$B$5:$M$148,H$8,FALSE)*$C$3+VLOOKUP("*"&amp;$D12&amp;"_2688"&amp;$A12&amp;"*"&amp;$B12,SavingsCalcs!$B$5:$M$148,H$8,FALSE)*$C$4,VLOOKUP("*"&amp;$D12&amp;"_5000"&amp;$A12&amp;"*"&amp;$B12,SavingsCalcs!$B$5:$M$148,H$8,FALSE))</f>
        <v>0</v>
      </c>
      <c r="I12" s="247">
        <f>IF($C12="nwproto",VLOOKUP("*"&amp;$D12&amp;"_1568"&amp;$A12&amp;"*"&amp;$B12,SavingsCalcs!$B$5:$M$148,I$8,FALSE)*$C$2+VLOOKUP("*"&amp;$D12&amp;"_2200"&amp;$A12&amp;"*"&amp;$B12,SavingsCalcs!$B$5:$M$148,I$8,FALSE)*$C$3+VLOOKUP("*"&amp;$D12&amp;"_2688"&amp;$A12&amp;"*"&amp;$B12,SavingsCalcs!$B$5:$M$148,I$8,FALSE)*$C$4,VLOOKUP("*"&amp;$D12&amp;"_5000"&amp;$A12&amp;"*"&amp;$B12,SavingsCalcs!$B$5:$M$148,I$8,FALSE))</f>
        <v>58.329107224533132</v>
      </c>
      <c r="J12" s="248">
        <f>IF($C12="nwproto",VLOOKUP("*"&amp;$D12&amp;"_1568"&amp;$A12&amp;"*"&amp;$B12,SavingsCalcs!$B$5:$M$148,J$8,FALSE)*$C$2+VLOOKUP("*"&amp;$D12&amp;"_2200"&amp;$A12&amp;"*"&amp;$B12,SavingsCalcs!$B$5:$M$148,J$8,FALSE)*$C$3+VLOOKUP("*"&amp;$D12&amp;"_2688"&amp;$A12&amp;"*"&amp;$B12,SavingsCalcs!$B$5:$M$148,J$8,FALSE)*$C$4,VLOOKUP("*"&amp;$D12&amp;"_5000"&amp;$A12&amp;"*"&amp;$B12,SavingsCalcs!$B$5:$M$148,J$8,FALSE))</f>
        <v>4097.9850750000005</v>
      </c>
      <c r="K12" s="248">
        <f>IF($C12="nwproto",VLOOKUP("*"&amp;$D12&amp;"_1568"&amp;$A12&amp;"*"&amp;$B12,SavingsCalcs!$B$5:$M$148,K$8,FALSE)*$C$2+VLOOKUP("*"&amp;$D12&amp;"_2200"&amp;$A12&amp;"*"&amp;$B12,SavingsCalcs!$B$5:$M$148,K$8,FALSE)*$C$3+VLOOKUP("*"&amp;$D12&amp;"_2688"&amp;$A12&amp;"*"&amp;$B12,SavingsCalcs!$B$5:$M$148,K$8,FALSE)*$C$4,VLOOKUP("*"&amp;$D12&amp;"_5000"&amp;$A12&amp;"*"&amp;$B12,SavingsCalcs!$B$5:$M$148,K$8,FALSE))</f>
        <v>0</v>
      </c>
      <c r="L12" s="248"/>
      <c r="M12" s="9" t="str">
        <f>SavingsCalcs!B7</f>
        <v>NWHZ1CZ3_1568n_20gshp_des0</v>
      </c>
      <c r="N12" s="9" t="str">
        <f t="shared" si="1"/>
        <v>n_nwprotoHZ1CZ3des0</v>
      </c>
    </row>
    <row r="13" spans="1:14">
      <c r="A13" s="220" t="s">
        <v>947</v>
      </c>
      <c r="B13" s="220" t="s">
        <v>948</v>
      </c>
      <c r="C13" s="220" t="s">
        <v>949</v>
      </c>
      <c r="D13" s="220" t="s">
        <v>953</v>
      </c>
      <c r="E13" s="220" t="str">
        <f t="shared" si="0"/>
        <v>Ground Source Heat Pump Upgrade from Air Source Heat Pump - Without Desuperheater - New House less than 4000 square feet - Heating Zone 2 - Cooling Zone 1</v>
      </c>
      <c r="F13" s="247">
        <f>IF($C13="nwproto",VLOOKUP("*"&amp;$D13&amp;"_1568"&amp;$A13&amp;"*"&amp;$B13,SavingsCalcs!$B$5:$M$148,F$8,FALSE)*$C$2+VLOOKUP("*"&amp;$D13&amp;"_2200"&amp;$A13&amp;"*"&amp;$B13,SavingsCalcs!$B$5:$M$148,F$8,FALSE)*$C$3+VLOOKUP("*"&amp;$D13&amp;"_2688"&amp;$A13&amp;"*"&amp;$B13,SavingsCalcs!$B$5:$M$148,F$8,FALSE)*$C$4,VLOOKUP("*"&amp;$D13&amp;"_5000"&amp;$A13&amp;"*"&amp;$B13,SavingsCalcs!$B$5:$M$148,F$8,FALSE))</f>
        <v>1826.9177194005388</v>
      </c>
      <c r="G13" s="247">
        <f>IF($C13="nwproto",VLOOKUP("*"&amp;$D13&amp;"_1568"&amp;$A13&amp;"*"&amp;$B13,SavingsCalcs!$B$5:$M$148,G$8,FALSE)*$C$2+VLOOKUP("*"&amp;$D13&amp;"_2200"&amp;$A13&amp;"*"&amp;$B13,SavingsCalcs!$B$5:$M$148,G$8,FALSE)*$C$3+VLOOKUP("*"&amp;$D13&amp;"_2688"&amp;$A13&amp;"*"&amp;$B13,SavingsCalcs!$B$5:$M$148,G$8,FALSE)*$C$4,VLOOKUP("*"&amp;$D13&amp;"_5000"&amp;$A13&amp;"*"&amp;$B13,SavingsCalcs!$B$5:$M$148,G$8,FALSE))</f>
        <v>34.948501862500002</v>
      </c>
      <c r="H13" s="247">
        <f>IF($C13="nwproto",VLOOKUP("*"&amp;$D13&amp;"_1568"&amp;$A13&amp;"*"&amp;$B13,SavingsCalcs!$B$5:$M$148,H$8,FALSE)*$C$2+VLOOKUP("*"&amp;$D13&amp;"_2200"&amp;$A13&amp;"*"&amp;$B13,SavingsCalcs!$B$5:$M$148,H$8,FALSE)*$C$3+VLOOKUP("*"&amp;$D13&amp;"_2688"&amp;$A13&amp;"*"&amp;$B13,SavingsCalcs!$B$5:$M$148,H$8,FALSE)*$C$4,VLOOKUP("*"&amp;$D13&amp;"_5000"&amp;$A13&amp;"*"&amp;$B13,SavingsCalcs!$B$5:$M$148,H$8,FALSE))</f>
        <v>0</v>
      </c>
      <c r="I13" s="247">
        <f>IF($C13="nwproto",VLOOKUP("*"&amp;$D13&amp;"_1568"&amp;$A13&amp;"*"&amp;$B13,SavingsCalcs!$B$5:$M$148,I$8,FALSE)*$C$2+VLOOKUP("*"&amp;$D13&amp;"_2200"&amp;$A13&amp;"*"&amp;$B13,SavingsCalcs!$B$5:$M$148,I$8,FALSE)*$C$3+VLOOKUP("*"&amp;$D13&amp;"_2688"&amp;$A13&amp;"*"&amp;$B13,SavingsCalcs!$B$5:$M$148,I$8,FALSE)*$C$4,VLOOKUP("*"&amp;$D13&amp;"_5000"&amp;$A13&amp;"*"&amp;$B13,SavingsCalcs!$B$5:$M$148,I$8,FALSE))</f>
        <v>67.50518697184954</v>
      </c>
      <c r="J13" s="248">
        <f>IF($C13="nwproto",VLOOKUP("*"&amp;$D13&amp;"_1568"&amp;$A13&amp;"*"&amp;$B13,SavingsCalcs!$B$5:$M$148,J$8,FALSE)*$C$2+VLOOKUP("*"&amp;$D13&amp;"_2200"&amp;$A13&amp;"*"&amp;$B13,SavingsCalcs!$B$5:$M$148,J$8,FALSE)*$C$3+VLOOKUP("*"&amp;$D13&amp;"_2688"&amp;$A13&amp;"*"&amp;$B13,SavingsCalcs!$B$5:$M$148,J$8,FALSE)*$C$4,VLOOKUP("*"&amp;$D13&amp;"_5000"&amp;$A13&amp;"*"&amp;$B13,SavingsCalcs!$B$5:$M$148,J$8,FALSE))</f>
        <v>8135.5023250000022</v>
      </c>
      <c r="K13" s="248">
        <f>IF($C13="nwproto",VLOOKUP("*"&amp;$D13&amp;"_1568"&amp;$A13&amp;"*"&amp;$B13,SavingsCalcs!$B$5:$M$148,K$8,FALSE)*$C$2+VLOOKUP("*"&amp;$D13&amp;"_2200"&amp;$A13&amp;"*"&amp;$B13,SavingsCalcs!$B$5:$M$148,K$8,FALSE)*$C$3+VLOOKUP("*"&amp;$D13&amp;"_2688"&amp;$A13&amp;"*"&amp;$B13,SavingsCalcs!$B$5:$M$148,K$8,FALSE)*$C$4,VLOOKUP("*"&amp;$D13&amp;"_5000"&amp;$A13&amp;"*"&amp;$B13,SavingsCalcs!$B$5:$M$148,K$8,FALSE))</f>
        <v>0</v>
      </c>
      <c r="L13" s="248"/>
      <c r="M13" s="9" t="str">
        <f>SavingsCalcs!B8</f>
        <v>WxHZ1CZ1_1568e_20gshp_des0</v>
      </c>
      <c r="N13" s="9" t="str">
        <f t="shared" si="1"/>
        <v>n_nwprotoHZ2CZ1des0</v>
      </c>
    </row>
    <row r="14" spans="1:14">
      <c r="A14" s="220" t="s">
        <v>947</v>
      </c>
      <c r="B14" s="220" t="s">
        <v>948</v>
      </c>
      <c r="C14" s="220" t="s">
        <v>949</v>
      </c>
      <c r="D14" s="220" t="s">
        <v>954</v>
      </c>
      <c r="E14" s="220" t="str">
        <f t="shared" si="0"/>
        <v>Ground Source Heat Pump Upgrade from Air Source Heat Pump - Without Desuperheater - New House less than 4000 square feet - Heating Zone 2 - Cooling Zone 2</v>
      </c>
      <c r="F14" s="247">
        <f>IF($C14="nwproto",VLOOKUP("*"&amp;$D14&amp;"_1568"&amp;$A14&amp;"*"&amp;$B14,SavingsCalcs!$B$5:$M$148,F$8,FALSE)*$C$2+VLOOKUP("*"&amp;$D14&amp;"_2200"&amp;$A14&amp;"*"&amp;$B14,SavingsCalcs!$B$5:$M$148,F$8,FALSE)*$C$3+VLOOKUP("*"&amp;$D14&amp;"_2688"&amp;$A14&amp;"*"&amp;$B14,SavingsCalcs!$B$5:$M$148,F$8,FALSE)*$C$4,VLOOKUP("*"&amp;$D14&amp;"_5000"&amp;$A14&amp;"*"&amp;$B14,SavingsCalcs!$B$5:$M$148,F$8,FALSE))</f>
        <v>1826.9177194005388</v>
      </c>
      <c r="G14" s="247">
        <f>IF($C14="nwproto",VLOOKUP("*"&amp;$D14&amp;"_1568"&amp;$A14&amp;"*"&amp;$B14,SavingsCalcs!$B$5:$M$148,G$8,FALSE)*$C$2+VLOOKUP("*"&amp;$D14&amp;"_2200"&amp;$A14&amp;"*"&amp;$B14,SavingsCalcs!$B$5:$M$148,G$8,FALSE)*$C$3+VLOOKUP("*"&amp;$D14&amp;"_2688"&amp;$A14&amp;"*"&amp;$B14,SavingsCalcs!$B$5:$M$148,G$8,FALSE)*$C$4,VLOOKUP("*"&amp;$D14&amp;"_5000"&amp;$A14&amp;"*"&amp;$B14,SavingsCalcs!$B$5:$M$148,G$8,FALSE))</f>
        <v>109.81328655535711</v>
      </c>
      <c r="H14" s="247">
        <f>IF($C14="nwproto",VLOOKUP("*"&amp;$D14&amp;"_1568"&amp;$A14&amp;"*"&amp;$B14,SavingsCalcs!$B$5:$M$148,H$8,FALSE)*$C$2+VLOOKUP("*"&amp;$D14&amp;"_2200"&amp;$A14&amp;"*"&amp;$B14,SavingsCalcs!$B$5:$M$148,H$8,FALSE)*$C$3+VLOOKUP("*"&amp;$D14&amp;"_2688"&amp;$A14&amp;"*"&amp;$B14,SavingsCalcs!$B$5:$M$148,H$8,FALSE)*$C$4,VLOOKUP("*"&amp;$D14&amp;"_5000"&amp;$A14&amp;"*"&amp;$B14,SavingsCalcs!$B$5:$M$148,H$8,FALSE))</f>
        <v>0</v>
      </c>
      <c r="I14" s="247">
        <f>IF($C14="nwproto",VLOOKUP("*"&amp;$D14&amp;"_1568"&amp;$A14&amp;"*"&amp;$B14,SavingsCalcs!$B$5:$M$148,I$8,FALSE)*$C$2+VLOOKUP("*"&amp;$D14&amp;"_2200"&amp;$A14&amp;"*"&amp;$B14,SavingsCalcs!$B$5:$M$148,I$8,FALSE)*$C$3+VLOOKUP("*"&amp;$D14&amp;"_2688"&amp;$A14&amp;"*"&amp;$B14,SavingsCalcs!$B$5:$M$148,I$8,FALSE)*$C$4,VLOOKUP("*"&amp;$D14&amp;"_5000"&amp;$A14&amp;"*"&amp;$B14,SavingsCalcs!$B$5:$M$148,I$8,FALSE))</f>
        <v>67.50518697184954</v>
      </c>
      <c r="J14" s="248">
        <f>IF($C14="nwproto",VLOOKUP("*"&amp;$D14&amp;"_1568"&amp;$A14&amp;"*"&amp;$B14,SavingsCalcs!$B$5:$M$148,J$8,FALSE)*$C$2+VLOOKUP("*"&amp;$D14&amp;"_2200"&amp;$A14&amp;"*"&amp;$B14,SavingsCalcs!$B$5:$M$148,J$8,FALSE)*$C$3+VLOOKUP("*"&amp;$D14&amp;"_2688"&amp;$A14&amp;"*"&amp;$B14,SavingsCalcs!$B$5:$M$148,J$8,FALSE)*$C$4,VLOOKUP("*"&amp;$D14&amp;"_5000"&amp;$A14&amp;"*"&amp;$B14,SavingsCalcs!$B$5:$M$148,J$8,FALSE))</f>
        <v>8135.5023250000022</v>
      </c>
      <c r="K14" s="248">
        <f>IF($C14="nwproto",VLOOKUP("*"&amp;$D14&amp;"_1568"&amp;$A14&amp;"*"&amp;$B14,SavingsCalcs!$B$5:$M$148,K$8,FALSE)*$C$2+VLOOKUP("*"&amp;$D14&amp;"_2200"&amp;$A14&amp;"*"&amp;$B14,SavingsCalcs!$B$5:$M$148,K$8,FALSE)*$C$3+VLOOKUP("*"&amp;$D14&amp;"_2688"&amp;$A14&amp;"*"&amp;$B14,SavingsCalcs!$B$5:$M$148,K$8,FALSE)*$C$4,VLOOKUP("*"&amp;$D14&amp;"_5000"&amp;$A14&amp;"*"&amp;$B14,SavingsCalcs!$B$5:$M$148,K$8,FALSE))</f>
        <v>0</v>
      </c>
      <c r="L14" s="248"/>
      <c r="M14" s="9" t="str">
        <f>SavingsCalcs!B9</f>
        <v>WxHZ1CZ2_1568e_20gshp_des0</v>
      </c>
      <c r="N14" s="9" t="str">
        <f t="shared" si="1"/>
        <v>n_nwprotoHZ2CZ2des0</v>
      </c>
    </row>
    <row r="15" spans="1:14">
      <c r="A15" s="220" t="s">
        <v>947</v>
      </c>
      <c r="B15" s="220" t="s">
        <v>948</v>
      </c>
      <c r="C15" s="220" t="s">
        <v>949</v>
      </c>
      <c r="D15" s="220" t="s">
        <v>955</v>
      </c>
      <c r="E15" s="220" t="str">
        <f t="shared" si="0"/>
        <v>Ground Source Heat Pump Upgrade from Air Source Heat Pump - Without Desuperheater - New House less than 4000 square feet - Heating Zone 2 - Cooling Zone 3</v>
      </c>
      <c r="F15" s="247">
        <f>IF($C15="nwproto",VLOOKUP("*"&amp;$D15&amp;"_1568"&amp;$A15&amp;"*"&amp;$B15,SavingsCalcs!$B$5:$M$148,F$8,FALSE)*$C$2+VLOOKUP("*"&amp;$D15&amp;"_2200"&amp;$A15&amp;"*"&amp;$B15,SavingsCalcs!$B$5:$M$148,F$8,FALSE)*$C$3+VLOOKUP("*"&amp;$D15&amp;"_2688"&amp;$A15&amp;"*"&amp;$B15,SavingsCalcs!$B$5:$M$148,F$8,FALSE)*$C$4,VLOOKUP("*"&amp;$D15&amp;"_5000"&amp;$A15&amp;"*"&amp;$B15,SavingsCalcs!$B$5:$M$148,F$8,FALSE))</f>
        <v>1826.9177194005388</v>
      </c>
      <c r="G15" s="247">
        <f>IF($C15="nwproto",VLOOKUP("*"&amp;$D15&amp;"_1568"&amp;$A15&amp;"*"&amp;$B15,SavingsCalcs!$B$5:$M$148,G$8,FALSE)*$C$2+VLOOKUP("*"&amp;$D15&amp;"_2200"&amp;$A15&amp;"*"&amp;$B15,SavingsCalcs!$B$5:$M$148,G$8,FALSE)*$C$3+VLOOKUP("*"&amp;$D15&amp;"_2688"&amp;$A15&amp;"*"&amp;$B15,SavingsCalcs!$B$5:$M$148,G$8,FALSE)*$C$4,VLOOKUP("*"&amp;$D15&amp;"_5000"&amp;$A15&amp;"*"&amp;$B15,SavingsCalcs!$B$5:$M$148,G$8,FALSE))</f>
        <v>232.87577088392862</v>
      </c>
      <c r="H15" s="247">
        <f>IF($C15="nwproto",VLOOKUP("*"&amp;$D15&amp;"_1568"&amp;$A15&amp;"*"&amp;$B15,SavingsCalcs!$B$5:$M$148,H$8,FALSE)*$C$2+VLOOKUP("*"&amp;$D15&amp;"_2200"&amp;$A15&amp;"*"&amp;$B15,SavingsCalcs!$B$5:$M$148,H$8,FALSE)*$C$3+VLOOKUP("*"&amp;$D15&amp;"_2688"&amp;$A15&amp;"*"&amp;$B15,SavingsCalcs!$B$5:$M$148,H$8,FALSE)*$C$4,VLOOKUP("*"&amp;$D15&amp;"_5000"&amp;$A15&amp;"*"&amp;$B15,SavingsCalcs!$B$5:$M$148,H$8,FALSE))</f>
        <v>0</v>
      </c>
      <c r="I15" s="247">
        <f>IF($C15="nwproto",VLOOKUP("*"&amp;$D15&amp;"_1568"&amp;$A15&amp;"*"&amp;$B15,SavingsCalcs!$B$5:$M$148,I$8,FALSE)*$C$2+VLOOKUP("*"&amp;$D15&amp;"_2200"&amp;$A15&amp;"*"&amp;$B15,SavingsCalcs!$B$5:$M$148,I$8,FALSE)*$C$3+VLOOKUP("*"&amp;$D15&amp;"_2688"&amp;$A15&amp;"*"&amp;$B15,SavingsCalcs!$B$5:$M$148,I$8,FALSE)*$C$4,VLOOKUP("*"&amp;$D15&amp;"_5000"&amp;$A15&amp;"*"&amp;$B15,SavingsCalcs!$B$5:$M$148,I$8,FALSE))</f>
        <v>67.50518697184954</v>
      </c>
      <c r="J15" s="248">
        <f>IF($C15="nwproto",VLOOKUP("*"&amp;$D15&amp;"_1568"&amp;$A15&amp;"*"&amp;$B15,SavingsCalcs!$B$5:$M$148,J$8,FALSE)*$C$2+VLOOKUP("*"&amp;$D15&amp;"_2200"&amp;$A15&amp;"*"&amp;$B15,SavingsCalcs!$B$5:$M$148,J$8,FALSE)*$C$3+VLOOKUP("*"&amp;$D15&amp;"_2688"&amp;$A15&amp;"*"&amp;$B15,SavingsCalcs!$B$5:$M$148,J$8,FALSE)*$C$4,VLOOKUP("*"&amp;$D15&amp;"_5000"&amp;$A15&amp;"*"&amp;$B15,SavingsCalcs!$B$5:$M$148,J$8,FALSE))</f>
        <v>8135.5023250000022</v>
      </c>
      <c r="K15" s="248">
        <f>IF($C15="nwproto",VLOOKUP("*"&amp;$D15&amp;"_1568"&amp;$A15&amp;"*"&amp;$B15,SavingsCalcs!$B$5:$M$148,K$8,FALSE)*$C$2+VLOOKUP("*"&amp;$D15&amp;"_2200"&amp;$A15&amp;"*"&amp;$B15,SavingsCalcs!$B$5:$M$148,K$8,FALSE)*$C$3+VLOOKUP("*"&amp;$D15&amp;"_2688"&amp;$A15&amp;"*"&amp;$B15,SavingsCalcs!$B$5:$M$148,K$8,FALSE)*$C$4,VLOOKUP("*"&amp;$D15&amp;"_5000"&amp;$A15&amp;"*"&amp;$B15,SavingsCalcs!$B$5:$M$148,K$8,FALSE))</f>
        <v>0</v>
      </c>
      <c r="L15" s="248"/>
      <c r="M15" s="9" t="str">
        <f>SavingsCalcs!B10</f>
        <v>WxHZ1CZ3_1568e_20gshp_des0</v>
      </c>
      <c r="N15" s="9" t="str">
        <f t="shared" si="1"/>
        <v>n_nwprotoHZ2CZ3des0</v>
      </c>
    </row>
    <row r="16" spans="1:14">
      <c r="A16" s="220" t="s">
        <v>947</v>
      </c>
      <c r="B16" s="220" t="s">
        <v>948</v>
      </c>
      <c r="C16" s="220" t="s">
        <v>949</v>
      </c>
      <c r="D16" s="220" t="s">
        <v>956</v>
      </c>
      <c r="E16" s="220" t="str">
        <f t="shared" si="0"/>
        <v>Ground Source Heat Pump Upgrade from Air Source Heat Pump - Without Desuperheater - New House less than 4000 square feet - Heating Zone 3 - Cooling Zone 1</v>
      </c>
      <c r="F16" s="247">
        <f>IF($C16="nwproto",VLOOKUP("*"&amp;$D16&amp;"_1568"&amp;$A16&amp;"*"&amp;$B16,SavingsCalcs!$B$5:$M$148,F$8,FALSE)*$C$2+VLOOKUP("*"&amp;$D16&amp;"_2200"&amp;$A16&amp;"*"&amp;$B16,SavingsCalcs!$B$5:$M$148,F$8,FALSE)*$C$3+VLOOKUP("*"&amp;$D16&amp;"_2688"&amp;$A16&amp;"*"&amp;$B16,SavingsCalcs!$B$5:$M$148,F$8,FALSE)*$C$4,VLOOKUP("*"&amp;$D16&amp;"_5000"&amp;$A16&amp;"*"&amp;$B16,SavingsCalcs!$B$5:$M$148,F$8,FALSE))</f>
        <v>2560.3019436643517</v>
      </c>
      <c r="G16" s="247">
        <f>IF($C16="nwproto",VLOOKUP("*"&amp;$D16&amp;"_1568"&amp;$A16&amp;"*"&amp;$B16,SavingsCalcs!$B$5:$M$148,G$8,FALSE)*$C$2+VLOOKUP("*"&amp;$D16&amp;"_2200"&amp;$A16&amp;"*"&amp;$B16,SavingsCalcs!$B$5:$M$148,G$8,FALSE)*$C$3+VLOOKUP("*"&amp;$D16&amp;"_2688"&amp;$A16&amp;"*"&amp;$B16,SavingsCalcs!$B$5:$M$148,G$8,FALSE)*$C$4,VLOOKUP("*"&amp;$D16&amp;"_5000"&amp;$A16&amp;"*"&amp;$B16,SavingsCalcs!$B$5:$M$148,G$8,FALSE))</f>
        <v>34.948501862500002</v>
      </c>
      <c r="H16" s="247">
        <f>IF($C16="nwproto",VLOOKUP("*"&amp;$D16&amp;"_1568"&amp;$A16&amp;"*"&amp;$B16,SavingsCalcs!$B$5:$M$148,H$8,FALSE)*$C$2+VLOOKUP("*"&amp;$D16&amp;"_2200"&amp;$A16&amp;"*"&amp;$B16,SavingsCalcs!$B$5:$M$148,H$8,FALSE)*$C$3+VLOOKUP("*"&amp;$D16&amp;"_2688"&amp;$A16&amp;"*"&amp;$B16,SavingsCalcs!$B$5:$M$148,H$8,FALSE)*$C$4,VLOOKUP("*"&amp;$D16&amp;"_5000"&amp;$A16&amp;"*"&amp;$B16,SavingsCalcs!$B$5:$M$148,H$8,FALSE))</f>
        <v>0</v>
      </c>
      <c r="I16" s="247">
        <f>IF($C16="nwproto",VLOOKUP("*"&amp;$D16&amp;"_1568"&amp;$A16&amp;"*"&amp;$B16,SavingsCalcs!$B$5:$M$148,I$8,FALSE)*$C$2+VLOOKUP("*"&amp;$D16&amp;"_2200"&amp;$A16&amp;"*"&amp;$B16,SavingsCalcs!$B$5:$M$148,I$8,FALSE)*$C$3+VLOOKUP("*"&amp;$D16&amp;"_2688"&amp;$A16&amp;"*"&amp;$B16,SavingsCalcs!$B$5:$M$148,I$8,FALSE)*$C$4,VLOOKUP("*"&amp;$D16&amp;"_5000"&amp;$A16&amp;"*"&amp;$B16,SavingsCalcs!$B$5:$M$148,I$8,FALSE))</f>
        <v>79.914071561352898</v>
      </c>
      <c r="J16" s="248">
        <f>IF($C16="nwproto",VLOOKUP("*"&amp;$D16&amp;"_1568"&amp;$A16&amp;"*"&amp;$B16,SavingsCalcs!$B$5:$M$148,J$8,FALSE)*$C$2+VLOOKUP("*"&amp;$D16&amp;"_2200"&amp;$A16&amp;"*"&amp;$B16,SavingsCalcs!$B$5:$M$148,J$8,FALSE)*$C$3+VLOOKUP("*"&amp;$D16&amp;"_2688"&amp;$A16&amp;"*"&amp;$B16,SavingsCalcs!$B$5:$M$148,J$8,FALSE)*$C$4,VLOOKUP("*"&amp;$D16&amp;"_5000"&amp;$A16&amp;"*"&amp;$B16,SavingsCalcs!$B$5:$M$148,J$8,FALSE))</f>
        <v>13124.290349999999</v>
      </c>
      <c r="K16" s="248">
        <f>IF($C16="nwproto",VLOOKUP("*"&amp;$D16&amp;"_1568"&amp;$A16&amp;"*"&amp;$B16,SavingsCalcs!$B$5:$M$148,K$8,FALSE)*$C$2+VLOOKUP("*"&amp;$D16&amp;"_2200"&amp;$A16&amp;"*"&amp;$B16,SavingsCalcs!$B$5:$M$148,K$8,FALSE)*$C$3+VLOOKUP("*"&amp;$D16&amp;"_2688"&amp;$A16&amp;"*"&amp;$B16,SavingsCalcs!$B$5:$M$148,K$8,FALSE)*$C$4,VLOOKUP("*"&amp;$D16&amp;"_5000"&amp;$A16&amp;"*"&amp;$B16,SavingsCalcs!$B$5:$M$148,K$8,FALSE))</f>
        <v>0</v>
      </c>
      <c r="L16" s="248"/>
      <c r="M16" s="9" t="str">
        <f>SavingsCalcs!B11</f>
        <v>NWHZ2CZ1_1568n_20gshp_des0</v>
      </c>
      <c r="N16" s="9" t="str">
        <f t="shared" si="1"/>
        <v>n_nwprotoHZ3CZ1des0</v>
      </c>
    </row>
    <row r="17" spans="1:14">
      <c r="A17" s="220" t="s">
        <v>947</v>
      </c>
      <c r="B17" s="220" t="s">
        <v>948</v>
      </c>
      <c r="C17" s="220" t="s">
        <v>949</v>
      </c>
      <c r="D17" s="220" t="s">
        <v>957</v>
      </c>
      <c r="E17" s="220" t="str">
        <f t="shared" si="0"/>
        <v>Ground Source Heat Pump Upgrade from Air Source Heat Pump - Without Desuperheater - New House less than 4000 square feet - Heating Zone 3 - Cooling Zone 2</v>
      </c>
      <c r="F17" s="247">
        <f>IF($C17="nwproto",VLOOKUP("*"&amp;$D17&amp;"_1568"&amp;$A17&amp;"*"&amp;$B17,SavingsCalcs!$B$5:$M$148,F$8,FALSE)*$C$2+VLOOKUP("*"&amp;$D17&amp;"_2200"&amp;$A17&amp;"*"&amp;$B17,SavingsCalcs!$B$5:$M$148,F$8,FALSE)*$C$3+VLOOKUP("*"&amp;$D17&amp;"_2688"&amp;$A17&amp;"*"&amp;$B17,SavingsCalcs!$B$5:$M$148,F$8,FALSE)*$C$4,VLOOKUP("*"&amp;$D17&amp;"_5000"&amp;$A17&amp;"*"&amp;$B17,SavingsCalcs!$B$5:$M$148,F$8,FALSE))</f>
        <v>2560.3019436643517</v>
      </c>
      <c r="G17" s="247">
        <f>IF($C17="nwproto",VLOOKUP("*"&amp;$D17&amp;"_1568"&amp;$A17&amp;"*"&amp;$B17,SavingsCalcs!$B$5:$M$148,G$8,FALSE)*$C$2+VLOOKUP("*"&amp;$D17&amp;"_2200"&amp;$A17&amp;"*"&amp;$B17,SavingsCalcs!$B$5:$M$148,G$8,FALSE)*$C$3+VLOOKUP("*"&amp;$D17&amp;"_2688"&amp;$A17&amp;"*"&amp;$B17,SavingsCalcs!$B$5:$M$148,G$8,FALSE)*$C$4,VLOOKUP("*"&amp;$D17&amp;"_5000"&amp;$A17&amp;"*"&amp;$B17,SavingsCalcs!$B$5:$M$148,G$8,FALSE))</f>
        <v>109.81328655535711</v>
      </c>
      <c r="H17" s="247">
        <f>IF($C17="nwproto",VLOOKUP("*"&amp;$D17&amp;"_1568"&amp;$A17&amp;"*"&amp;$B17,SavingsCalcs!$B$5:$M$148,H$8,FALSE)*$C$2+VLOOKUP("*"&amp;$D17&amp;"_2200"&amp;$A17&amp;"*"&amp;$B17,SavingsCalcs!$B$5:$M$148,H$8,FALSE)*$C$3+VLOOKUP("*"&amp;$D17&amp;"_2688"&amp;$A17&amp;"*"&amp;$B17,SavingsCalcs!$B$5:$M$148,H$8,FALSE)*$C$4,VLOOKUP("*"&amp;$D17&amp;"_5000"&amp;$A17&amp;"*"&amp;$B17,SavingsCalcs!$B$5:$M$148,H$8,FALSE))</f>
        <v>0</v>
      </c>
      <c r="I17" s="247">
        <f>IF($C17="nwproto",VLOOKUP("*"&amp;$D17&amp;"_1568"&amp;$A17&amp;"*"&amp;$B17,SavingsCalcs!$B$5:$M$148,I$8,FALSE)*$C$2+VLOOKUP("*"&amp;$D17&amp;"_2200"&amp;$A17&amp;"*"&amp;$B17,SavingsCalcs!$B$5:$M$148,I$8,FALSE)*$C$3+VLOOKUP("*"&amp;$D17&amp;"_2688"&amp;$A17&amp;"*"&amp;$B17,SavingsCalcs!$B$5:$M$148,I$8,FALSE)*$C$4,VLOOKUP("*"&amp;$D17&amp;"_5000"&amp;$A17&amp;"*"&amp;$B17,SavingsCalcs!$B$5:$M$148,I$8,FALSE))</f>
        <v>79.914071561352898</v>
      </c>
      <c r="J17" s="248">
        <f>IF($C17="nwproto",VLOOKUP("*"&amp;$D17&amp;"_1568"&amp;$A17&amp;"*"&amp;$B17,SavingsCalcs!$B$5:$M$148,J$8,FALSE)*$C$2+VLOOKUP("*"&amp;$D17&amp;"_2200"&amp;$A17&amp;"*"&amp;$B17,SavingsCalcs!$B$5:$M$148,J$8,FALSE)*$C$3+VLOOKUP("*"&amp;$D17&amp;"_2688"&amp;$A17&amp;"*"&amp;$B17,SavingsCalcs!$B$5:$M$148,J$8,FALSE)*$C$4,VLOOKUP("*"&amp;$D17&amp;"_5000"&amp;$A17&amp;"*"&amp;$B17,SavingsCalcs!$B$5:$M$148,J$8,FALSE))</f>
        <v>13124.290349999999</v>
      </c>
      <c r="K17" s="248">
        <f>IF($C17="nwproto",VLOOKUP("*"&amp;$D17&amp;"_1568"&amp;$A17&amp;"*"&amp;$B17,SavingsCalcs!$B$5:$M$148,K$8,FALSE)*$C$2+VLOOKUP("*"&amp;$D17&amp;"_2200"&amp;$A17&amp;"*"&amp;$B17,SavingsCalcs!$B$5:$M$148,K$8,FALSE)*$C$3+VLOOKUP("*"&amp;$D17&amp;"_2688"&amp;$A17&amp;"*"&amp;$B17,SavingsCalcs!$B$5:$M$148,K$8,FALSE)*$C$4,VLOOKUP("*"&amp;$D17&amp;"_5000"&amp;$A17&amp;"*"&amp;$B17,SavingsCalcs!$B$5:$M$148,K$8,FALSE))</f>
        <v>0</v>
      </c>
      <c r="L17" s="248"/>
      <c r="M17" s="9" t="str">
        <f>SavingsCalcs!B12</f>
        <v>NWHZ2CZ2_1568n_20gshp_des0</v>
      </c>
      <c r="N17" s="9" t="str">
        <f t="shared" si="1"/>
        <v>n_nwprotoHZ3CZ2des0</v>
      </c>
    </row>
    <row r="18" spans="1:14">
      <c r="A18" s="220" t="s">
        <v>947</v>
      </c>
      <c r="B18" s="220" t="s">
        <v>948</v>
      </c>
      <c r="C18" s="220" t="s">
        <v>949</v>
      </c>
      <c r="D18" s="220" t="s">
        <v>958</v>
      </c>
      <c r="E18" s="220" t="str">
        <f t="shared" si="0"/>
        <v>Ground Source Heat Pump Upgrade from Air Source Heat Pump - Without Desuperheater - New House less than 4000 square feet - Heating Zone 3 - Cooling Zone 3</v>
      </c>
      <c r="F18" s="247">
        <f>IF($C18="nwproto",VLOOKUP("*"&amp;$D18&amp;"_1568"&amp;$A18&amp;"*"&amp;$B18,SavingsCalcs!$B$5:$M$148,F$8,FALSE)*$C$2+VLOOKUP("*"&amp;$D18&amp;"_2200"&amp;$A18&amp;"*"&amp;$B18,SavingsCalcs!$B$5:$M$148,F$8,FALSE)*$C$3+VLOOKUP("*"&amp;$D18&amp;"_2688"&amp;$A18&amp;"*"&amp;$B18,SavingsCalcs!$B$5:$M$148,F$8,FALSE)*$C$4,VLOOKUP("*"&amp;$D18&amp;"_5000"&amp;$A18&amp;"*"&amp;$B18,SavingsCalcs!$B$5:$M$148,F$8,FALSE))</f>
        <v>2560.3019436643517</v>
      </c>
      <c r="G18" s="247">
        <f>IF($C18="nwproto",VLOOKUP("*"&amp;$D18&amp;"_1568"&amp;$A18&amp;"*"&amp;$B18,SavingsCalcs!$B$5:$M$148,G$8,FALSE)*$C$2+VLOOKUP("*"&amp;$D18&amp;"_2200"&amp;$A18&amp;"*"&amp;$B18,SavingsCalcs!$B$5:$M$148,G$8,FALSE)*$C$3+VLOOKUP("*"&amp;$D18&amp;"_2688"&amp;$A18&amp;"*"&amp;$B18,SavingsCalcs!$B$5:$M$148,G$8,FALSE)*$C$4,VLOOKUP("*"&amp;$D18&amp;"_5000"&amp;$A18&amp;"*"&amp;$B18,SavingsCalcs!$B$5:$M$148,G$8,FALSE))</f>
        <v>232.87577088392862</v>
      </c>
      <c r="H18" s="247">
        <f>IF($C18="nwproto",VLOOKUP("*"&amp;$D18&amp;"_1568"&amp;$A18&amp;"*"&amp;$B18,SavingsCalcs!$B$5:$M$148,H$8,FALSE)*$C$2+VLOOKUP("*"&amp;$D18&amp;"_2200"&amp;$A18&amp;"*"&amp;$B18,SavingsCalcs!$B$5:$M$148,H$8,FALSE)*$C$3+VLOOKUP("*"&amp;$D18&amp;"_2688"&amp;$A18&amp;"*"&amp;$B18,SavingsCalcs!$B$5:$M$148,H$8,FALSE)*$C$4,VLOOKUP("*"&amp;$D18&amp;"_5000"&amp;$A18&amp;"*"&amp;$B18,SavingsCalcs!$B$5:$M$148,H$8,FALSE))</f>
        <v>0</v>
      </c>
      <c r="I18" s="247">
        <f>IF($C18="nwproto",VLOOKUP("*"&amp;$D18&amp;"_1568"&amp;$A18&amp;"*"&amp;$B18,SavingsCalcs!$B$5:$M$148,I$8,FALSE)*$C$2+VLOOKUP("*"&amp;$D18&amp;"_2200"&amp;$A18&amp;"*"&amp;$B18,SavingsCalcs!$B$5:$M$148,I$8,FALSE)*$C$3+VLOOKUP("*"&amp;$D18&amp;"_2688"&amp;$A18&amp;"*"&amp;$B18,SavingsCalcs!$B$5:$M$148,I$8,FALSE)*$C$4,VLOOKUP("*"&amp;$D18&amp;"_5000"&amp;$A18&amp;"*"&amp;$B18,SavingsCalcs!$B$5:$M$148,I$8,FALSE))</f>
        <v>79.914071561352898</v>
      </c>
      <c r="J18" s="248">
        <f>IF($C18="nwproto",VLOOKUP("*"&amp;$D18&amp;"_1568"&amp;$A18&amp;"*"&amp;$B18,SavingsCalcs!$B$5:$M$148,J$8,FALSE)*$C$2+VLOOKUP("*"&amp;$D18&amp;"_2200"&amp;$A18&amp;"*"&amp;$B18,SavingsCalcs!$B$5:$M$148,J$8,FALSE)*$C$3+VLOOKUP("*"&amp;$D18&amp;"_2688"&amp;$A18&amp;"*"&amp;$B18,SavingsCalcs!$B$5:$M$148,J$8,FALSE)*$C$4,VLOOKUP("*"&amp;$D18&amp;"_5000"&amp;$A18&amp;"*"&amp;$B18,SavingsCalcs!$B$5:$M$148,J$8,FALSE))</f>
        <v>13124.290349999999</v>
      </c>
      <c r="K18" s="248">
        <f>IF($C18="nwproto",VLOOKUP("*"&amp;$D18&amp;"_1568"&amp;$A18&amp;"*"&amp;$B18,SavingsCalcs!$B$5:$M$148,K$8,FALSE)*$C$2+VLOOKUP("*"&amp;$D18&amp;"_2200"&amp;$A18&amp;"*"&amp;$B18,SavingsCalcs!$B$5:$M$148,K$8,FALSE)*$C$3+VLOOKUP("*"&amp;$D18&amp;"_2688"&amp;$A18&amp;"*"&amp;$B18,SavingsCalcs!$B$5:$M$148,K$8,FALSE)*$C$4,VLOOKUP("*"&amp;$D18&amp;"_5000"&amp;$A18&amp;"*"&amp;$B18,SavingsCalcs!$B$5:$M$148,K$8,FALSE))</f>
        <v>0</v>
      </c>
      <c r="L18" s="248"/>
      <c r="M18" s="9" t="str">
        <f>SavingsCalcs!B13</f>
        <v>NWHZ2CZ3_1568n_20gshp_des0</v>
      </c>
      <c r="N18" s="9" t="str">
        <f t="shared" si="1"/>
        <v>n_nwprotoHZ3CZ3des0</v>
      </c>
    </row>
    <row r="19" spans="1:14">
      <c r="A19" s="220" t="s">
        <v>947</v>
      </c>
      <c r="B19" s="220" t="s">
        <v>948</v>
      </c>
      <c r="C19" s="220" t="s">
        <v>959</v>
      </c>
      <c r="D19" s="220" t="s">
        <v>950</v>
      </c>
      <c r="E19" s="220" t="str">
        <f t="shared" si="0"/>
        <v>Ground Source Heat Pump Upgrade from Air Source Heat Pump - Without Desuperheater - New House 4000 square feet or greater - Heating Zone 1 - Cooling Zone 1</v>
      </c>
      <c r="F19" s="247">
        <f>IF($C19="nwproto",VLOOKUP("*"&amp;$D19&amp;"_1568"&amp;$A19&amp;"*"&amp;$B19,SavingsCalcs!$B$5:$M$148,F$8,FALSE)*$C$2+VLOOKUP("*"&amp;$D19&amp;"_2200"&amp;$A19&amp;"*"&amp;$B19,SavingsCalcs!$B$5:$M$148,F$8,FALSE)*$C$3+VLOOKUP("*"&amp;$D19&amp;"_2688"&amp;$A19&amp;"*"&amp;$B19,SavingsCalcs!$B$5:$M$148,F$8,FALSE)*$C$4,VLOOKUP("*"&amp;$D19&amp;"_5000"&amp;$A19&amp;"*"&amp;$B19,SavingsCalcs!$B$5:$M$148,F$8,FALSE))</f>
        <v>1686.6827345536467</v>
      </c>
      <c r="G19" s="247">
        <f>IF($C19="nwproto",VLOOKUP("*"&amp;$D19&amp;"_1568"&amp;$A19&amp;"*"&amp;$B19,SavingsCalcs!$B$5:$M$148,G$8,FALSE)*$C$2+VLOOKUP("*"&amp;$D19&amp;"_2200"&amp;$A19&amp;"*"&amp;$B19,SavingsCalcs!$B$5:$M$148,G$8,FALSE)*$C$3+VLOOKUP("*"&amp;$D19&amp;"_2688"&amp;$A19&amp;"*"&amp;$B19,SavingsCalcs!$B$5:$M$148,G$8,FALSE)*$C$4,VLOOKUP("*"&amp;$D19&amp;"_5000"&amp;$A19&amp;"*"&amp;$B19,SavingsCalcs!$B$5:$M$148,G$8,FALSE))</f>
        <v>58.658489142857093</v>
      </c>
      <c r="H19" s="247">
        <f>IF($C19="nwproto",VLOOKUP("*"&amp;$D19&amp;"_1568"&amp;$A19&amp;"*"&amp;$B19,SavingsCalcs!$B$5:$M$148,H$8,FALSE)*$C$2+VLOOKUP("*"&amp;$D19&amp;"_2200"&amp;$A19&amp;"*"&amp;$B19,SavingsCalcs!$B$5:$M$148,H$8,FALSE)*$C$3+VLOOKUP("*"&amp;$D19&amp;"_2688"&amp;$A19&amp;"*"&amp;$B19,SavingsCalcs!$B$5:$M$148,H$8,FALSE)*$C$4,VLOOKUP("*"&amp;$D19&amp;"_5000"&amp;$A19&amp;"*"&amp;$B19,SavingsCalcs!$B$5:$M$148,H$8,FALSE))</f>
        <v>0</v>
      </c>
      <c r="I19" s="247">
        <f>IF($C19="nwproto",VLOOKUP("*"&amp;$D19&amp;"_1568"&amp;$A19&amp;"*"&amp;$B19,SavingsCalcs!$B$5:$M$148,I$8,FALSE)*$C$2+VLOOKUP("*"&amp;$D19&amp;"_2200"&amp;$A19&amp;"*"&amp;$B19,SavingsCalcs!$B$5:$M$148,I$8,FALSE)*$C$3+VLOOKUP("*"&amp;$D19&amp;"_2688"&amp;$A19&amp;"*"&amp;$B19,SavingsCalcs!$B$5:$M$148,I$8,FALSE)*$C$4,VLOOKUP("*"&amp;$D19&amp;"_5000"&amp;$A19&amp;"*"&amp;$B19,SavingsCalcs!$B$5:$M$148,I$8,FALSE))</f>
        <v>113.61945113722719</v>
      </c>
      <c r="J19" s="248">
        <f>IF($C19="nwproto",VLOOKUP("*"&amp;$D19&amp;"_1568"&amp;$A19&amp;"*"&amp;$B19,SavingsCalcs!$B$5:$M$148,J$8,FALSE)*$C$2+VLOOKUP("*"&amp;$D19&amp;"_2200"&amp;$A19&amp;"*"&amp;$B19,SavingsCalcs!$B$5:$M$148,J$8,FALSE)*$C$3+VLOOKUP("*"&amp;$D19&amp;"_2688"&amp;$A19&amp;"*"&amp;$B19,SavingsCalcs!$B$5:$M$148,J$8,FALSE)*$C$4,VLOOKUP("*"&amp;$D19&amp;"_5000"&amp;$A19&amp;"*"&amp;$B19,SavingsCalcs!$B$5:$M$148,J$8,FALSE))</f>
        <v>6009.2415000000001</v>
      </c>
      <c r="K19" s="248">
        <f>IF($C19="nwproto",VLOOKUP("*"&amp;$D19&amp;"_1568"&amp;$A19&amp;"*"&amp;$B19,SavingsCalcs!$B$5:$M$148,K$8,FALSE)*$C$2+VLOOKUP("*"&amp;$D19&amp;"_2200"&amp;$A19&amp;"*"&amp;$B19,SavingsCalcs!$B$5:$M$148,K$8,FALSE)*$C$3+VLOOKUP("*"&amp;$D19&amp;"_2688"&amp;$A19&amp;"*"&amp;$B19,SavingsCalcs!$B$5:$M$148,K$8,FALSE)*$C$4,VLOOKUP("*"&amp;$D19&amp;"_5000"&amp;$A19&amp;"*"&amp;$B19,SavingsCalcs!$B$5:$M$148,K$8,FALSE))</f>
        <v>0</v>
      </c>
      <c r="L19" s="248"/>
      <c r="M19" s="9" t="str">
        <f>SavingsCalcs!B14</f>
        <v>WxHZ2CZ1_1568e_20gshp_des0</v>
      </c>
      <c r="N19" s="9" t="str">
        <f t="shared" si="1"/>
        <v>n_&gt;4000HZ1CZ1des0</v>
      </c>
    </row>
    <row r="20" spans="1:14">
      <c r="A20" s="220" t="s">
        <v>947</v>
      </c>
      <c r="B20" s="220" t="s">
        <v>948</v>
      </c>
      <c r="C20" s="220" t="s">
        <v>959</v>
      </c>
      <c r="D20" s="220" t="s">
        <v>951</v>
      </c>
      <c r="E20" s="220" t="str">
        <f t="shared" si="0"/>
        <v>Ground Source Heat Pump Upgrade from Air Source Heat Pump - Without Desuperheater - New House 4000 square feet or greater - Heating Zone 1 - Cooling Zone 2</v>
      </c>
      <c r="F20" s="247">
        <f>IF($C20="nwproto",VLOOKUP("*"&amp;$D20&amp;"_1568"&amp;$A20&amp;"*"&amp;$B20,SavingsCalcs!$B$5:$M$148,F$8,FALSE)*$C$2+VLOOKUP("*"&amp;$D20&amp;"_2200"&amp;$A20&amp;"*"&amp;$B20,SavingsCalcs!$B$5:$M$148,F$8,FALSE)*$C$3+VLOOKUP("*"&amp;$D20&amp;"_2688"&amp;$A20&amp;"*"&amp;$B20,SavingsCalcs!$B$5:$M$148,F$8,FALSE)*$C$4,VLOOKUP("*"&amp;$D20&amp;"_5000"&amp;$A20&amp;"*"&amp;$B20,SavingsCalcs!$B$5:$M$148,F$8,FALSE))</f>
        <v>1686.6827345536467</v>
      </c>
      <c r="G20" s="247">
        <f>IF($C20="nwproto",VLOOKUP("*"&amp;$D20&amp;"_1568"&amp;$A20&amp;"*"&amp;$B20,SavingsCalcs!$B$5:$M$148,G$8,FALSE)*$C$2+VLOOKUP("*"&amp;$D20&amp;"_2200"&amp;$A20&amp;"*"&amp;$B20,SavingsCalcs!$B$5:$M$148,G$8,FALSE)*$C$3+VLOOKUP("*"&amp;$D20&amp;"_2688"&amp;$A20&amp;"*"&amp;$B20,SavingsCalcs!$B$5:$M$148,G$8,FALSE)*$C$4,VLOOKUP("*"&amp;$D20&amp;"_5000"&amp;$A20&amp;"*"&amp;$B20,SavingsCalcs!$B$5:$M$148,G$8,FALSE))</f>
        <v>172.75853796428567</v>
      </c>
      <c r="H20" s="247">
        <f>IF($C20="nwproto",VLOOKUP("*"&amp;$D20&amp;"_1568"&amp;$A20&amp;"*"&amp;$B20,SavingsCalcs!$B$5:$M$148,H$8,FALSE)*$C$2+VLOOKUP("*"&amp;$D20&amp;"_2200"&amp;$A20&amp;"*"&amp;$B20,SavingsCalcs!$B$5:$M$148,H$8,FALSE)*$C$3+VLOOKUP("*"&amp;$D20&amp;"_2688"&amp;$A20&amp;"*"&amp;$B20,SavingsCalcs!$B$5:$M$148,H$8,FALSE)*$C$4,VLOOKUP("*"&amp;$D20&amp;"_5000"&amp;$A20&amp;"*"&amp;$B20,SavingsCalcs!$B$5:$M$148,H$8,FALSE))</f>
        <v>0</v>
      </c>
      <c r="I20" s="247">
        <f>IF($C20="nwproto",VLOOKUP("*"&amp;$D20&amp;"_1568"&amp;$A20&amp;"*"&amp;$B20,SavingsCalcs!$B$5:$M$148,I$8,FALSE)*$C$2+VLOOKUP("*"&amp;$D20&amp;"_2200"&amp;$A20&amp;"*"&amp;$B20,SavingsCalcs!$B$5:$M$148,I$8,FALSE)*$C$3+VLOOKUP("*"&amp;$D20&amp;"_2688"&amp;$A20&amp;"*"&amp;$B20,SavingsCalcs!$B$5:$M$148,I$8,FALSE)*$C$4,VLOOKUP("*"&amp;$D20&amp;"_5000"&amp;$A20&amp;"*"&amp;$B20,SavingsCalcs!$B$5:$M$148,I$8,FALSE))</f>
        <v>113.61945113722719</v>
      </c>
      <c r="J20" s="248">
        <f>IF($C20="nwproto",VLOOKUP("*"&amp;$D20&amp;"_1568"&amp;$A20&amp;"*"&amp;$B20,SavingsCalcs!$B$5:$M$148,J$8,FALSE)*$C$2+VLOOKUP("*"&amp;$D20&amp;"_2200"&amp;$A20&amp;"*"&amp;$B20,SavingsCalcs!$B$5:$M$148,J$8,FALSE)*$C$3+VLOOKUP("*"&amp;$D20&amp;"_2688"&amp;$A20&amp;"*"&amp;$B20,SavingsCalcs!$B$5:$M$148,J$8,FALSE)*$C$4,VLOOKUP("*"&amp;$D20&amp;"_5000"&amp;$A20&amp;"*"&amp;$B20,SavingsCalcs!$B$5:$M$148,J$8,FALSE))</f>
        <v>6009.2415000000001</v>
      </c>
      <c r="K20" s="248">
        <f>IF($C20="nwproto",VLOOKUP("*"&amp;$D20&amp;"_1568"&amp;$A20&amp;"*"&amp;$B20,SavingsCalcs!$B$5:$M$148,K$8,FALSE)*$C$2+VLOOKUP("*"&amp;$D20&amp;"_2200"&amp;$A20&amp;"*"&amp;$B20,SavingsCalcs!$B$5:$M$148,K$8,FALSE)*$C$3+VLOOKUP("*"&amp;$D20&amp;"_2688"&amp;$A20&amp;"*"&amp;$B20,SavingsCalcs!$B$5:$M$148,K$8,FALSE)*$C$4,VLOOKUP("*"&amp;$D20&amp;"_5000"&amp;$A20&amp;"*"&amp;$B20,SavingsCalcs!$B$5:$M$148,K$8,FALSE))</f>
        <v>0</v>
      </c>
      <c r="L20" s="248"/>
      <c r="M20" s="9" t="str">
        <f>SavingsCalcs!B15</f>
        <v>WxHZ2CZ2_1568e_20gshp_des0</v>
      </c>
      <c r="N20" s="9" t="str">
        <f t="shared" si="1"/>
        <v>n_&gt;4000HZ1CZ2des0</v>
      </c>
    </row>
    <row r="21" spans="1:14">
      <c r="A21" s="220" t="s">
        <v>947</v>
      </c>
      <c r="B21" s="220" t="s">
        <v>948</v>
      </c>
      <c r="C21" s="220" t="s">
        <v>959</v>
      </c>
      <c r="D21" s="220" t="s">
        <v>952</v>
      </c>
      <c r="E21" s="220" t="str">
        <f t="shared" si="0"/>
        <v>Ground Source Heat Pump Upgrade from Air Source Heat Pump - Without Desuperheater - New House 4000 square feet or greater - Heating Zone 1 - Cooling Zone 3</v>
      </c>
      <c r="F21" s="247">
        <f>IF($C21="nwproto",VLOOKUP("*"&amp;$D21&amp;"_1568"&amp;$A21&amp;"*"&amp;$B21,SavingsCalcs!$B$5:$M$148,F$8,FALSE)*$C$2+VLOOKUP("*"&amp;$D21&amp;"_2200"&amp;$A21&amp;"*"&amp;$B21,SavingsCalcs!$B$5:$M$148,F$8,FALSE)*$C$3+VLOOKUP("*"&amp;$D21&amp;"_2688"&amp;$A21&amp;"*"&amp;$B21,SavingsCalcs!$B$5:$M$148,F$8,FALSE)*$C$4,VLOOKUP("*"&amp;$D21&amp;"_5000"&amp;$A21&amp;"*"&amp;$B21,SavingsCalcs!$B$5:$M$148,F$8,FALSE))</f>
        <v>1686.6827345536467</v>
      </c>
      <c r="G21" s="247">
        <f>IF($C21="nwproto",VLOOKUP("*"&amp;$D21&amp;"_1568"&amp;$A21&amp;"*"&amp;$B21,SavingsCalcs!$B$5:$M$148,G$8,FALSE)*$C$2+VLOOKUP("*"&amp;$D21&amp;"_2200"&amp;$A21&amp;"*"&amp;$B21,SavingsCalcs!$B$5:$M$148,G$8,FALSE)*$C$3+VLOOKUP("*"&amp;$D21&amp;"_2688"&amp;$A21&amp;"*"&amp;$B21,SavingsCalcs!$B$5:$M$148,G$8,FALSE)*$C$4,VLOOKUP("*"&amp;$D21&amp;"_5000"&amp;$A21&amp;"*"&amp;$B21,SavingsCalcs!$B$5:$M$148,G$8,FALSE))</f>
        <v>361.56853514285717</v>
      </c>
      <c r="H21" s="247">
        <f>IF($C21="nwproto",VLOOKUP("*"&amp;$D21&amp;"_1568"&amp;$A21&amp;"*"&amp;$B21,SavingsCalcs!$B$5:$M$148,H$8,FALSE)*$C$2+VLOOKUP("*"&amp;$D21&amp;"_2200"&amp;$A21&amp;"*"&amp;$B21,SavingsCalcs!$B$5:$M$148,H$8,FALSE)*$C$3+VLOOKUP("*"&amp;$D21&amp;"_2688"&amp;$A21&amp;"*"&amp;$B21,SavingsCalcs!$B$5:$M$148,H$8,FALSE)*$C$4,VLOOKUP("*"&amp;$D21&amp;"_5000"&amp;$A21&amp;"*"&amp;$B21,SavingsCalcs!$B$5:$M$148,H$8,FALSE))</f>
        <v>0</v>
      </c>
      <c r="I21" s="247">
        <f>IF($C21="nwproto",VLOOKUP("*"&amp;$D21&amp;"_1568"&amp;$A21&amp;"*"&amp;$B21,SavingsCalcs!$B$5:$M$148,I$8,FALSE)*$C$2+VLOOKUP("*"&amp;$D21&amp;"_2200"&amp;$A21&amp;"*"&amp;$B21,SavingsCalcs!$B$5:$M$148,I$8,FALSE)*$C$3+VLOOKUP("*"&amp;$D21&amp;"_2688"&amp;$A21&amp;"*"&amp;$B21,SavingsCalcs!$B$5:$M$148,I$8,FALSE)*$C$4,VLOOKUP("*"&amp;$D21&amp;"_5000"&amp;$A21&amp;"*"&amp;$B21,SavingsCalcs!$B$5:$M$148,I$8,FALSE))</f>
        <v>113.61945113722719</v>
      </c>
      <c r="J21" s="248">
        <f>IF($C21="nwproto",VLOOKUP("*"&amp;$D21&amp;"_1568"&amp;$A21&amp;"*"&amp;$B21,SavingsCalcs!$B$5:$M$148,J$8,FALSE)*$C$2+VLOOKUP("*"&amp;$D21&amp;"_2200"&amp;$A21&amp;"*"&amp;$B21,SavingsCalcs!$B$5:$M$148,J$8,FALSE)*$C$3+VLOOKUP("*"&amp;$D21&amp;"_2688"&amp;$A21&amp;"*"&amp;$B21,SavingsCalcs!$B$5:$M$148,J$8,FALSE)*$C$4,VLOOKUP("*"&amp;$D21&amp;"_5000"&amp;$A21&amp;"*"&amp;$B21,SavingsCalcs!$B$5:$M$148,J$8,FALSE))</f>
        <v>6009.2415000000001</v>
      </c>
      <c r="K21" s="248">
        <f>IF($C21="nwproto",VLOOKUP("*"&amp;$D21&amp;"_1568"&amp;$A21&amp;"*"&amp;$B21,SavingsCalcs!$B$5:$M$148,K$8,FALSE)*$C$2+VLOOKUP("*"&amp;$D21&amp;"_2200"&amp;$A21&amp;"*"&amp;$B21,SavingsCalcs!$B$5:$M$148,K$8,FALSE)*$C$3+VLOOKUP("*"&amp;$D21&amp;"_2688"&amp;$A21&amp;"*"&amp;$B21,SavingsCalcs!$B$5:$M$148,K$8,FALSE)*$C$4,VLOOKUP("*"&amp;$D21&amp;"_5000"&amp;$A21&amp;"*"&amp;$B21,SavingsCalcs!$B$5:$M$148,K$8,FALSE))</f>
        <v>0</v>
      </c>
      <c r="L21" s="248"/>
      <c r="M21" s="9" t="str">
        <f>SavingsCalcs!B16</f>
        <v>WxHZ2CZ3_1568e_20gshp_des0</v>
      </c>
      <c r="N21" s="9" t="str">
        <f t="shared" si="1"/>
        <v>n_&gt;4000HZ1CZ3des0</v>
      </c>
    </row>
    <row r="22" spans="1:14">
      <c r="A22" s="220" t="s">
        <v>947</v>
      </c>
      <c r="B22" s="220" t="s">
        <v>948</v>
      </c>
      <c r="C22" s="220" t="s">
        <v>959</v>
      </c>
      <c r="D22" s="220" t="s">
        <v>953</v>
      </c>
      <c r="E22" s="220" t="str">
        <f t="shared" si="0"/>
        <v>Ground Source Heat Pump Upgrade from Air Source Heat Pump - Without Desuperheater - New House 4000 square feet or greater - Heating Zone 2 - Cooling Zone 1</v>
      </c>
      <c r="F22" s="247">
        <f>IF($C22="nwproto",VLOOKUP("*"&amp;$D22&amp;"_1568"&amp;$A22&amp;"*"&amp;$B22,SavingsCalcs!$B$5:$M$148,F$8,FALSE)*$C$2+VLOOKUP("*"&amp;$D22&amp;"_2200"&amp;$A22&amp;"*"&amp;$B22,SavingsCalcs!$B$5:$M$148,F$8,FALSE)*$C$3+VLOOKUP("*"&amp;$D22&amp;"_2688"&amp;$A22&amp;"*"&amp;$B22,SavingsCalcs!$B$5:$M$148,F$8,FALSE)*$C$4,VLOOKUP("*"&amp;$D22&amp;"_5000"&amp;$A22&amp;"*"&amp;$B22,SavingsCalcs!$B$5:$M$148,F$8,FALSE))</f>
        <v>3629.7216043188091</v>
      </c>
      <c r="G22" s="247">
        <f>IF($C22="nwproto",VLOOKUP("*"&amp;$D22&amp;"_1568"&amp;$A22&amp;"*"&amp;$B22,SavingsCalcs!$B$5:$M$148,G$8,FALSE)*$C$2+VLOOKUP("*"&amp;$D22&amp;"_2200"&amp;$A22&amp;"*"&amp;$B22,SavingsCalcs!$B$5:$M$148,G$8,FALSE)*$C$3+VLOOKUP("*"&amp;$D22&amp;"_2688"&amp;$A22&amp;"*"&amp;$B22,SavingsCalcs!$B$5:$M$148,G$8,FALSE)*$C$4,VLOOKUP("*"&amp;$D22&amp;"_5000"&amp;$A22&amp;"*"&amp;$B22,SavingsCalcs!$B$5:$M$148,G$8,FALSE))</f>
        <v>58.658489142857093</v>
      </c>
      <c r="H22" s="247">
        <f>IF($C22="nwproto",VLOOKUP("*"&amp;$D22&amp;"_1568"&amp;$A22&amp;"*"&amp;$B22,SavingsCalcs!$B$5:$M$148,H$8,FALSE)*$C$2+VLOOKUP("*"&amp;$D22&amp;"_2200"&amp;$A22&amp;"*"&amp;$B22,SavingsCalcs!$B$5:$M$148,H$8,FALSE)*$C$3+VLOOKUP("*"&amp;$D22&amp;"_2688"&amp;$A22&amp;"*"&amp;$B22,SavingsCalcs!$B$5:$M$148,H$8,FALSE)*$C$4,VLOOKUP("*"&amp;$D22&amp;"_5000"&amp;$A22&amp;"*"&amp;$B22,SavingsCalcs!$B$5:$M$148,H$8,FALSE))</f>
        <v>0</v>
      </c>
      <c r="I22" s="247">
        <f>IF($C22="nwproto",VLOOKUP("*"&amp;$D22&amp;"_1568"&amp;$A22&amp;"*"&amp;$B22,SavingsCalcs!$B$5:$M$148,I$8,FALSE)*$C$2+VLOOKUP("*"&amp;$D22&amp;"_2200"&amp;$A22&amp;"*"&amp;$B22,SavingsCalcs!$B$5:$M$148,I$8,FALSE)*$C$3+VLOOKUP("*"&amp;$D22&amp;"_2688"&amp;$A22&amp;"*"&amp;$B22,SavingsCalcs!$B$5:$M$148,I$8,FALSE)*$C$4,VLOOKUP("*"&amp;$D22&amp;"_5000"&amp;$A22&amp;"*"&amp;$B22,SavingsCalcs!$B$5:$M$148,I$8,FALSE))</f>
        <v>131.46443030299892</v>
      </c>
      <c r="J22" s="248">
        <f>IF($C22="nwproto",VLOOKUP("*"&amp;$D22&amp;"_1568"&amp;$A22&amp;"*"&amp;$B22,SavingsCalcs!$B$5:$M$148,J$8,FALSE)*$C$2+VLOOKUP("*"&amp;$D22&amp;"_2200"&amp;$A22&amp;"*"&amp;$B22,SavingsCalcs!$B$5:$M$148,J$8,FALSE)*$C$3+VLOOKUP("*"&amp;$D22&amp;"_2688"&amp;$A22&amp;"*"&amp;$B22,SavingsCalcs!$B$5:$M$148,J$8,FALSE)*$C$4,VLOOKUP("*"&amp;$D22&amp;"_5000"&amp;$A22&amp;"*"&amp;$B22,SavingsCalcs!$B$5:$M$148,J$8,FALSE))</f>
        <v>11942.103499999997</v>
      </c>
      <c r="K22" s="248">
        <f>IF($C22="nwproto",VLOOKUP("*"&amp;$D22&amp;"_1568"&amp;$A22&amp;"*"&amp;$B22,SavingsCalcs!$B$5:$M$148,K$8,FALSE)*$C$2+VLOOKUP("*"&amp;$D22&amp;"_2200"&amp;$A22&amp;"*"&amp;$B22,SavingsCalcs!$B$5:$M$148,K$8,FALSE)*$C$3+VLOOKUP("*"&amp;$D22&amp;"_2688"&amp;$A22&amp;"*"&amp;$B22,SavingsCalcs!$B$5:$M$148,K$8,FALSE)*$C$4,VLOOKUP("*"&amp;$D22&amp;"_5000"&amp;$A22&amp;"*"&amp;$B22,SavingsCalcs!$B$5:$M$148,K$8,FALSE))</f>
        <v>0</v>
      </c>
      <c r="L22" s="248"/>
      <c r="M22" s="9" t="str">
        <f>SavingsCalcs!B17</f>
        <v>NWHZ3CZ1_1568n_20gshp_des0</v>
      </c>
      <c r="N22" s="9" t="str">
        <f t="shared" si="1"/>
        <v>n_&gt;4000HZ2CZ1des0</v>
      </c>
    </row>
    <row r="23" spans="1:14">
      <c r="A23" s="220" t="s">
        <v>947</v>
      </c>
      <c r="B23" s="220" t="s">
        <v>948</v>
      </c>
      <c r="C23" s="220" t="s">
        <v>959</v>
      </c>
      <c r="D23" s="220" t="s">
        <v>954</v>
      </c>
      <c r="E23" s="220" t="str">
        <f t="shared" si="0"/>
        <v>Ground Source Heat Pump Upgrade from Air Source Heat Pump - Without Desuperheater - New House 4000 square feet or greater - Heating Zone 2 - Cooling Zone 2</v>
      </c>
      <c r="F23" s="247">
        <f>IF($C23="nwproto",VLOOKUP("*"&amp;$D23&amp;"_1568"&amp;$A23&amp;"*"&amp;$B23,SavingsCalcs!$B$5:$M$148,F$8,FALSE)*$C$2+VLOOKUP("*"&amp;$D23&amp;"_2200"&amp;$A23&amp;"*"&amp;$B23,SavingsCalcs!$B$5:$M$148,F$8,FALSE)*$C$3+VLOOKUP("*"&amp;$D23&amp;"_2688"&amp;$A23&amp;"*"&amp;$B23,SavingsCalcs!$B$5:$M$148,F$8,FALSE)*$C$4,VLOOKUP("*"&amp;$D23&amp;"_5000"&amp;$A23&amp;"*"&amp;$B23,SavingsCalcs!$B$5:$M$148,F$8,FALSE))</f>
        <v>3629.7216043188091</v>
      </c>
      <c r="G23" s="247">
        <f>IF($C23="nwproto",VLOOKUP("*"&amp;$D23&amp;"_1568"&amp;$A23&amp;"*"&amp;$B23,SavingsCalcs!$B$5:$M$148,G$8,FALSE)*$C$2+VLOOKUP("*"&amp;$D23&amp;"_2200"&amp;$A23&amp;"*"&amp;$B23,SavingsCalcs!$B$5:$M$148,G$8,FALSE)*$C$3+VLOOKUP("*"&amp;$D23&amp;"_2688"&amp;$A23&amp;"*"&amp;$B23,SavingsCalcs!$B$5:$M$148,G$8,FALSE)*$C$4,VLOOKUP("*"&amp;$D23&amp;"_5000"&amp;$A23&amp;"*"&amp;$B23,SavingsCalcs!$B$5:$M$148,G$8,FALSE))</f>
        <v>172.75853796428567</v>
      </c>
      <c r="H23" s="247">
        <f>IF($C23="nwproto",VLOOKUP("*"&amp;$D23&amp;"_1568"&amp;$A23&amp;"*"&amp;$B23,SavingsCalcs!$B$5:$M$148,H$8,FALSE)*$C$2+VLOOKUP("*"&amp;$D23&amp;"_2200"&amp;$A23&amp;"*"&amp;$B23,SavingsCalcs!$B$5:$M$148,H$8,FALSE)*$C$3+VLOOKUP("*"&amp;$D23&amp;"_2688"&amp;$A23&amp;"*"&amp;$B23,SavingsCalcs!$B$5:$M$148,H$8,FALSE)*$C$4,VLOOKUP("*"&amp;$D23&amp;"_5000"&amp;$A23&amp;"*"&amp;$B23,SavingsCalcs!$B$5:$M$148,H$8,FALSE))</f>
        <v>0</v>
      </c>
      <c r="I23" s="247">
        <f>IF($C23="nwproto",VLOOKUP("*"&amp;$D23&amp;"_1568"&amp;$A23&amp;"*"&amp;$B23,SavingsCalcs!$B$5:$M$148,I$8,FALSE)*$C$2+VLOOKUP("*"&amp;$D23&amp;"_2200"&amp;$A23&amp;"*"&amp;$B23,SavingsCalcs!$B$5:$M$148,I$8,FALSE)*$C$3+VLOOKUP("*"&amp;$D23&amp;"_2688"&amp;$A23&amp;"*"&amp;$B23,SavingsCalcs!$B$5:$M$148,I$8,FALSE)*$C$4,VLOOKUP("*"&amp;$D23&amp;"_5000"&amp;$A23&amp;"*"&amp;$B23,SavingsCalcs!$B$5:$M$148,I$8,FALSE))</f>
        <v>131.46443030299892</v>
      </c>
      <c r="J23" s="248">
        <f>IF($C23="nwproto",VLOOKUP("*"&amp;$D23&amp;"_1568"&amp;$A23&amp;"*"&amp;$B23,SavingsCalcs!$B$5:$M$148,J$8,FALSE)*$C$2+VLOOKUP("*"&amp;$D23&amp;"_2200"&amp;$A23&amp;"*"&amp;$B23,SavingsCalcs!$B$5:$M$148,J$8,FALSE)*$C$3+VLOOKUP("*"&amp;$D23&amp;"_2688"&amp;$A23&amp;"*"&amp;$B23,SavingsCalcs!$B$5:$M$148,J$8,FALSE)*$C$4,VLOOKUP("*"&amp;$D23&amp;"_5000"&amp;$A23&amp;"*"&amp;$B23,SavingsCalcs!$B$5:$M$148,J$8,FALSE))</f>
        <v>11942.103499999997</v>
      </c>
      <c r="K23" s="248">
        <f>IF($C23="nwproto",VLOOKUP("*"&amp;$D23&amp;"_1568"&amp;$A23&amp;"*"&amp;$B23,SavingsCalcs!$B$5:$M$148,K$8,FALSE)*$C$2+VLOOKUP("*"&amp;$D23&amp;"_2200"&amp;$A23&amp;"*"&amp;$B23,SavingsCalcs!$B$5:$M$148,K$8,FALSE)*$C$3+VLOOKUP("*"&amp;$D23&amp;"_2688"&amp;$A23&amp;"*"&amp;$B23,SavingsCalcs!$B$5:$M$148,K$8,FALSE)*$C$4,VLOOKUP("*"&amp;$D23&amp;"_5000"&amp;$A23&amp;"*"&amp;$B23,SavingsCalcs!$B$5:$M$148,K$8,FALSE))</f>
        <v>0</v>
      </c>
      <c r="L23" s="248"/>
      <c r="M23" s="9" t="str">
        <f>SavingsCalcs!B18</f>
        <v>NWHZ3CZ2_1568n_20gshp_des0</v>
      </c>
      <c r="N23" s="9" t="str">
        <f t="shared" si="1"/>
        <v>n_&gt;4000HZ2CZ2des0</v>
      </c>
    </row>
    <row r="24" spans="1:14">
      <c r="A24" s="220" t="s">
        <v>947</v>
      </c>
      <c r="B24" s="220" t="s">
        <v>948</v>
      </c>
      <c r="C24" s="220" t="s">
        <v>959</v>
      </c>
      <c r="D24" s="220" t="s">
        <v>955</v>
      </c>
      <c r="E24" s="220" t="str">
        <f t="shared" si="0"/>
        <v>Ground Source Heat Pump Upgrade from Air Source Heat Pump - Without Desuperheater - New House 4000 square feet or greater - Heating Zone 2 - Cooling Zone 3</v>
      </c>
      <c r="F24" s="247">
        <f>IF($C24="nwproto",VLOOKUP("*"&amp;$D24&amp;"_1568"&amp;$A24&amp;"*"&amp;$B24,SavingsCalcs!$B$5:$M$148,F$8,FALSE)*$C$2+VLOOKUP("*"&amp;$D24&amp;"_2200"&amp;$A24&amp;"*"&amp;$B24,SavingsCalcs!$B$5:$M$148,F$8,FALSE)*$C$3+VLOOKUP("*"&amp;$D24&amp;"_2688"&amp;$A24&amp;"*"&amp;$B24,SavingsCalcs!$B$5:$M$148,F$8,FALSE)*$C$4,VLOOKUP("*"&amp;$D24&amp;"_5000"&amp;$A24&amp;"*"&amp;$B24,SavingsCalcs!$B$5:$M$148,F$8,FALSE))</f>
        <v>3629.7216043188091</v>
      </c>
      <c r="G24" s="247">
        <f>IF($C24="nwproto",VLOOKUP("*"&amp;$D24&amp;"_1568"&amp;$A24&amp;"*"&amp;$B24,SavingsCalcs!$B$5:$M$148,G$8,FALSE)*$C$2+VLOOKUP("*"&amp;$D24&amp;"_2200"&amp;$A24&amp;"*"&amp;$B24,SavingsCalcs!$B$5:$M$148,G$8,FALSE)*$C$3+VLOOKUP("*"&amp;$D24&amp;"_2688"&amp;$A24&amp;"*"&amp;$B24,SavingsCalcs!$B$5:$M$148,G$8,FALSE)*$C$4,VLOOKUP("*"&amp;$D24&amp;"_5000"&amp;$A24&amp;"*"&amp;$B24,SavingsCalcs!$B$5:$M$148,G$8,FALSE))</f>
        <v>361.56853514285717</v>
      </c>
      <c r="H24" s="247">
        <f>IF($C24="nwproto",VLOOKUP("*"&amp;$D24&amp;"_1568"&amp;$A24&amp;"*"&amp;$B24,SavingsCalcs!$B$5:$M$148,H$8,FALSE)*$C$2+VLOOKUP("*"&amp;$D24&amp;"_2200"&amp;$A24&amp;"*"&amp;$B24,SavingsCalcs!$B$5:$M$148,H$8,FALSE)*$C$3+VLOOKUP("*"&amp;$D24&amp;"_2688"&amp;$A24&amp;"*"&amp;$B24,SavingsCalcs!$B$5:$M$148,H$8,FALSE)*$C$4,VLOOKUP("*"&amp;$D24&amp;"_5000"&amp;$A24&amp;"*"&amp;$B24,SavingsCalcs!$B$5:$M$148,H$8,FALSE))</f>
        <v>0</v>
      </c>
      <c r="I24" s="247">
        <f>IF($C24="nwproto",VLOOKUP("*"&amp;$D24&amp;"_1568"&amp;$A24&amp;"*"&amp;$B24,SavingsCalcs!$B$5:$M$148,I$8,FALSE)*$C$2+VLOOKUP("*"&amp;$D24&amp;"_2200"&amp;$A24&amp;"*"&amp;$B24,SavingsCalcs!$B$5:$M$148,I$8,FALSE)*$C$3+VLOOKUP("*"&amp;$D24&amp;"_2688"&amp;$A24&amp;"*"&amp;$B24,SavingsCalcs!$B$5:$M$148,I$8,FALSE)*$C$4,VLOOKUP("*"&amp;$D24&amp;"_5000"&amp;$A24&amp;"*"&amp;$B24,SavingsCalcs!$B$5:$M$148,I$8,FALSE))</f>
        <v>131.46443030299892</v>
      </c>
      <c r="J24" s="248">
        <f>IF($C24="nwproto",VLOOKUP("*"&amp;$D24&amp;"_1568"&amp;$A24&amp;"*"&amp;$B24,SavingsCalcs!$B$5:$M$148,J$8,FALSE)*$C$2+VLOOKUP("*"&amp;$D24&amp;"_2200"&amp;$A24&amp;"*"&amp;$B24,SavingsCalcs!$B$5:$M$148,J$8,FALSE)*$C$3+VLOOKUP("*"&amp;$D24&amp;"_2688"&amp;$A24&amp;"*"&amp;$B24,SavingsCalcs!$B$5:$M$148,J$8,FALSE)*$C$4,VLOOKUP("*"&amp;$D24&amp;"_5000"&amp;$A24&amp;"*"&amp;$B24,SavingsCalcs!$B$5:$M$148,J$8,FALSE))</f>
        <v>11942.103499999997</v>
      </c>
      <c r="K24" s="248">
        <f>IF($C24="nwproto",VLOOKUP("*"&amp;$D24&amp;"_1568"&amp;$A24&amp;"*"&amp;$B24,SavingsCalcs!$B$5:$M$148,K$8,FALSE)*$C$2+VLOOKUP("*"&amp;$D24&amp;"_2200"&amp;$A24&amp;"*"&amp;$B24,SavingsCalcs!$B$5:$M$148,K$8,FALSE)*$C$3+VLOOKUP("*"&amp;$D24&amp;"_2688"&amp;$A24&amp;"*"&amp;$B24,SavingsCalcs!$B$5:$M$148,K$8,FALSE)*$C$4,VLOOKUP("*"&amp;$D24&amp;"_5000"&amp;$A24&amp;"*"&amp;$B24,SavingsCalcs!$B$5:$M$148,K$8,FALSE))</f>
        <v>0</v>
      </c>
      <c r="L24" s="248"/>
      <c r="M24" s="9" t="str">
        <f>SavingsCalcs!B19</f>
        <v>NWHZ3CZ3_1568n_20gshp_des0</v>
      </c>
      <c r="N24" s="9" t="str">
        <f t="shared" si="1"/>
        <v>n_&gt;4000HZ2CZ3des0</v>
      </c>
    </row>
    <row r="25" spans="1:14">
      <c r="A25" s="220" t="s">
        <v>947</v>
      </c>
      <c r="B25" s="220" t="s">
        <v>948</v>
      </c>
      <c r="C25" s="220" t="s">
        <v>959</v>
      </c>
      <c r="D25" s="220" t="s">
        <v>956</v>
      </c>
      <c r="E25" s="220" t="str">
        <f t="shared" si="0"/>
        <v>Ground Source Heat Pump Upgrade from Air Source Heat Pump - Without Desuperheater - New House 4000 square feet or greater - Heating Zone 3 - Cooling Zone 1</v>
      </c>
      <c r="F25" s="247">
        <f>IF($C25="nwproto",VLOOKUP("*"&amp;$D25&amp;"_1568"&amp;$A25&amp;"*"&amp;$B25,SavingsCalcs!$B$5:$M$148,F$8,FALSE)*$C$2+VLOOKUP("*"&amp;$D25&amp;"_2200"&amp;$A25&amp;"*"&amp;$B25,SavingsCalcs!$B$5:$M$148,F$8,FALSE)*$C$3+VLOOKUP("*"&amp;$D25&amp;"_2688"&amp;$A25&amp;"*"&amp;$B25,SavingsCalcs!$B$5:$M$148,F$8,FALSE)*$C$4,VLOOKUP("*"&amp;$D25&amp;"_5000"&amp;$A25&amp;"*"&amp;$B25,SavingsCalcs!$B$5:$M$148,F$8,FALSE))</f>
        <v>4952.1283628844976</v>
      </c>
      <c r="G25" s="247">
        <f>IF($C25="nwproto",VLOOKUP("*"&amp;$D25&amp;"_1568"&amp;$A25&amp;"*"&amp;$B25,SavingsCalcs!$B$5:$M$148,G$8,FALSE)*$C$2+VLOOKUP("*"&amp;$D25&amp;"_2200"&amp;$A25&amp;"*"&amp;$B25,SavingsCalcs!$B$5:$M$148,G$8,FALSE)*$C$3+VLOOKUP("*"&amp;$D25&amp;"_2688"&amp;$A25&amp;"*"&amp;$B25,SavingsCalcs!$B$5:$M$148,G$8,FALSE)*$C$4,VLOOKUP("*"&amp;$D25&amp;"_5000"&amp;$A25&amp;"*"&amp;$B25,SavingsCalcs!$B$5:$M$148,G$8,FALSE))</f>
        <v>58.658489142857093</v>
      </c>
      <c r="H25" s="247">
        <f>IF($C25="nwproto",VLOOKUP("*"&amp;$D25&amp;"_1568"&amp;$A25&amp;"*"&amp;$B25,SavingsCalcs!$B$5:$M$148,H$8,FALSE)*$C$2+VLOOKUP("*"&amp;$D25&amp;"_2200"&amp;$A25&amp;"*"&amp;$B25,SavingsCalcs!$B$5:$M$148,H$8,FALSE)*$C$3+VLOOKUP("*"&amp;$D25&amp;"_2688"&amp;$A25&amp;"*"&amp;$B25,SavingsCalcs!$B$5:$M$148,H$8,FALSE)*$C$4,VLOOKUP("*"&amp;$D25&amp;"_5000"&amp;$A25&amp;"*"&amp;$B25,SavingsCalcs!$B$5:$M$148,H$8,FALSE))</f>
        <v>0</v>
      </c>
      <c r="I25" s="247">
        <f>IF($C25="nwproto",VLOOKUP("*"&amp;$D25&amp;"_1568"&amp;$A25&amp;"*"&amp;$B25,SavingsCalcs!$B$5:$M$148,I$8,FALSE)*$C$2+VLOOKUP("*"&amp;$D25&amp;"_2200"&amp;$A25&amp;"*"&amp;$B25,SavingsCalcs!$B$5:$M$148,I$8,FALSE)*$C$3+VLOOKUP("*"&amp;$D25&amp;"_2688"&amp;$A25&amp;"*"&amp;$B25,SavingsCalcs!$B$5:$M$148,I$8,FALSE)*$C$4,VLOOKUP("*"&amp;$D25&amp;"_5000"&amp;$A25&amp;"*"&amp;$B25,SavingsCalcs!$B$5:$M$148,I$8,FALSE))</f>
        <v>156.52875830308164</v>
      </c>
      <c r="J25" s="248">
        <f>IF($C25="nwproto",VLOOKUP("*"&amp;$D25&amp;"_1568"&amp;$A25&amp;"*"&amp;$B25,SavingsCalcs!$B$5:$M$148,J$8,FALSE)*$C$2+VLOOKUP("*"&amp;$D25&amp;"_2200"&amp;$A25&amp;"*"&amp;$B25,SavingsCalcs!$B$5:$M$148,J$8,FALSE)*$C$3+VLOOKUP("*"&amp;$D25&amp;"_2688"&amp;$A25&amp;"*"&amp;$B25,SavingsCalcs!$B$5:$M$148,J$8,FALSE)*$C$4,VLOOKUP("*"&amp;$D25&amp;"_5000"&amp;$A25&amp;"*"&amp;$B25,SavingsCalcs!$B$5:$M$148,J$8,FALSE))</f>
        <v>19560.591</v>
      </c>
      <c r="K25" s="248">
        <f>IF($C25="nwproto",VLOOKUP("*"&amp;$D25&amp;"_1568"&amp;$A25&amp;"*"&amp;$B25,SavingsCalcs!$B$5:$M$148,K$8,FALSE)*$C$2+VLOOKUP("*"&amp;$D25&amp;"_2200"&amp;$A25&amp;"*"&amp;$B25,SavingsCalcs!$B$5:$M$148,K$8,FALSE)*$C$3+VLOOKUP("*"&amp;$D25&amp;"_2688"&amp;$A25&amp;"*"&amp;$B25,SavingsCalcs!$B$5:$M$148,K$8,FALSE)*$C$4,VLOOKUP("*"&amp;$D25&amp;"_5000"&amp;$A25&amp;"*"&amp;$B25,SavingsCalcs!$B$5:$M$148,K$8,FALSE))</f>
        <v>0</v>
      </c>
      <c r="L25" s="248"/>
      <c r="M25" s="9" t="str">
        <f>SavingsCalcs!B20</f>
        <v>WxHZ3CZ1_1568e_20gshp_des0</v>
      </c>
      <c r="N25" s="9" t="str">
        <f t="shared" si="1"/>
        <v>n_&gt;4000HZ3CZ1des0</v>
      </c>
    </row>
    <row r="26" spans="1:14">
      <c r="A26" s="220" t="s">
        <v>947</v>
      </c>
      <c r="B26" s="220" t="s">
        <v>948</v>
      </c>
      <c r="C26" s="220" t="s">
        <v>959</v>
      </c>
      <c r="D26" s="220" t="s">
        <v>957</v>
      </c>
      <c r="E26" s="220" t="str">
        <f t="shared" si="0"/>
        <v>Ground Source Heat Pump Upgrade from Air Source Heat Pump - Without Desuperheater - New House 4000 square feet or greater - Heating Zone 3 - Cooling Zone 2</v>
      </c>
      <c r="F26" s="247">
        <f>IF($C26="nwproto",VLOOKUP("*"&amp;$D26&amp;"_1568"&amp;$A26&amp;"*"&amp;$B26,SavingsCalcs!$B$5:$M$148,F$8,FALSE)*$C$2+VLOOKUP("*"&amp;$D26&amp;"_2200"&amp;$A26&amp;"*"&amp;$B26,SavingsCalcs!$B$5:$M$148,F$8,FALSE)*$C$3+VLOOKUP("*"&amp;$D26&amp;"_2688"&amp;$A26&amp;"*"&amp;$B26,SavingsCalcs!$B$5:$M$148,F$8,FALSE)*$C$4,VLOOKUP("*"&amp;$D26&amp;"_5000"&amp;$A26&amp;"*"&amp;$B26,SavingsCalcs!$B$5:$M$148,F$8,FALSE))</f>
        <v>4952.1283628844976</v>
      </c>
      <c r="G26" s="247">
        <f>IF($C26="nwproto",VLOOKUP("*"&amp;$D26&amp;"_1568"&amp;$A26&amp;"*"&amp;$B26,SavingsCalcs!$B$5:$M$148,G$8,FALSE)*$C$2+VLOOKUP("*"&amp;$D26&amp;"_2200"&amp;$A26&amp;"*"&amp;$B26,SavingsCalcs!$B$5:$M$148,G$8,FALSE)*$C$3+VLOOKUP("*"&amp;$D26&amp;"_2688"&amp;$A26&amp;"*"&amp;$B26,SavingsCalcs!$B$5:$M$148,G$8,FALSE)*$C$4,VLOOKUP("*"&amp;$D26&amp;"_5000"&amp;$A26&amp;"*"&amp;$B26,SavingsCalcs!$B$5:$M$148,G$8,FALSE))</f>
        <v>172.75853796428567</v>
      </c>
      <c r="H26" s="247">
        <f>IF($C26="nwproto",VLOOKUP("*"&amp;$D26&amp;"_1568"&amp;$A26&amp;"*"&amp;$B26,SavingsCalcs!$B$5:$M$148,H$8,FALSE)*$C$2+VLOOKUP("*"&amp;$D26&amp;"_2200"&amp;$A26&amp;"*"&amp;$B26,SavingsCalcs!$B$5:$M$148,H$8,FALSE)*$C$3+VLOOKUP("*"&amp;$D26&amp;"_2688"&amp;$A26&amp;"*"&amp;$B26,SavingsCalcs!$B$5:$M$148,H$8,FALSE)*$C$4,VLOOKUP("*"&amp;$D26&amp;"_5000"&amp;$A26&amp;"*"&amp;$B26,SavingsCalcs!$B$5:$M$148,H$8,FALSE))</f>
        <v>0</v>
      </c>
      <c r="I26" s="247">
        <f>IF($C26="nwproto",VLOOKUP("*"&amp;$D26&amp;"_1568"&amp;$A26&amp;"*"&amp;$B26,SavingsCalcs!$B$5:$M$148,I$8,FALSE)*$C$2+VLOOKUP("*"&amp;$D26&amp;"_2200"&amp;$A26&amp;"*"&amp;$B26,SavingsCalcs!$B$5:$M$148,I$8,FALSE)*$C$3+VLOOKUP("*"&amp;$D26&amp;"_2688"&amp;$A26&amp;"*"&amp;$B26,SavingsCalcs!$B$5:$M$148,I$8,FALSE)*$C$4,VLOOKUP("*"&amp;$D26&amp;"_5000"&amp;$A26&amp;"*"&amp;$B26,SavingsCalcs!$B$5:$M$148,I$8,FALSE))</f>
        <v>156.52875830308164</v>
      </c>
      <c r="J26" s="248">
        <f>IF($C26="nwproto",VLOOKUP("*"&amp;$D26&amp;"_1568"&amp;$A26&amp;"*"&amp;$B26,SavingsCalcs!$B$5:$M$148,J$8,FALSE)*$C$2+VLOOKUP("*"&amp;$D26&amp;"_2200"&amp;$A26&amp;"*"&amp;$B26,SavingsCalcs!$B$5:$M$148,J$8,FALSE)*$C$3+VLOOKUP("*"&amp;$D26&amp;"_2688"&amp;$A26&amp;"*"&amp;$B26,SavingsCalcs!$B$5:$M$148,J$8,FALSE)*$C$4,VLOOKUP("*"&amp;$D26&amp;"_5000"&amp;$A26&amp;"*"&amp;$B26,SavingsCalcs!$B$5:$M$148,J$8,FALSE))</f>
        <v>19560.591</v>
      </c>
      <c r="K26" s="248">
        <f>IF($C26="nwproto",VLOOKUP("*"&amp;$D26&amp;"_1568"&amp;$A26&amp;"*"&amp;$B26,SavingsCalcs!$B$5:$M$148,K$8,FALSE)*$C$2+VLOOKUP("*"&amp;$D26&amp;"_2200"&amp;$A26&amp;"*"&amp;$B26,SavingsCalcs!$B$5:$M$148,K$8,FALSE)*$C$3+VLOOKUP("*"&amp;$D26&amp;"_2688"&amp;$A26&amp;"*"&amp;$B26,SavingsCalcs!$B$5:$M$148,K$8,FALSE)*$C$4,VLOOKUP("*"&amp;$D26&amp;"_5000"&amp;$A26&amp;"*"&amp;$B26,SavingsCalcs!$B$5:$M$148,K$8,FALSE))</f>
        <v>0</v>
      </c>
      <c r="L26" s="248"/>
      <c r="M26" s="9" t="str">
        <f>SavingsCalcs!B21</f>
        <v>WxHZ3CZ2_1568e_20gshp_des0</v>
      </c>
      <c r="N26" s="9" t="str">
        <f t="shared" si="1"/>
        <v>n_&gt;4000HZ3CZ2des0</v>
      </c>
    </row>
    <row r="27" spans="1:14">
      <c r="A27" s="220" t="s">
        <v>947</v>
      </c>
      <c r="B27" s="220" t="s">
        <v>948</v>
      </c>
      <c r="C27" s="220" t="s">
        <v>959</v>
      </c>
      <c r="D27" s="220" t="s">
        <v>958</v>
      </c>
      <c r="E27" s="220" t="str">
        <f t="shared" si="0"/>
        <v>Ground Source Heat Pump Upgrade from Air Source Heat Pump - Without Desuperheater - New House 4000 square feet or greater - Heating Zone 3 - Cooling Zone 3</v>
      </c>
      <c r="F27" s="247">
        <f>IF($C27="nwproto",VLOOKUP("*"&amp;$D27&amp;"_1568"&amp;$A27&amp;"*"&amp;$B27,SavingsCalcs!$B$5:$M$148,F$8,FALSE)*$C$2+VLOOKUP("*"&amp;$D27&amp;"_2200"&amp;$A27&amp;"*"&amp;$B27,SavingsCalcs!$B$5:$M$148,F$8,FALSE)*$C$3+VLOOKUP("*"&amp;$D27&amp;"_2688"&amp;$A27&amp;"*"&amp;$B27,SavingsCalcs!$B$5:$M$148,F$8,FALSE)*$C$4,VLOOKUP("*"&amp;$D27&amp;"_5000"&amp;$A27&amp;"*"&amp;$B27,SavingsCalcs!$B$5:$M$148,F$8,FALSE))</f>
        <v>4952.1283628844976</v>
      </c>
      <c r="G27" s="247">
        <f>IF($C27="nwproto",VLOOKUP("*"&amp;$D27&amp;"_1568"&amp;$A27&amp;"*"&amp;$B27,SavingsCalcs!$B$5:$M$148,G$8,FALSE)*$C$2+VLOOKUP("*"&amp;$D27&amp;"_2200"&amp;$A27&amp;"*"&amp;$B27,SavingsCalcs!$B$5:$M$148,G$8,FALSE)*$C$3+VLOOKUP("*"&amp;$D27&amp;"_2688"&amp;$A27&amp;"*"&amp;$B27,SavingsCalcs!$B$5:$M$148,G$8,FALSE)*$C$4,VLOOKUP("*"&amp;$D27&amp;"_5000"&amp;$A27&amp;"*"&amp;$B27,SavingsCalcs!$B$5:$M$148,G$8,FALSE))</f>
        <v>361.56853514285717</v>
      </c>
      <c r="H27" s="247">
        <f>IF($C27="nwproto",VLOOKUP("*"&amp;$D27&amp;"_1568"&amp;$A27&amp;"*"&amp;$B27,SavingsCalcs!$B$5:$M$148,H$8,FALSE)*$C$2+VLOOKUP("*"&amp;$D27&amp;"_2200"&amp;$A27&amp;"*"&amp;$B27,SavingsCalcs!$B$5:$M$148,H$8,FALSE)*$C$3+VLOOKUP("*"&amp;$D27&amp;"_2688"&amp;$A27&amp;"*"&amp;$B27,SavingsCalcs!$B$5:$M$148,H$8,FALSE)*$C$4,VLOOKUP("*"&amp;$D27&amp;"_5000"&amp;$A27&amp;"*"&amp;$B27,SavingsCalcs!$B$5:$M$148,H$8,FALSE))</f>
        <v>0</v>
      </c>
      <c r="I27" s="247">
        <f>IF($C27="nwproto",VLOOKUP("*"&amp;$D27&amp;"_1568"&amp;$A27&amp;"*"&amp;$B27,SavingsCalcs!$B$5:$M$148,I$8,FALSE)*$C$2+VLOOKUP("*"&amp;$D27&amp;"_2200"&amp;$A27&amp;"*"&amp;$B27,SavingsCalcs!$B$5:$M$148,I$8,FALSE)*$C$3+VLOOKUP("*"&amp;$D27&amp;"_2688"&amp;$A27&amp;"*"&amp;$B27,SavingsCalcs!$B$5:$M$148,I$8,FALSE)*$C$4,VLOOKUP("*"&amp;$D27&amp;"_5000"&amp;$A27&amp;"*"&amp;$B27,SavingsCalcs!$B$5:$M$148,I$8,FALSE))</f>
        <v>156.52875830308164</v>
      </c>
      <c r="J27" s="248">
        <f>IF($C27="nwproto",VLOOKUP("*"&amp;$D27&amp;"_1568"&amp;$A27&amp;"*"&amp;$B27,SavingsCalcs!$B$5:$M$148,J$8,FALSE)*$C$2+VLOOKUP("*"&amp;$D27&amp;"_2200"&amp;$A27&amp;"*"&amp;$B27,SavingsCalcs!$B$5:$M$148,J$8,FALSE)*$C$3+VLOOKUP("*"&amp;$D27&amp;"_2688"&amp;$A27&amp;"*"&amp;$B27,SavingsCalcs!$B$5:$M$148,J$8,FALSE)*$C$4,VLOOKUP("*"&amp;$D27&amp;"_5000"&amp;$A27&amp;"*"&amp;$B27,SavingsCalcs!$B$5:$M$148,J$8,FALSE))</f>
        <v>19560.591</v>
      </c>
      <c r="K27" s="248">
        <f>IF($C27="nwproto",VLOOKUP("*"&amp;$D27&amp;"_1568"&amp;$A27&amp;"*"&amp;$B27,SavingsCalcs!$B$5:$M$148,K$8,FALSE)*$C$2+VLOOKUP("*"&amp;$D27&amp;"_2200"&amp;$A27&amp;"*"&amp;$B27,SavingsCalcs!$B$5:$M$148,K$8,FALSE)*$C$3+VLOOKUP("*"&amp;$D27&amp;"_2688"&amp;$A27&amp;"*"&amp;$B27,SavingsCalcs!$B$5:$M$148,K$8,FALSE)*$C$4,VLOOKUP("*"&amp;$D27&amp;"_5000"&amp;$A27&amp;"*"&amp;$B27,SavingsCalcs!$B$5:$M$148,K$8,FALSE))</f>
        <v>0</v>
      </c>
      <c r="L27" s="248"/>
      <c r="M27" s="9" t="str">
        <f>SavingsCalcs!B22</f>
        <v>WxHZ3CZ3_1568e_20gshp_des0</v>
      </c>
      <c r="N27" s="9" t="str">
        <f t="shared" si="1"/>
        <v>n_&gt;4000HZ3CZ3des0</v>
      </c>
    </row>
    <row r="28" spans="1:14">
      <c r="A28" s="220" t="s">
        <v>947</v>
      </c>
      <c r="B28" s="220" t="s">
        <v>960</v>
      </c>
      <c r="C28" s="220" t="s">
        <v>949</v>
      </c>
      <c r="D28" s="220" t="s">
        <v>950</v>
      </c>
      <c r="E28" s="220" t="str">
        <f t="shared" si="0"/>
        <v>Ground Source Heat Pump Upgrade from Air Source Heat Pump - With Desuperheater - New House less than 4000 square feet - Heating Zone 1 - Cooling Zone 1</v>
      </c>
      <c r="F28" s="247">
        <f>IF($C28="nwproto",VLOOKUP("*"&amp;$D28&amp;"_1568"&amp;$A28&amp;"*"&amp;$B28,SavingsCalcs!$B$5:$M$148,F$8,FALSE)*$C$2+VLOOKUP("*"&amp;$D28&amp;"_2200"&amp;$A28&amp;"*"&amp;$B28,SavingsCalcs!$B$5:$M$148,F$8,FALSE)*$C$3+VLOOKUP("*"&amp;$D28&amp;"_2688"&amp;$A28&amp;"*"&amp;$B28,SavingsCalcs!$B$5:$M$148,F$8,FALSE)*$C$4,VLOOKUP("*"&amp;$D28&amp;"_5000"&amp;$A28&amp;"*"&amp;$B28,SavingsCalcs!$B$5:$M$148,F$8,FALSE))</f>
        <v>318.22593693910511</v>
      </c>
      <c r="G28" s="247">
        <f>IF($C28="nwproto",VLOOKUP("*"&amp;$D28&amp;"_1568"&amp;$A28&amp;"*"&amp;$B28,SavingsCalcs!$B$5:$M$148,G$8,FALSE)*$C$2+VLOOKUP("*"&amp;$D28&amp;"_2200"&amp;$A28&amp;"*"&amp;$B28,SavingsCalcs!$B$5:$M$148,G$8,FALSE)*$C$3+VLOOKUP("*"&amp;$D28&amp;"_2688"&amp;$A28&amp;"*"&amp;$B28,SavingsCalcs!$B$5:$M$148,G$8,FALSE)*$C$4,VLOOKUP("*"&amp;$D28&amp;"_5000"&amp;$A28&amp;"*"&amp;$B28,SavingsCalcs!$B$5:$M$148,G$8,FALSE))</f>
        <v>34.928832212499998</v>
      </c>
      <c r="H28" s="247">
        <f>IF($C28="nwproto",VLOOKUP("*"&amp;$D28&amp;"_1568"&amp;$A28&amp;"*"&amp;$B28,SavingsCalcs!$B$5:$M$148,H$8,FALSE)*$C$2+VLOOKUP("*"&amp;$D28&amp;"_2200"&amp;$A28&amp;"*"&amp;$B28,SavingsCalcs!$B$5:$M$148,H$8,FALSE)*$C$3+VLOOKUP("*"&amp;$D28&amp;"_2688"&amp;$A28&amp;"*"&amp;$B28,SavingsCalcs!$B$5:$M$148,H$8,FALSE)*$C$4,VLOOKUP("*"&amp;$D28&amp;"_5000"&amp;$A28&amp;"*"&amp;$B28,SavingsCalcs!$B$5:$M$148,H$8,FALSE))</f>
        <v>1362.5296059375</v>
      </c>
      <c r="I28" s="247">
        <f>IF($C28="nwproto",VLOOKUP("*"&amp;$D28&amp;"_1568"&amp;$A28&amp;"*"&amp;$B28,SavingsCalcs!$B$5:$M$148,I$8,FALSE)*$C$2+VLOOKUP("*"&amp;$D28&amp;"_2200"&amp;$A28&amp;"*"&amp;$B28,SavingsCalcs!$B$5:$M$148,I$8,FALSE)*$C$3+VLOOKUP("*"&amp;$D28&amp;"_2688"&amp;$A28&amp;"*"&amp;$B28,SavingsCalcs!$B$5:$M$148,I$8,FALSE)*$C$4,VLOOKUP("*"&amp;$D28&amp;"_5000"&amp;$A28&amp;"*"&amp;$B28,SavingsCalcs!$B$5:$M$148,I$8,FALSE))</f>
        <v>45.720399079587551</v>
      </c>
      <c r="J28" s="248">
        <f>IF($C28="nwproto",VLOOKUP("*"&amp;$D28&amp;"_1568"&amp;$A28&amp;"*"&amp;$B28,SavingsCalcs!$B$5:$M$148,J$8,FALSE)*$C$2+VLOOKUP("*"&amp;$D28&amp;"_2200"&amp;$A28&amp;"*"&amp;$B28,SavingsCalcs!$B$5:$M$148,J$8,FALSE)*$C$3+VLOOKUP("*"&amp;$D28&amp;"_2688"&amp;$A28&amp;"*"&amp;$B28,SavingsCalcs!$B$5:$M$148,J$8,FALSE)*$C$4,VLOOKUP("*"&amp;$D28&amp;"_5000"&amp;$A28&amp;"*"&amp;$B28,SavingsCalcs!$B$5:$M$148,J$8,FALSE))</f>
        <v>4097.9850750000005</v>
      </c>
      <c r="K28" s="248">
        <f>IF($C28="nwproto",VLOOKUP("*"&amp;$D28&amp;"_1568"&amp;$A28&amp;"*"&amp;$B28,SavingsCalcs!$B$5:$M$148,K$8,FALSE)*$C$2+VLOOKUP("*"&amp;$D28&amp;"_2200"&amp;$A28&amp;"*"&amp;$B28,SavingsCalcs!$B$5:$M$148,K$8,FALSE)*$C$3+VLOOKUP("*"&amp;$D28&amp;"_2688"&amp;$A28&amp;"*"&amp;$B28,SavingsCalcs!$B$5:$M$148,K$8,FALSE)*$C$4,VLOOKUP("*"&amp;$D28&amp;"_5000"&amp;$A28&amp;"*"&amp;$B28,SavingsCalcs!$B$5:$M$148,K$8,FALSE))</f>
        <v>1000</v>
      </c>
      <c r="L28" s="248"/>
      <c r="M28" s="9" t="str">
        <f>SavingsCalcs!B23</f>
        <v>NWHZ1CZ1_2200n_25gshp_des0</v>
      </c>
      <c r="N28" s="9" t="str">
        <f t="shared" si="1"/>
        <v>n_nwprotoHZ1CZ1des1</v>
      </c>
    </row>
    <row r="29" spans="1:14">
      <c r="A29" s="220" t="s">
        <v>947</v>
      </c>
      <c r="B29" s="220" t="s">
        <v>960</v>
      </c>
      <c r="C29" s="220" t="s">
        <v>949</v>
      </c>
      <c r="D29" s="220" t="s">
        <v>951</v>
      </c>
      <c r="E29" s="220" t="str">
        <f t="shared" si="0"/>
        <v>Ground Source Heat Pump Upgrade from Air Source Heat Pump - With Desuperheater - New House less than 4000 square feet - Heating Zone 1 - Cooling Zone 2</v>
      </c>
      <c r="F29" s="247">
        <f>IF($C29="nwproto",VLOOKUP("*"&amp;$D29&amp;"_1568"&amp;$A29&amp;"*"&amp;$B29,SavingsCalcs!$B$5:$M$148,F$8,FALSE)*$C$2+VLOOKUP("*"&amp;$D29&amp;"_2200"&amp;$A29&amp;"*"&amp;$B29,SavingsCalcs!$B$5:$M$148,F$8,FALSE)*$C$3+VLOOKUP("*"&amp;$D29&amp;"_2688"&amp;$A29&amp;"*"&amp;$B29,SavingsCalcs!$B$5:$M$148,F$8,FALSE)*$C$4,VLOOKUP("*"&amp;$D29&amp;"_5000"&amp;$A29&amp;"*"&amp;$B29,SavingsCalcs!$B$5:$M$148,F$8,FALSE))</f>
        <v>318.22593693910511</v>
      </c>
      <c r="G29" s="247">
        <f>IF($C29="nwproto",VLOOKUP("*"&amp;$D29&amp;"_1568"&amp;$A29&amp;"*"&amp;$B29,SavingsCalcs!$B$5:$M$148,G$8,FALSE)*$C$2+VLOOKUP("*"&amp;$D29&amp;"_2200"&amp;$A29&amp;"*"&amp;$B29,SavingsCalcs!$B$5:$M$148,G$8,FALSE)*$C$3+VLOOKUP("*"&amp;$D29&amp;"_2688"&amp;$A29&amp;"*"&amp;$B29,SavingsCalcs!$B$5:$M$148,G$8,FALSE)*$C$4,VLOOKUP("*"&amp;$D29&amp;"_5000"&amp;$A29&amp;"*"&amp;$B29,SavingsCalcs!$B$5:$M$148,G$8,FALSE))</f>
        <v>109.77748595535709</v>
      </c>
      <c r="H29" s="247">
        <f>IF($C29="nwproto",VLOOKUP("*"&amp;$D29&amp;"_1568"&amp;$A29&amp;"*"&amp;$B29,SavingsCalcs!$B$5:$M$148,H$8,FALSE)*$C$2+VLOOKUP("*"&amp;$D29&amp;"_2200"&amp;$A29&amp;"*"&amp;$B29,SavingsCalcs!$B$5:$M$148,H$8,FALSE)*$C$3+VLOOKUP("*"&amp;$D29&amp;"_2688"&amp;$A29&amp;"*"&amp;$B29,SavingsCalcs!$B$5:$M$148,H$8,FALSE)*$C$4,VLOOKUP("*"&amp;$D29&amp;"_5000"&amp;$A29&amp;"*"&amp;$B29,SavingsCalcs!$B$5:$M$148,H$8,FALSE))</f>
        <v>1362.5296059375</v>
      </c>
      <c r="I29" s="247">
        <f>IF($C29="nwproto",VLOOKUP("*"&amp;$D29&amp;"_1568"&amp;$A29&amp;"*"&amp;$B29,SavingsCalcs!$B$5:$M$148,I$8,FALSE)*$C$2+VLOOKUP("*"&amp;$D29&amp;"_2200"&amp;$A29&amp;"*"&amp;$B29,SavingsCalcs!$B$5:$M$148,I$8,FALSE)*$C$3+VLOOKUP("*"&amp;$D29&amp;"_2688"&amp;$A29&amp;"*"&amp;$B29,SavingsCalcs!$B$5:$M$148,I$8,FALSE)*$C$4,VLOOKUP("*"&amp;$D29&amp;"_5000"&amp;$A29&amp;"*"&amp;$B29,SavingsCalcs!$B$5:$M$148,I$8,FALSE))</f>
        <v>45.720399079587551</v>
      </c>
      <c r="J29" s="248">
        <f>IF($C29="nwproto",VLOOKUP("*"&amp;$D29&amp;"_1568"&amp;$A29&amp;"*"&amp;$B29,SavingsCalcs!$B$5:$M$148,J$8,FALSE)*$C$2+VLOOKUP("*"&amp;$D29&amp;"_2200"&amp;$A29&amp;"*"&amp;$B29,SavingsCalcs!$B$5:$M$148,J$8,FALSE)*$C$3+VLOOKUP("*"&amp;$D29&amp;"_2688"&amp;$A29&amp;"*"&amp;$B29,SavingsCalcs!$B$5:$M$148,J$8,FALSE)*$C$4,VLOOKUP("*"&amp;$D29&amp;"_5000"&amp;$A29&amp;"*"&amp;$B29,SavingsCalcs!$B$5:$M$148,J$8,FALSE))</f>
        <v>4097.9850750000005</v>
      </c>
      <c r="K29" s="248">
        <f>IF($C29="nwproto",VLOOKUP("*"&amp;$D29&amp;"_1568"&amp;$A29&amp;"*"&amp;$B29,SavingsCalcs!$B$5:$M$148,K$8,FALSE)*$C$2+VLOOKUP("*"&amp;$D29&amp;"_2200"&amp;$A29&amp;"*"&amp;$B29,SavingsCalcs!$B$5:$M$148,K$8,FALSE)*$C$3+VLOOKUP("*"&amp;$D29&amp;"_2688"&amp;$A29&amp;"*"&amp;$B29,SavingsCalcs!$B$5:$M$148,K$8,FALSE)*$C$4,VLOOKUP("*"&amp;$D29&amp;"_5000"&amp;$A29&amp;"*"&amp;$B29,SavingsCalcs!$B$5:$M$148,K$8,FALSE))</f>
        <v>1000</v>
      </c>
      <c r="L29" s="248"/>
      <c r="M29" s="9" t="str">
        <f>SavingsCalcs!B24</f>
        <v>NWHZ1CZ2_2200n_25gshp_des0</v>
      </c>
      <c r="N29" s="9" t="str">
        <f t="shared" si="1"/>
        <v>n_nwprotoHZ1CZ2des1</v>
      </c>
    </row>
    <row r="30" spans="1:14">
      <c r="A30" s="220" t="s">
        <v>947</v>
      </c>
      <c r="B30" s="220" t="s">
        <v>960</v>
      </c>
      <c r="C30" s="220" t="s">
        <v>949</v>
      </c>
      <c r="D30" s="220" t="s">
        <v>952</v>
      </c>
      <c r="E30" s="220" t="str">
        <f t="shared" si="0"/>
        <v>Ground Source Heat Pump Upgrade from Air Source Heat Pump - With Desuperheater - New House less than 4000 square feet - Heating Zone 1 - Cooling Zone 3</v>
      </c>
      <c r="F30" s="247">
        <f>IF($C30="nwproto",VLOOKUP("*"&amp;$D30&amp;"_1568"&amp;$A30&amp;"*"&amp;$B30,SavingsCalcs!$B$5:$M$148,F$8,FALSE)*$C$2+VLOOKUP("*"&amp;$D30&amp;"_2200"&amp;$A30&amp;"*"&amp;$B30,SavingsCalcs!$B$5:$M$148,F$8,FALSE)*$C$3+VLOOKUP("*"&amp;$D30&amp;"_2688"&amp;$A30&amp;"*"&amp;$B30,SavingsCalcs!$B$5:$M$148,F$8,FALSE)*$C$4,VLOOKUP("*"&amp;$D30&amp;"_5000"&amp;$A30&amp;"*"&amp;$B30,SavingsCalcs!$B$5:$M$148,F$8,FALSE))</f>
        <v>318.22593693910511</v>
      </c>
      <c r="G30" s="247">
        <f>IF($C30="nwproto",VLOOKUP("*"&amp;$D30&amp;"_1568"&amp;$A30&amp;"*"&amp;$B30,SavingsCalcs!$B$5:$M$148,G$8,FALSE)*$C$2+VLOOKUP("*"&amp;$D30&amp;"_2200"&amp;$A30&amp;"*"&amp;$B30,SavingsCalcs!$B$5:$M$148,G$8,FALSE)*$C$3+VLOOKUP("*"&amp;$D30&amp;"_2688"&amp;$A30&amp;"*"&amp;$B30,SavingsCalcs!$B$5:$M$148,G$8,FALSE)*$C$4,VLOOKUP("*"&amp;$D30&amp;"_5000"&amp;$A30&amp;"*"&amp;$B30,SavingsCalcs!$B$5:$M$148,G$8,FALSE))</f>
        <v>232.84251668392858</v>
      </c>
      <c r="H30" s="247">
        <f>IF($C30="nwproto",VLOOKUP("*"&amp;$D30&amp;"_1568"&amp;$A30&amp;"*"&amp;$B30,SavingsCalcs!$B$5:$M$148,H$8,FALSE)*$C$2+VLOOKUP("*"&amp;$D30&amp;"_2200"&amp;$A30&amp;"*"&amp;$B30,SavingsCalcs!$B$5:$M$148,H$8,FALSE)*$C$3+VLOOKUP("*"&amp;$D30&amp;"_2688"&amp;$A30&amp;"*"&amp;$B30,SavingsCalcs!$B$5:$M$148,H$8,FALSE)*$C$4,VLOOKUP("*"&amp;$D30&amp;"_5000"&amp;$A30&amp;"*"&amp;$B30,SavingsCalcs!$B$5:$M$148,H$8,FALSE))</f>
        <v>1362.5296059375</v>
      </c>
      <c r="I30" s="247">
        <f>IF($C30="nwproto",VLOOKUP("*"&amp;$D30&amp;"_1568"&amp;$A30&amp;"*"&amp;$B30,SavingsCalcs!$B$5:$M$148,I$8,FALSE)*$C$2+VLOOKUP("*"&amp;$D30&amp;"_2200"&amp;$A30&amp;"*"&amp;$B30,SavingsCalcs!$B$5:$M$148,I$8,FALSE)*$C$3+VLOOKUP("*"&amp;$D30&amp;"_2688"&amp;$A30&amp;"*"&amp;$B30,SavingsCalcs!$B$5:$M$148,I$8,FALSE)*$C$4,VLOOKUP("*"&amp;$D30&amp;"_5000"&amp;$A30&amp;"*"&amp;$B30,SavingsCalcs!$B$5:$M$148,I$8,FALSE))</f>
        <v>45.720399079587551</v>
      </c>
      <c r="J30" s="248">
        <f>IF($C30="nwproto",VLOOKUP("*"&amp;$D30&amp;"_1568"&amp;$A30&amp;"*"&amp;$B30,SavingsCalcs!$B$5:$M$148,J$8,FALSE)*$C$2+VLOOKUP("*"&amp;$D30&amp;"_2200"&amp;$A30&amp;"*"&amp;$B30,SavingsCalcs!$B$5:$M$148,J$8,FALSE)*$C$3+VLOOKUP("*"&amp;$D30&amp;"_2688"&amp;$A30&amp;"*"&amp;$B30,SavingsCalcs!$B$5:$M$148,J$8,FALSE)*$C$4,VLOOKUP("*"&amp;$D30&amp;"_5000"&amp;$A30&amp;"*"&amp;$B30,SavingsCalcs!$B$5:$M$148,J$8,FALSE))</f>
        <v>4097.9850750000005</v>
      </c>
      <c r="K30" s="248">
        <f>IF($C30="nwproto",VLOOKUP("*"&amp;$D30&amp;"_1568"&amp;$A30&amp;"*"&amp;$B30,SavingsCalcs!$B$5:$M$148,K$8,FALSE)*$C$2+VLOOKUP("*"&amp;$D30&amp;"_2200"&amp;$A30&amp;"*"&amp;$B30,SavingsCalcs!$B$5:$M$148,K$8,FALSE)*$C$3+VLOOKUP("*"&amp;$D30&amp;"_2688"&amp;$A30&amp;"*"&amp;$B30,SavingsCalcs!$B$5:$M$148,K$8,FALSE)*$C$4,VLOOKUP("*"&amp;$D30&amp;"_5000"&amp;$A30&amp;"*"&amp;$B30,SavingsCalcs!$B$5:$M$148,K$8,FALSE))</f>
        <v>1000</v>
      </c>
      <c r="L30" s="248"/>
      <c r="M30" s="9" t="str">
        <f>SavingsCalcs!B25</f>
        <v>NWHZ1CZ3_2200n_25gshp_des0</v>
      </c>
      <c r="N30" s="9" t="str">
        <f t="shared" si="1"/>
        <v>n_nwprotoHZ1CZ3des1</v>
      </c>
    </row>
    <row r="31" spans="1:14">
      <c r="A31" s="220" t="s">
        <v>947</v>
      </c>
      <c r="B31" s="220" t="s">
        <v>960</v>
      </c>
      <c r="C31" s="220" t="s">
        <v>949</v>
      </c>
      <c r="D31" s="220" t="s">
        <v>953</v>
      </c>
      <c r="E31" s="220" t="str">
        <f t="shared" si="0"/>
        <v>Ground Source Heat Pump Upgrade from Air Source Heat Pump - With Desuperheater - New House less than 4000 square feet - Heating Zone 2 - Cooling Zone 1</v>
      </c>
      <c r="F31" s="247">
        <f>IF($C31="nwproto",VLOOKUP("*"&amp;$D31&amp;"_1568"&amp;$A31&amp;"*"&amp;$B31,SavingsCalcs!$B$5:$M$148,F$8,FALSE)*$C$2+VLOOKUP("*"&amp;$D31&amp;"_2200"&amp;$A31&amp;"*"&amp;$B31,SavingsCalcs!$B$5:$M$148,F$8,FALSE)*$C$3+VLOOKUP("*"&amp;$D31&amp;"_2688"&amp;$A31&amp;"*"&amp;$B31,SavingsCalcs!$B$5:$M$148,F$8,FALSE)*$C$4,VLOOKUP("*"&amp;$D31&amp;"_5000"&amp;$A31&amp;"*"&amp;$B31,SavingsCalcs!$B$5:$M$148,F$8,FALSE))</f>
        <v>1114.0280433216483</v>
      </c>
      <c r="G31" s="247">
        <f>IF($C31="nwproto",VLOOKUP("*"&amp;$D31&amp;"_1568"&amp;$A31&amp;"*"&amp;$B31,SavingsCalcs!$B$5:$M$148,G$8,FALSE)*$C$2+VLOOKUP("*"&amp;$D31&amp;"_2200"&amp;$A31&amp;"*"&amp;$B31,SavingsCalcs!$B$5:$M$148,G$8,FALSE)*$C$3+VLOOKUP("*"&amp;$D31&amp;"_2688"&amp;$A31&amp;"*"&amp;$B31,SavingsCalcs!$B$5:$M$148,G$8,FALSE)*$C$4,VLOOKUP("*"&amp;$D31&amp;"_5000"&amp;$A31&amp;"*"&amp;$B31,SavingsCalcs!$B$5:$M$148,G$8,FALSE))</f>
        <v>34.928832212499998</v>
      </c>
      <c r="H31" s="247">
        <f>IF($C31="nwproto",VLOOKUP("*"&amp;$D31&amp;"_1568"&amp;$A31&amp;"*"&amp;$B31,SavingsCalcs!$B$5:$M$148,H$8,FALSE)*$C$2+VLOOKUP("*"&amp;$D31&amp;"_2200"&amp;$A31&amp;"*"&amp;$B31,SavingsCalcs!$B$5:$M$148,H$8,FALSE)*$C$3+VLOOKUP("*"&amp;$D31&amp;"_2688"&amp;$A31&amp;"*"&amp;$B31,SavingsCalcs!$B$5:$M$148,H$8,FALSE)*$C$4,VLOOKUP("*"&amp;$D31&amp;"_5000"&amp;$A31&amp;"*"&amp;$B31,SavingsCalcs!$B$5:$M$148,H$8,FALSE))</f>
        <v>1907.05213155</v>
      </c>
      <c r="I31" s="247">
        <f>IF($C31="nwproto",VLOOKUP("*"&amp;$D31&amp;"_1568"&amp;$A31&amp;"*"&amp;$B31,SavingsCalcs!$B$5:$M$148,I$8,FALSE)*$C$2+VLOOKUP("*"&amp;$D31&amp;"_2200"&amp;$A31&amp;"*"&amp;$B31,SavingsCalcs!$B$5:$M$148,I$8,FALSE)*$C$3+VLOOKUP("*"&amp;$D31&amp;"_2688"&amp;$A31&amp;"*"&amp;$B31,SavingsCalcs!$B$5:$M$148,I$8,FALSE)*$C$4,VLOOKUP("*"&amp;$D31&amp;"_5000"&amp;$A31&amp;"*"&amp;$B31,SavingsCalcs!$B$5:$M$148,I$8,FALSE))</f>
        <v>46.119765184035444</v>
      </c>
      <c r="J31" s="248">
        <f>IF($C31="nwproto",VLOOKUP("*"&amp;$D31&amp;"_1568"&amp;$A31&amp;"*"&amp;$B31,SavingsCalcs!$B$5:$M$148,J$8,FALSE)*$C$2+VLOOKUP("*"&amp;$D31&amp;"_2200"&amp;$A31&amp;"*"&amp;$B31,SavingsCalcs!$B$5:$M$148,J$8,FALSE)*$C$3+VLOOKUP("*"&amp;$D31&amp;"_2688"&amp;$A31&amp;"*"&amp;$B31,SavingsCalcs!$B$5:$M$148,J$8,FALSE)*$C$4,VLOOKUP("*"&amp;$D31&amp;"_5000"&amp;$A31&amp;"*"&amp;$B31,SavingsCalcs!$B$5:$M$148,J$8,FALSE))</f>
        <v>8135.5023250000022</v>
      </c>
      <c r="K31" s="248">
        <f>IF($C31="nwproto",VLOOKUP("*"&amp;$D31&amp;"_1568"&amp;$A31&amp;"*"&amp;$B31,SavingsCalcs!$B$5:$M$148,K$8,FALSE)*$C$2+VLOOKUP("*"&amp;$D31&amp;"_2200"&amp;$A31&amp;"*"&amp;$B31,SavingsCalcs!$B$5:$M$148,K$8,FALSE)*$C$3+VLOOKUP("*"&amp;$D31&amp;"_2688"&amp;$A31&amp;"*"&amp;$B31,SavingsCalcs!$B$5:$M$148,K$8,FALSE)*$C$4,VLOOKUP("*"&amp;$D31&amp;"_5000"&amp;$A31&amp;"*"&amp;$B31,SavingsCalcs!$B$5:$M$148,K$8,FALSE))</f>
        <v>1000</v>
      </c>
      <c r="L31" s="248"/>
      <c r="M31" s="9" t="str">
        <f>SavingsCalcs!B26</f>
        <v>WxHZ1CZ1_2200e_30gshp_des0</v>
      </c>
      <c r="N31" s="9" t="str">
        <f t="shared" si="1"/>
        <v>n_nwprotoHZ2CZ1des1</v>
      </c>
    </row>
    <row r="32" spans="1:14">
      <c r="A32" s="220" t="s">
        <v>947</v>
      </c>
      <c r="B32" s="220" t="s">
        <v>960</v>
      </c>
      <c r="C32" s="220" t="s">
        <v>949</v>
      </c>
      <c r="D32" s="220" t="s">
        <v>954</v>
      </c>
      <c r="E32" s="220" t="str">
        <f t="shared" si="0"/>
        <v>Ground Source Heat Pump Upgrade from Air Source Heat Pump - With Desuperheater - New House less than 4000 square feet - Heating Zone 2 - Cooling Zone 2</v>
      </c>
      <c r="F32" s="247">
        <f>IF($C32="nwproto",VLOOKUP("*"&amp;$D32&amp;"_1568"&amp;$A32&amp;"*"&amp;$B32,SavingsCalcs!$B$5:$M$148,F$8,FALSE)*$C$2+VLOOKUP("*"&amp;$D32&amp;"_2200"&amp;$A32&amp;"*"&amp;$B32,SavingsCalcs!$B$5:$M$148,F$8,FALSE)*$C$3+VLOOKUP("*"&amp;$D32&amp;"_2688"&amp;$A32&amp;"*"&amp;$B32,SavingsCalcs!$B$5:$M$148,F$8,FALSE)*$C$4,VLOOKUP("*"&amp;$D32&amp;"_5000"&amp;$A32&amp;"*"&amp;$B32,SavingsCalcs!$B$5:$M$148,F$8,FALSE))</f>
        <v>1114.0280433216483</v>
      </c>
      <c r="G32" s="247">
        <f>IF($C32="nwproto",VLOOKUP("*"&amp;$D32&amp;"_1568"&amp;$A32&amp;"*"&amp;$B32,SavingsCalcs!$B$5:$M$148,G$8,FALSE)*$C$2+VLOOKUP("*"&amp;$D32&amp;"_2200"&amp;$A32&amp;"*"&amp;$B32,SavingsCalcs!$B$5:$M$148,G$8,FALSE)*$C$3+VLOOKUP("*"&amp;$D32&amp;"_2688"&amp;$A32&amp;"*"&amp;$B32,SavingsCalcs!$B$5:$M$148,G$8,FALSE)*$C$4,VLOOKUP("*"&amp;$D32&amp;"_5000"&amp;$A32&amp;"*"&amp;$B32,SavingsCalcs!$B$5:$M$148,G$8,FALSE))</f>
        <v>109.77748595535709</v>
      </c>
      <c r="H32" s="247">
        <f>IF($C32="nwproto",VLOOKUP("*"&amp;$D32&amp;"_1568"&amp;$A32&amp;"*"&amp;$B32,SavingsCalcs!$B$5:$M$148,H$8,FALSE)*$C$2+VLOOKUP("*"&amp;$D32&amp;"_2200"&amp;$A32&amp;"*"&amp;$B32,SavingsCalcs!$B$5:$M$148,H$8,FALSE)*$C$3+VLOOKUP("*"&amp;$D32&amp;"_2688"&amp;$A32&amp;"*"&amp;$B32,SavingsCalcs!$B$5:$M$148,H$8,FALSE)*$C$4,VLOOKUP("*"&amp;$D32&amp;"_5000"&amp;$A32&amp;"*"&amp;$B32,SavingsCalcs!$B$5:$M$148,H$8,FALSE))</f>
        <v>1907.05213155</v>
      </c>
      <c r="I32" s="247">
        <f>IF($C32="nwproto",VLOOKUP("*"&amp;$D32&amp;"_1568"&amp;$A32&amp;"*"&amp;$B32,SavingsCalcs!$B$5:$M$148,I$8,FALSE)*$C$2+VLOOKUP("*"&amp;$D32&amp;"_2200"&amp;$A32&amp;"*"&amp;$B32,SavingsCalcs!$B$5:$M$148,I$8,FALSE)*$C$3+VLOOKUP("*"&amp;$D32&amp;"_2688"&amp;$A32&amp;"*"&amp;$B32,SavingsCalcs!$B$5:$M$148,I$8,FALSE)*$C$4,VLOOKUP("*"&amp;$D32&amp;"_5000"&amp;$A32&amp;"*"&amp;$B32,SavingsCalcs!$B$5:$M$148,I$8,FALSE))</f>
        <v>46.119765184035444</v>
      </c>
      <c r="J32" s="248">
        <f>IF($C32="nwproto",VLOOKUP("*"&amp;$D32&amp;"_1568"&amp;$A32&amp;"*"&amp;$B32,SavingsCalcs!$B$5:$M$148,J$8,FALSE)*$C$2+VLOOKUP("*"&amp;$D32&amp;"_2200"&amp;$A32&amp;"*"&amp;$B32,SavingsCalcs!$B$5:$M$148,J$8,FALSE)*$C$3+VLOOKUP("*"&amp;$D32&amp;"_2688"&amp;$A32&amp;"*"&amp;$B32,SavingsCalcs!$B$5:$M$148,J$8,FALSE)*$C$4,VLOOKUP("*"&amp;$D32&amp;"_5000"&amp;$A32&amp;"*"&amp;$B32,SavingsCalcs!$B$5:$M$148,J$8,FALSE))</f>
        <v>8135.5023250000022</v>
      </c>
      <c r="K32" s="248">
        <f>IF($C32="nwproto",VLOOKUP("*"&amp;$D32&amp;"_1568"&amp;$A32&amp;"*"&amp;$B32,SavingsCalcs!$B$5:$M$148,K$8,FALSE)*$C$2+VLOOKUP("*"&amp;$D32&amp;"_2200"&amp;$A32&amp;"*"&amp;$B32,SavingsCalcs!$B$5:$M$148,K$8,FALSE)*$C$3+VLOOKUP("*"&amp;$D32&amp;"_2688"&amp;$A32&amp;"*"&amp;$B32,SavingsCalcs!$B$5:$M$148,K$8,FALSE)*$C$4,VLOOKUP("*"&amp;$D32&amp;"_5000"&amp;$A32&amp;"*"&amp;$B32,SavingsCalcs!$B$5:$M$148,K$8,FALSE))</f>
        <v>1000</v>
      </c>
      <c r="L32" s="248"/>
      <c r="M32" s="9" t="str">
        <f>SavingsCalcs!B27</f>
        <v>WxHZ1CZ2_2200e_30gshp_des0</v>
      </c>
      <c r="N32" s="9" t="str">
        <f t="shared" si="1"/>
        <v>n_nwprotoHZ2CZ2des1</v>
      </c>
    </row>
    <row r="33" spans="1:14">
      <c r="A33" s="220" t="s">
        <v>947</v>
      </c>
      <c r="B33" s="220" t="s">
        <v>960</v>
      </c>
      <c r="C33" s="220" t="s">
        <v>949</v>
      </c>
      <c r="D33" s="220" t="s">
        <v>955</v>
      </c>
      <c r="E33" s="220" t="str">
        <f t="shared" si="0"/>
        <v>Ground Source Heat Pump Upgrade from Air Source Heat Pump - With Desuperheater - New House less than 4000 square feet - Heating Zone 2 - Cooling Zone 3</v>
      </c>
      <c r="F33" s="247">
        <f>IF($C33="nwproto",VLOOKUP("*"&amp;$D33&amp;"_1568"&amp;$A33&amp;"*"&amp;$B33,SavingsCalcs!$B$5:$M$148,F$8,FALSE)*$C$2+VLOOKUP("*"&amp;$D33&amp;"_2200"&amp;$A33&amp;"*"&amp;$B33,SavingsCalcs!$B$5:$M$148,F$8,FALSE)*$C$3+VLOOKUP("*"&amp;$D33&amp;"_2688"&amp;$A33&amp;"*"&amp;$B33,SavingsCalcs!$B$5:$M$148,F$8,FALSE)*$C$4,VLOOKUP("*"&amp;$D33&amp;"_5000"&amp;$A33&amp;"*"&amp;$B33,SavingsCalcs!$B$5:$M$148,F$8,FALSE))</f>
        <v>1114.0280433216483</v>
      </c>
      <c r="G33" s="247">
        <f>IF($C33="nwproto",VLOOKUP("*"&amp;$D33&amp;"_1568"&amp;$A33&amp;"*"&amp;$B33,SavingsCalcs!$B$5:$M$148,G$8,FALSE)*$C$2+VLOOKUP("*"&amp;$D33&amp;"_2200"&amp;$A33&amp;"*"&amp;$B33,SavingsCalcs!$B$5:$M$148,G$8,FALSE)*$C$3+VLOOKUP("*"&amp;$D33&amp;"_2688"&amp;$A33&amp;"*"&amp;$B33,SavingsCalcs!$B$5:$M$148,G$8,FALSE)*$C$4,VLOOKUP("*"&amp;$D33&amp;"_5000"&amp;$A33&amp;"*"&amp;$B33,SavingsCalcs!$B$5:$M$148,G$8,FALSE))</f>
        <v>232.84251668392858</v>
      </c>
      <c r="H33" s="247">
        <f>IF($C33="nwproto",VLOOKUP("*"&amp;$D33&amp;"_1568"&amp;$A33&amp;"*"&amp;$B33,SavingsCalcs!$B$5:$M$148,H$8,FALSE)*$C$2+VLOOKUP("*"&amp;$D33&amp;"_2200"&amp;$A33&amp;"*"&amp;$B33,SavingsCalcs!$B$5:$M$148,H$8,FALSE)*$C$3+VLOOKUP("*"&amp;$D33&amp;"_2688"&amp;$A33&amp;"*"&amp;$B33,SavingsCalcs!$B$5:$M$148,H$8,FALSE)*$C$4,VLOOKUP("*"&amp;$D33&amp;"_5000"&amp;$A33&amp;"*"&amp;$B33,SavingsCalcs!$B$5:$M$148,H$8,FALSE))</f>
        <v>1907.05213155</v>
      </c>
      <c r="I33" s="247">
        <f>IF($C33="nwproto",VLOOKUP("*"&amp;$D33&amp;"_1568"&amp;$A33&amp;"*"&amp;$B33,SavingsCalcs!$B$5:$M$148,I$8,FALSE)*$C$2+VLOOKUP("*"&amp;$D33&amp;"_2200"&amp;$A33&amp;"*"&amp;$B33,SavingsCalcs!$B$5:$M$148,I$8,FALSE)*$C$3+VLOOKUP("*"&amp;$D33&amp;"_2688"&amp;$A33&amp;"*"&amp;$B33,SavingsCalcs!$B$5:$M$148,I$8,FALSE)*$C$4,VLOOKUP("*"&amp;$D33&amp;"_5000"&amp;$A33&amp;"*"&amp;$B33,SavingsCalcs!$B$5:$M$148,I$8,FALSE))</f>
        <v>46.119765184035444</v>
      </c>
      <c r="J33" s="248">
        <f>IF($C33="nwproto",VLOOKUP("*"&amp;$D33&amp;"_1568"&amp;$A33&amp;"*"&amp;$B33,SavingsCalcs!$B$5:$M$148,J$8,FALSE)*$C$2+VLOOKUP("*"&amp;$D33&amp;"_2200"&amp;$A33&amp;"*"&amp;$B33,SavingsCalcs!$B$5:$M$148,J$8,FALSE)*$C$3+VLOOKUP("*"&amp;$D33&amp;"_2688"&amp;$A33&amp;"*"&amp;$B33,SavingsCalcs!$B$5:$M$148,J$8,FALSE)*$C$4,VLOOKUP("*"&amp;$D33&amp;"_5000"&amp;$A33&amp;"*"&amp;$B33,SavingsCalcs!$B$5:$M$148,J$8,FALSE))</f>
        <v>8135.5023250000022</v>
      </c>
      <c r="K33" s="248">
        <f>IF($C33="nwproto",VLOOKUP("*"&amp;$D33&amp;"_1568"&amp;$A33&amp;"*"&amp;$B33,SavingsCalcs!$B$5:$M$148,K$8,FALSE)*$C$2+VLOOKUP("*"&amp;$D33&amp;"_2200"&amp;$A33&amp;"*"&amp;$B33,SavingsCalcs!$B$5:$M$148,K$8,FALSE)*$C$3+VLOOKUP("*"&amp;$D33&amp;"_2688"&amp;$A33&amp;"*"&amp;$B33,SavingsCalcs!$B$5:$M$148,K$8,FALSE)*$C$4,VLOOKUP("*"&amp;$D33&amp;"_5000"&amp;$A33&amp;"*"&amp;$B33,SavingsCalcs!$B$5:$M$148,K$8,FALSE))</f>
        <v>1000</v>
      </c>
      <c r="L33" s="248"/>
      <c r="M33" s="9" t="str">
        <f>SavingsCalcs!B28</f>
        <v>WxHZ1CZ3_2200e_30gshp_des0</v>
      </c>
      <c r="N33" s="9" t="str">
        <f t="shared" si="1"/>
        <v>n_nwprotoHZ2CZ3des1</v>
      </c>
    </row>
    <row r="34" spans="1:14">
      <c r="A34" s="220" t="s">
        <v>947</v>
      </c>
      <c r="B34" s="220" t="s">
        <v>960</v>
      </c>
      <c r="C34" s="220" t="s">
        <v>949</v>
      </c>
      <c r="D34" s="220" t="s">
        <v>956</v>
      </c>
      <c r="E34" s="220" t="str">
        <f t="shared" si="0"/>
        <v>Ground Source Heat Pump Upgrade from Air Source Heat Pump - With Desuperheater - New House less than 4000 square feet - Heating Zone 3 - Cooling Zone 1</v>
      </c>
      <c r="F34" s="247">
        <f>IF($C34="nwproto",VLOOKUP("*"&amp;$D34&amp;"_1568"&amp;$A34&amp;"*"&amp;$B34,SavingsCalcs!$B$5:$M$148,F$8,FALSE)*$C$2+VLOOKUP("*"&amp;$D34&amp;"_2200"&amp;$A34&amp;"*"&amp;$B34,SavingsCalcs!$B$5:$M$148,F$8,FALSE)*$C$3+VLOOKUP("*"&amp;$D34&amp;"_2688"&amp;$A34&amp;"*"&amp;$B34,SavingsCalcs!$B$5:$M$148,F$8,FALSE)*$C$4,VLOOKUP("*"&amp;$D34&amp;"_5000"&amp;$A34&amp;"*"&amp;$B34,SavingsCalcs!$B$5:$M$148,F$8,FALSE))</f>
        <v>1747.517137237355</v>
      </c>
      <c r="G34" s="247">
        <f>IF($C34="nwproto",VLOOKUP("*"&amp;$D34&amp;"_1568"&amp;$A34&amp;"*"&amp;$B34,SavingsCalcs!$B$5:$M$148,G$8,FALSE)*$C$2+VLOOKUP("*"&amp;$D34&amp;"_2200"&amp;$A34&amp;"*"&amp;$B34,SavingsCalcs!$B$5:$M$148,G$8,FALSE)*$C$3+VLOOKUP("*"&amp;$D34&amp;"_2688"&amp;$A34&amp;"*"&amp;$B34,SavingsCalcs!$B$5:$M$148,G$8,FALSE)*$C$4,VLOOKUP("*"&amp;$D34&amp;"_5000"&amp;$A34&amp;"*"&amp;$B34,SavingsCalcs!$B$5:$M$148,G$8,FALSE))</f>
        <v>34.928832212499998</v>
      </c>
      <c r="H34" s="247">
        <f>IF($C34="nwproto",VLOOKUP("*"&amp;$D34&amp;"_1568"&amp;$A34&amp;"*"&amp;$B34,SavingsCalcs!$B$5:$M$148,H$8,FALSE)*$C$2+VLOOKUP("*"&amp;$D34&amp;"_2200"&amp;$A34&amp;"*"&amp;$B34,SavingsCalcs!$B$5:$M$148,H$8,FALSE)*$C$3+VLOOKUP("*"&amp;$D34&amp;"_2688"&amp;$A34&amp;"*"&amp;$B34,SavingsCalcs!$B$5:$M$148,H$8,FALSE)*$C$4,VLOOKUP("*"&amp;$D34&amp;"_5000"&amp;$A34&amp;"*"&amp;$B34,SavingsCalcs!$B$5:$M$148,H$8,FALSE))</f>
        <v>2199.8768644874999</v>
      </c>
      <c r="I34" s="247">
        <f>IF($C34="nwproto",VLOOKUP("*"&amp;$D34&amp;"_1568"&amp;$A34&amp;"*"&amp;$B34,SavingsCalcs!$B$5:$M$148,I$8,FALSE)*$C$2+VLOOKUP("*"&amp;$D34&amp;"_2200"&amp;$A34&amp;"*"&amp;$B34,SavingsCalcs!$B$5:$M$148,I$8,FALSE)*$C$3+VLOOKUP("*"&amp;$D34&amp;"_2688"&amp;$A34&amp;"*"&amp;$B34,SavingsCalcs!$B$5:$M$148,I$8,FALSE)*$C$4,VLOOKUP("*"&amp;$D34&amp;"_5000"&amp;$A34&amp;"*"&amp;$B34,SavingsCalcs!$B$5:$M$148,I$8,FALSE))</f>
        <v>49.943845541875454</v>
      </c>
      <c r="J34" s="248">
        <f>IF($C34="nwproto",VLOOKUP("*"&amp;$D34&amp;"_1568"&amp;$A34&amp;"*"&amp;$B34,SavingsCalcs!$B$5:$M$148,J$8,FALSE)*$C$2+VLOOKUP("*"&amp;$D34&amp;"_2200"&amp;$A34&amp;"*"&amp;$B34,SavingsCalcs!$B$5:$M$148,J$8,FALSE)*$C$3+VLOOKUP("*"&amp;$D34&amp;"_2688"&amp;$A34&amp;"*"&amp;$B34,SavingsCalcs!$B$5:$M$148,J$8,FALSE)*$C$4,VLOOKUP("*"&amp;$D34&amp;"_5000"&amp;$A34&amp;"*"&amp;$B34,SavingsCalcs!$B$5:$M$148,J$8,FALSE))</f>
        <v>13124.290349999999</v>
      </c>
      <c r="K34" s="248">
        <f>IF($C34="nwproto",VLOOKUP("*"&amp;$D34&amp;"_1568"&amp;$A34&amp;"*"&amp;$B34,SavingsCalcs!$B$5:$M$148,K$8,FALSE)*$C$2+VLOOKUP("*"&amp;$D34&amp;"_2200"&amp;$A34&amp;"*"&amp;$B34,SavingsCalcs!$B$5:$M$148,K$8,FALSE)*$C$3+VLOOKUP("*"&amp;$D34&amp;"_2688"&amp;$A34&amp;"*"&amp;$B34,SavingsCalcs!$B$5:$M$148,K$8,FALSE)*$C$4,VLOOKUP("*"&amp;$D34&amp;"_5000"&amp;$A34&amp;"*"&amp;$B34,SavingsCalcs!$B$5:$M$148,K$8,FALSE))</f>
        <v>1000</v>
      </c>
      <c r="L34" s="248"/>
      <c r="M34" s="9" t="str">
        <f>SavingsCalcs!B29</f>
        <v>NWHZ2CZ1_2200n_25gshp_des0</v>
      </c>
      <c r="N34" s="9" t="str">
        <f t="shared" si="1"/>
        <v>n_nwprotoHZ3CZ1des1</v>
      </c>
    </row>
    <row r="35" spans="1:14">
      <c r="A35" s="220" t="s">
        <v>947</v>
      </c>
      <c r="B35" s="220" t="s">
        <v>960</v>
      </c>
      <c r="C35" s="220" t="s">
        <v>949</v>
      </c>
      <c r="D35" s="220" t="s">
        <v>957</v>
      </c>
      <c r="E35" s="220" t="str">
        <f t="shared" si="0"/>
        <v>Ground Source Heat Pump Upgrade from Air Source Heat Pump - With Desuperheater - New House less than 4000 square feet - Heating Zone 3 - Cooling Zone 2</v>
      </c>
      <c r="F35" s="247">
        <f>IF($C35="nwproto",VLOOKUP("*"&amp;$D35&amp;"_1568"&amp;$A35&amp;"*"&amp;$B35,SavingsCalcs!$B$5:$M$148,F$8,FALSE)*$C$2+VLOOKUP("*"&amp;$D35&amp;"_2200"&amp;$A35&amp;"*"&amp;$B35,SavingsCalcs!$B$5:$M$148,F$8,FALSE)*$C$3+VLOOKUP("*"&amp;$D35&amp;"_2688"&amp;$A35&amp;"*"&amp;$B35,SavingsCalcs!$B$5:$M$148,F$8,FALSE)*$C$4,VLOOKUP("*"&amp;$D35&amp;"_5000"&amp;$A35&amp;"*"&amp;$B35,SavingsCalcs!$B$5:$M$148,F$8,FALSE))</f>
        <v>1747.517137237355</v>
      </c>
      <c r="G35" s="247">
        <f>IF($C35="nwproto",VLOOKUP("*"&amp;$D35&amp;"_1568"&amp;$A35&amp;"*"&amp;$B35,SavingsCalcs!$B$5:$M$148,G$8,FALSE)*$C$2+VLOOKUP("*"&amp;$D35&amp;"_2200"&amp;$A35&amp;"*"&amp;$B35,SavingsCalcs!$B$5:$M$148,G$8,FALSE)*$C$3+VLOOKUP("*"&amp;$D35&amp;"_2688"&amp;$A35&amp;"*"&amp;$B35,SavingsCalcs!$B$5:$M$148,G$8,FALSE)*$C$4,VLOOKUP("*"&amp;$D35&amp;"_5000"&amp;$A35&amp;"*"&amp;$B35,SavingsCalcs!$B$5:$M$148,G$8,FALSE))</f>
        <v>109.77748595535709</v>
      </c>
      <c r="H35" s="247">
        <f>IF($C35="nwproto",VLOOKUP("*"&amp;$D35&amp;"_1568"&amp;$A35&amp;"*"&amp;$B35,SavingsCalcs!$B$5:$M$148,H$8,FALSE)*$C$2+VLOOKUP("*"&amp;$D35&amp;"_2200"&amp;$A35&amp;"*"&amp;$B35,SavingsCalcs!$B$5:$M$148,H$8,FALSE)*$C$3+VLOOKUP("*"&amp;$D35&amp;"_2688"&amp;$A35&amp;"*"&amp;$B35,SavingsCalcs!$B$5:$M$148,H$8,FALSE)*$C$4,VLOOKUP("*"&amp;$D35&amp;"_5000"&amp;$A35&amp;"*"&amp;$B35,SavingsCalcs!$B$5:$M$148,H$8,FALSE))</f>
        <v>2199.8768644874999</v>
      </c>
      <c r="I35" s="247">
        <f>IF($C35="nwproto",VLOOKUP("*"&amp;$D35&amp;"_1568"&amp;$A35&amp;"*"&amp;$B35,SavingsCalcs!$B$5:$M$148,I$8,FALSE)*$C$2+VLOOKUP("*"&amp;$D35&amp;"_2200"&amp;$A35&amp;"*"&amp;$B35,SavingsCalcs!$B$5:$M$148,I$8,FALSE)*$C$3+VLOOKUP("*"&amp;$D35&amp;"_2688"&amp;$A35&amp;"*"&amp;$B35,SavingsCalcs!$B$5:$M$148,I$8,FALSE)*$C$4,VLOOKUP("*"&amp;$D35&amp;"_5000"&amp;$A35&amp;"*"&amp;$B35,SavingsCalcs!$B$5:$M$148,I$8,FALSE))</f>
        <v>49.943845541875454</v>
      </c>
      <c r="J35" s="248">
        <f>IF($C35="nwproto",VLOOKUP("*"&amp;$D35&amp;"_1568"&amp;$A35&amp;"*"&amp;$B35,SavingsCalcs!$B$5:$M$148,J$8,FALSE)*$C$2+VLOOKUP("*"&amp;$D35&amp;"_2200"&amp;$A35&amp;"*"&amp;$B35,SavingsCalcs!$B$5:$M$148,J$8,FALSE)*$C$3+VLOOKUP("*"&amp;$D35&amp;"_2688"&amp;$A35&amp;"*"&amp;$B35,SavingsCalcs!$B$5:$M$148,J$8,FALSE)*$C$4,VLOOKUP("*"&amp;$D35&amp;"_5000"&amp;$A35&amp;"*"&amp;$B35,SavingsCalcs!$B$5:$M$148,J$8,FALSE))</f>
        <v>13124.290349999999</v>
      </c>
      <c r="K35" s="248">
        <f>IF($C35="nwproto",VLOOKUP("*"&amp;$D35&amp;"_1568"&amp;$A35&amp;"*"&amp;$B35,SavingsCalcs!$B$5:$M$148,K$8,FALSE)*$C$2+VLOOKUP("*"&amp;$D35&amp;"_2200"&amp;$A35&amp;"*"&amp;$B35,SavingsCalcs!$B$5:$M$148,K$8,FALSE)*$C$3+VLOOKUP("*"&amp;$D35&amp;"_2688"&amp;$A35&amp;"*"&amp;$B35,SavingsCalcs!$B$5:$M$148,K$8,FALSE)*$C$4,VLOOKUP("*"&amp;$D35&amp;"_5000"&amp;$A35&amp;"*"&amp;$B35,SavingsCalcs!$B$5:$M$148,K$8,FALSE))</f>
        <v>1000</v>
      </c>
      <c r="L35" s="248"/>
      <c r="M35" s="9" t="str">
        <f>SavingsCalcs!B30</f>
        <v>NWHZ2CZ2_2200n_25gshp_des0</v>
      </c>
      <c r="N35" s="9" t="str">
        <f t="shared" si="1"/>
        <v>n_nwprotoHZ3CZ2des1</v>
      </c>
    </row>
    <row r="36" spans="1:14">
      <c r="A36" s="220" t="s">
        <v>947</v>
      </c>
      <c r="B36" s="220" t="s">
        <v>960</v>
      </c>
      <c r="C36" s="220" t="s">
        <v>949</v>
      </c>
      <c r="D36" s="220" t="s">
        <v>958</v>
      </c>
      <c r="E36" s="220" t="str">
        <f t="shared" si="0"/>
        <v>Ground Source Heat Pump Upgrade from Air Source Heat Pump - With Desuperheater - New House less than 4000 square feet - Heating Zone 3 - Cooling Zone 3</v>
      </c>
      <c r="F36" s="247">
        <f>IF($C36="nwproto",VLOOKUP("*"&amp;$D36&amp;"_1568"&amp;$A36&amp;"*"&amp;$B36,SavingsCalcs!$B$5:$M$148,F$8,FALSE)*$C$2+VLOOKUP("*"&amp;$D36&amp;"_2200"&amp;$A36&amp;"*"&amp;$B36,SavingsCalcs!$B$5:$M$148,F$8,FALSE)*$C$3+VLOOKUP("*"&amp;$D36&amp;"_2688"&amp;$A36&amp;"*"&amp;$B36,SavingsCalcs!$B$5:$M$148,F$8,FALSE)*$C$4,VLOOKUP("*"&amp;$D36&amp;"_5000"&amp;$A36&amp;"*"&amp;$B36,SavingsCalcs!$B$5:$M$148,F$8,FALSE))</f>
        <v>1747.517137237355</v>
      </c>
      <c r="G36" s="247">
        <f>IF($C36="nwproto",VLOOKUP("*"&amp;$D36&amp;"_1568"&amp;$A36&amp;"*"&amp;$B36,SavingsCalcs!$B$5:$M$148,G$8,FALSE)*$C$2+VLOOKUP("*"&amp;$D36&amp;"_2200"&amp;$A36&amp;"*"&amp;$B36,SavingsCalcs!$B$5:$M$148,G$8,FALSE)*$C$3+VLOOKUP("*"&amp;$D36&amp;"_2688"&amp;$A36&amp;"*"&amp;$B36,SavingsCalcs!$B$5:$M$148,G$8,FALSE)*$C$4,VLOOKUP("*"&amp;$D36&amp;"_5000"&amp;$A36&amp;"*"&amp;$B36,SavingsCalcs!$B$5:$M$148,G$8,FALSE))</f>
        <v>232.84251668392858</v>
      </c>
      <c r="H36" s="247">
        <f>IF($C36="nwproto",VLOOKUP("*"&amp;$D36&amp;"_1568"&amp;$A36&amp;"*"&amp;$B36,SavingsCalcs!$B$5:$M$148,H$8,FALSE)*$C$2+VLOOKUP("*"&amp;$D36&amp;"_2200"&amp;$A36&amp;"*"&amp;$B36,SavingsCalcs!$B$5:$M$148,H$8,FALSE)*$C$3+VLOOKUP("*"&amp;$D36&amp;"_2688"&amp;$A36&amp;"*"&amp;$B36,SavingsCalcs!$B$5:$M$148,H$8,FALSE)*$C$4,VLOOKUP("*"&amp;$D36&amp;"_5000"&amp;$A36&amp;"*"&amp;$B36,SavingsCalcs!$B$5:$M$148,H$8,FALSE))</f>
        <v>2199.8768644874999</v>
      </c>
      <c r="I36" s="247">
        <f>IF($C36="nwproto",VLOOKUP("*"&amp;$D36&amp;"_1568"&amp;$A36&amp;"*"&amp;$B36,SavingsCalcs!$B$5:$M$148,I$8,FALSE)*$C$2+VLOOKUP("*"&amp;$D36&amp;"_2200"&amp;$A36&amp;"*"&amp;$B36,SavingsCalcs!$B$5:$M$148,I$8,FALSE)*$C$3+VLOOKUP("*"&amp;$D36&amp;"_2688"&amp;$A36&amp;"*"&amp;$B36,SavingsCalcs!$B$5:$M$148,I$8,FALSE)*$C$4,VLOOKUP("*"&amp;$D36&amp;"_5000"&amp;$A36&amp;"*"&amp;$B36,SavingsCalcs!$B$5:$M$148,I$8,FALSE))</f>
        <v>49.943845541875454</v>
      </c>
      <c r="J36" s="248">
        <f>IF($C36="nwproto",VLOOKUP("*"&amp;$D36&amp;"_1568"&amp;$A36&amp;"*"&amp;$B36,SavingsCalcs!$B$5:$M$148,J$8,FALSE)*$C$2+VLOOKUP("*"&amp;$D36&amp;"_2200"&amp;$A36&amp;"*"&amp;$B36,SavingsCalcs!$B$5:$M$148,J$8,FALSE)*$C$3+VLOOKUP("*"&amp;$D36&amp;"_2688"&amp;$A36&amp;"*"&amp;$B36,SavingsCalcs!$B$5:$M$148,J$8,FALSE)*$C$4,VLOOKUP("*"&amp;$D36&amp;"_5000"&amp;$A36&amp;"*"&amp;$B36,SavingsCalcs!$B$5:$M$148,J$8,FALSE))</f>
        <v>13124.290349999999</v>
      </c>
      <c r="K36" s="248">
        <f>IF($C36="nwproto",VLOOKUP("*"&amp;$D36&amp;"_1568"&amp;$A36&amp;"*"&amp;$B36,SavingsCalcs!$B$5:$M$148,K$8,FALSE)*$C$2+VLOOKUP("*"&amp;$D36&amp;"_2200"&amp;$A36&amp;"*"&amp;$B36,SavingsCalcs!$B$5:$M$148,K$8,FALSE)*$C$3+VLOOKUP("*"&amp;$D36&amp;"_2688"&amp;$A36&amp;"*"&amp;$B36,SavingsCalcs!$B$5:$M$148,K$8,FALSE)*$C$4,VLOOKUP("*"&amp;$D36&amp;"_5000"&amp;$A36&amp;"*"&amp;$B36,SavingsCalcs!$B$5:$M$148,K$8,FALSE))</f>
        <v>1000</v>
      </c>
      <c r="L36" s="248"/>
      <c r="M36" s="9" t="str">
        <f>SavingsCalcs!B31</f>
        <v>NWHZ2CZ3_2200n_25gshp_des0</v>
      </c>
      <c r="N36" s="9" t="str">
        <f t="shared" si="1"/>
        <v>n_nwprotoHZ3CZ3des1</v>
      </c>
    </row>
    <row r="37" spans="1:14">
      <c r="A37" s="220" t="s">
        <v>947</v>
      </c>
      <c r="B37" s="220" t="s">
        <v>960</v>
      </c>
      <c r="C37" s="220" t="s">
        <v>959</v>
      </c>
      <c r="D37" s="220" t="s">
        <v>950</v>
      </c>
      <c r="E37" s="220" t="str">
        <f t="shared" si="0"/>
        <v>Ground Source Heat Pump Upgrade from Air Source Heat Pump - With Desuperheater - New House 4000 square feet or greater - Heating Zone 1 - Cooling Zone 1</v>
      </c>
      <c r="F37" s="247">
        <f>IF($C37="nwproto",VLOOKUP("*"&amp;$D37&amp;"_1568"&amp;$A37&amp;"*"&amp;$B37,SavingsCalcs!$B$5:$M$148,F$8,FALSE)*$C$2+VLOOKUP("*"&amp;$D37&amp;"_2200"&amp;$A37&amp;"*"&amp;$B37,SavingsCalcs!$B$5:$M$148,F$8,FALSE)*$C$3+VLOOKUP("*"&amp;$D37&amp;"_2688"&amp;$A37&amp;"*"&amp;$B37,SavingsCalcs!$B$5:$M$148,F$8,FALSE)*$C$4,VLOOKUP("*"&amp;$D37&amp;"_5000"&amp;$A37&amp;"*"&amp;$B37,SavingsCalcs!$B$5:$M$148,F$8,FALSE))</f>
        <v>1068.7551114280368</v>
      </c>
      <c r="G37" s="247">
        <f>IF($C37="nwproto",VLOOKUP("*"&amp;$D37&amp;"_1568"&amp;$A37&amp;"*"&amp;$B37,SavingsCalcs!$B$5:$M$148,G$8,FALSE)*$C$2+VLOOKUP("*"&amp;$D37&amp;"_2200"&amp;$A37&amp;"*"&amp;$B37,SavingsCalcs!$B$5:$M$148,G$8,FALSE)*$C$3+VLOOKUP("*"&amp;$D37&amp;"_2688"&amp;$A37&amp;"*"&amp;$B37,SavingsCalcs!$B$5:$M$148,G$8,FALSE)*$C$4,VLOOKUP("*"&amp;$D37&amp;"_5000"&amp;$A37&amp;"*"&amp;$B37,SavingsCalcs!$B$5:$M$148,G$8,FALSE))</f>
        <v>58.760069142857105</v>
      </c>
      <c r="H37" s="247">
        <f>IF($C37="nwproto",VLOOKUP("*"&amp;$D37&amp;"_1568"&amp;$A37&amp;"*"&amp;$B37,SavingsCalcs!$B$5:$M$148,H$8,FALSE)*$C$2+VLOOKUP("*"&amp;$D37&amp;"_2200"&amp;$A37&amp;"*"&amp;$B37,SavingsCalcs!$B$5:$M$148,H$8,FALSE)*$C$3+VLOOKUP("*"&amp;$D37&amp;"_2688"&amp;$A37&amp;"*"&amp;$B37,SavingsCalcs!$B$5:$M$148,H$8,FALSE)*$C$4,VLOOKUP("*"&amp;$D37&amp;"_5000"&amp;$A37&amp;"*"&amp;$B37,SavingsCalcs!$B$5:$M$148,H$8,FALSE))</f>
        <v>1671.5937367499998</v>
      </c>
      <c r="I37" s="247">
        <f>IF($C37="nwproto",VLOOKUP("*"&amp;$D37&amp;"_1568"&amp;$A37&amp;"*"&amp;$B37,SavingsCalcs!$B$5:$M$148,I$8,FALSE)*$C$2+VLOOKUP("*"&amp;$D37&amp;"_2200"&amp;$A37&amp;"*"&amp;$B37,SavingsCalcs!$B$5:$M$148,I$8,FALSE)*$C$3+VLOOKUP("*"&amp;$D37&amp;"_2688"&amp;$A37&amp;"*"&amp;$B37,SavingsCalcs!$B$5:$M$148,I$8,FALSE)*$C$4,VLOOKUP("*"&amp;$D37&amp;"_5000"&amp;$A37&amp;"*"&amp;$B37,SavingsCalcs!$B$5:$M$148,I$8,FALSE))</f>
        <v>87.708871445872504</v>
      </c>
      <c r="J37" s="248">
        <f>IF($C37="nwproto",VLOOKUP("*"&amp;$D37&amp;"_1568"&amp;$A37&amp;"*"&amp;$B37,SavingsCalcs!$B$5:$M$148,J$8,FALSE)*$C$2+VLOOKUP("*"&amp;$D37&amp;"_2200"&amp;$A37&amp;"*"&amp;$B37,SavingsCalcs!$B$5:$M$148,J$8,FALSE)*$C$3+VLOOKUP("*"&amp;$D37&amp;"_2688"&amp;$A37&amp;"*"&amp;$B37,SavingsCalcs!$B$5:$M$148,J$8,FALSE)*$C$4,VLOOKUP("*"&amp;$D37&amp;"_5000"&amp;$A37&amp;"*"&amp;$B37,SavingsCalcs!$B$5:$M$148,J$8,FALSE))</f>
        <v>6009.2415000000001</v>
      </c>
      <c r="K37" s="248">
        <f>IF($C37="nwproto",VLOOKUP("*"&amp;$D37&amp;"_1568"&amp;$A37&amp;"*"&amp;$B37,SavingsCalcs!$B$5:$M$148,K$8,FALSE)*$C$2+VLOOKUP("*"&amp;$D37&amp;"_2200"&amp;$A37&amp;"*"&amp;$B37,SavingsCalcs!$B$5:$M$148,K$8,FALSE)*$C$3+VLOOKUP("*"&amp;$D37&amp;"_2688"&amp;$A37&amp;"*"&amp;$B37,SavingsCalcs!$B$5:$M$148,K$8,FALSE)*$C$4,VLOOKUP("*"&amp;$D37&amp;"_5000"&amp;$A37&amp;"*"&amp;$B37,SavingsCalcs!$B$5:$M$148,K$8,FALSE))</f>
        <v>1000</v>
      </c>
      <c r="L37" s="248"/>
      <c r="M37" s="9" t="str">
        <f>SavingsCalcs!B32</f>
        <v>WxHZ2CZ1_2200e_30gshp_des0</v>
      </c>
      <c r="N37" s="9" t="str">
        <f t="shared" si="1"/>
        <v>n_&gt;4000HZ1CZ1des1</v>
      </c>
    </row>
    <row r="38" spans="1:14">
      <c r="A38" s="220" t="s">
        <v>947</v>
      </c>
      <c r="B38" s="220" t="s">
        <v>960</v>
      </c>
      <c r="C38" s="220" t="s">
        <v>959</v>
      </c>
      <c r="D38" s="220" t="s">
        <v>951</v>
      </c>
      <c r="E38" s="220" t="str">
        <f t="shared" si="0"/>
        <v>Ground Source Heat Pump Upgrade from Air Source Heat Pump - With Desuperheater - New House 4000 square feet or greater - Heating Zone 1 - Cooling Zone 2</v>
      </c>
      <c r="F38" s="247">
        <f>IF($C38="nwproto",VLOOKUP("*"&amp;$D38&amp;"_1568"&amp;$A38&amp;"*"&amp;$B38,SavingsCalcs!$B$5:$M$148,F$8,FALSE)*$C$2+VLOOKUP("*"&amp;$D38&amp;"_2200"&amp;$A38&amp;"*"&amp;$B38,SavingsCalcs!$B$5:$M$148,F$8,FALSE)*$C$3+VLOOKUP("*"&amp;$D38&amp;"_2688"&amp;$A38&amp;"*"&amp;$B38,SavingsCalcs!$B$5:$M$148,F$8,FALSE)*$C$4,VLOOKUP("*"&amp;$D38&amp;"_5000"&amp;$A38&amp;"*"&amp;$B38,SavingsCalcs!$B$5:$M$148,F$8,FALSE))</f>
        <v>1068.7551114280368</v>
      </c>
      <c r="G38" s="247">
        <f>IF($C38="nwproto",VLOOKUP("*"&amp;$D38&amp;"_1568"&amp;$A38&amp;"*"&amp;$B38,SavingsCalcs!$B$5:$M$148,G$8,FALSE)*$C$2+VLOOKUP("*"&amp;$D38&amp;"_2200"&amp;$A38&amp;"*"&amp;$B38,SavingsCalcs!$B$5:$M$148,G$8,FALSE)*$C$3+VLOOKUP("*"&amp;$D38&amp;"_2688"&amp;$A38&amp;"*"&amp;$B38,SavingsCalcs!$B$5:$M$148,G$8,FALSE)*$C$4,VLOOKUP("*"&amp;$D38&amp;"_5000"&amp;$A38&amp;"*"&amp;$B38,SavingsCalcs!$B$5:$M$148,G$8,FALSE))</f>
        <v>172.8650609642857</v>
      </c>
      <c r="H38" s="247">
        <f>IF($C38="nwproto",VLOOKUP("*"&amp;$D38&amp;"_1568"&amp;$A38&amp;"*"&amp;$B38,SavingsCalcs!$B$5:$M$148,H$8,FALSE)*$C$2+VLOOKUP("*"&amp;$D38&amp;"_2200"&amp;$A38&amp;"*"&amp;$B38,SavingsCalcs!$B$5:$M$148,H$8,FALSE)*$C$3+VLOOKUP("*"&amp;$D38&amp;"_2688"&amp;$A38&amp;"*"&amp;$B38,SavingsCalcs!$B$5:$M$148,H$8,FALSE)*$C$4,VLOOKUP("*"&amp;$D38&amp;"_5000"&amp;$A38&amp;"*"&amp;$B38,SavingsCalcs!$B$5:$M$148,H$8,FALSE))</f>
        <v>1671.5937367499998</v>
      </c>
      <c r="I38" s="247">
        <f>IF($C38="nwproto",VLOOKUP("*"&amp;$D38&amp;"_1568"&amp;$A38&amp;"*"&amp;$B38,SavingsCalcs!$B$5:$M$148,I$8,FALSE)*$C$2+VLOOKUP("*"&amp;$D38&amp;"_2200"&amp;$A38&amp;"*"&amp;$B38,SavingsCalcs!$B$5:$M$148,I$8,FALSE)*$C$3+VLOOKUP("*"&amp;$D38&amp;"_2688"&amp;$A38&amp;"*"&amp;$B38,SavingsCalcs!$B$5:$M$148,I$8,FALSE)*$C$4,VLOOKUP("*"&amp;$D38&amp;"_5000"&amp;$A38&amp;"*"&amp;$B38,SavingsCalcs!$B$5:$M$148,I$8,FALSE))</f>
        <v>87.708871445872504</v>
      </c>
      <c r="J38" s="248">
        <f>IF($C38="nwproto",VLOOKUP("*"&amp;$D38&amp;"_1568"&amp;$A38&amp;"*"&amp;$B38,SavingsCalcs!$B$5:$M$148,J$8,FALSE)*$C$2+VLOOKUP("*"&amp;$D38&amp;"_2200"&amp;$A38&amp;"*"&amp;$B38,SavingsCalcs!$B$5:$M$148,J$8,FALSE)*$C$3+VLOOKUP("*"&amp;$D38&amp;"_2688"&amp;$A38&amp;"*"&amp;$B38,SavingsCalcs!$B$5:$M$148,J$8,FALSE)*$C$4,VLOOKUP("*"&amp;$D38&amp;"_5000"&amp;$A38&amp;"*"&amp;$B38,SavingsCalcs!$B$5:$M$148,J$8,FALSE))</f>
        <v>6009.2415000000001</v>
      </c>
      <c r="K38" s="248">
        <f>IF($C38="nwproto",VLOOKUP("*"&amp;$D38&amp;"_1568"&amp;$A38&amp;"*"&amp;$B38,SavingsCalcs!$B$5:$M$148,K$8,FALSE)*$C$2+VLOOKUP("*"&amp;$D38&amp;"_2200"&amp;$A38&amp;"*"&amp;$B38,SavingsCalcs!$B$5:$M$148,K$8,FALSE)*$C$3+VLOOKUP("*"&amp;$D38&amp;"_2688"&amp;$A38&amp;"*"&amp;$B38,SavingsCalcs!$B$5:$M$148,K$8,FALSE)*$C$4,VLOOKUP("*"&amp;$D38&amp;"_5000"&amp;$A38&amp;"*"&amp;$B38,SavingsCalcs!$B$5:$M$148,K$8,FALSE))</f>
        <v>1000</v>
      </c>
      <c r="L38" s="248"/>
      <c r="M38" s="9" t="str">
        <f>SavingsCalcs!B33</f>
        <v>WxHZ2CZ2_2200e_30gshp_des0</v>
      </c>
      <c r="N38" s="9" t="str">
        <f t="shared" si="1"/>
        <v>n_&gt;4000HZ1CZ2des1</v>
      </c>
    </row>
    <row r="39" spans="1:14">
      <c r="A39" s="220" t="s">
        <v>947</v>
      </c>
      <c r="B39" s="220" t="s">
        <v>960</v>
      </c>
      <c r="C39" s="220" t="s">
        <v>959</v>
      </c>
      <c r="D39" s="220" t="s">
        <v>952</v>
      </c>
      <c r="E39" s="220" t="str">
        <f t="shared" si="0"/>
        <v>Ground Source Heat Pump Upgrade from Air Source Heat Pump - With Desuperheater - New House 4000 square feet or greater - Heating Zone 1 - Cooling Zone 3</v>
      </c>
      <c r="F39" s="247">
        <f>IF($C39="nwproto",VLOOKUP("*"&amp;$D39&amp;"_1568"&amp;$A39&amp;"*"&amp;$B39,SavingsCalcs!$B$5:$M$148,F$8,FALSE)*$C$2+VLOOKUP("*"&amp;$D39&amp;"_2200"&amp;$A39&amp;"*"&amp;$B39,SavingsCalcs!$B$5:$M$148,F$8,FALSE)*$C$3+VLOOKUP("*"&amp;$D39&amp;"_2688"&amp;$A39&amp;"*"&amp;$B39,SavingsCalcs!$B$5:$M$148,F$8,FALSE)*$C$4,VLOOKUP("*"&amp;$D39&amp;"_5000"&amp;$A39&amp;"*"&amp;$B39,SavingsCalcs!$B$5:$M$148,F$8,FALSE))</f>
        <v>1068.7551114280368</v>
      </c>
      <c r="G39" s="247">
        <f>IF($C39="nwproto",VLOOKUP("*"&amp;$D39&amp;"_1568"&amp;$A39&amp;"*"&amp;$B39,SavingsCalcs!$B$5:$M$148,G$8,FALSE)*$C$2+VLOOKUP("*"&amp;$D39&amp;"_2200"&amp;$A39&amp;"*"&amp;$B39,SavingsCalcs!$B$5:$M$148,G$8,FALSE)*$C$3+VLOOKUP("*"&amp;$D39&amp;"_2688"&amp;$A39&amp;"*"&amp;$B39,SavingsCalcs!$B$5:$M$148,G$8,FALSE)*$C$4,VLOOKUP("*"&amp;$D39&amp;"_5000"&amp;$A39&amp;"*"&amp;$B39,SavingsCalcs!$B$5:$M$148,G$8,FALSE))</f>
        <v>361.69300614285726</v>
      </c>
      <c r="H39" s="247">
        <f>IF($C39="nwproto",VLOOKUP("*"&amp;$D39&amp;"_1568"&amp;$A39&amp;"*"&amp;$B39,SavingsCalcs!$B$5:$M$148,H$8,FALSE)*$C$2+VLOOKUP("*"&amp;$D39&amp;"_2200"&amp;$A39&amp;"*"&amp;$B39,SavingsCalcs!$B$5:$M$148,H$8,FALSE)*$C$3+VLOOKUP("*"&amp;$D39&amp;"_2688"&amp;$A39&amp;"*"&amp;$B39,SavingsCalcs!$B$5:$M$148,H$8,FALSE)*$C$4,VLOOKUP("*"&amp;$D39&amp;"_5000"&amp;$A39&amp;"*"&amp;$B39,SavingsCalcs!$B$5:$M$148,H$8,FALSE))</f>
        <v>1671.5937367499998</v>
      </c>
      <c r="I39" s="247">
        <f>IF($C39="nwproto",VLOOKUP("*"&amp;$D39&amp;"_1568"&amp;$A39&amp;"*"&amp;$B39,SavingsCalcs!$B$5:$M$148,I$8,FALSE)*$C$2+VLOOKUP("*"&amp;$D39&amp;"_2200"&amp;$A39&amp;"*"&amp;$B39,SavingsCalcs!$B$5:$M$148,I$8,FALSE)*$C$3+VLOOKUP("*"&amp;$D39&amp;"_2688"&amp;$A39&amp;"*"&amp;$B39,SavingsCalcs!$B$5:$M$148,I$8,FALSE)*$C$4,VLOOKUP("*"&amp;$D39&amp;"_5000"&amp;$A39&amp;"*"&amp;$B39,SavingsCalcs!$B$5:$M$148,I$8,FALSE))</f>
        <v>87.708871445872504</v>
      </c>
      <c r="J39" s="248">
        <f>IF($C39="nwproto",VLOOKUP("*"&amp;$D39&amp;"_1568"&amp;$A39&amp;"*"&amp;$B39,SavingsCalcs!$B$5:$M$148,J$8,FALSE)*$C$2+VLOOKUP("*"&amp;$D39&amp;"_2200"&amp;$A39&amp;"*"&amp;$B39,SavingsCalcs!$B$5:$M$148,J$8,FALSE)*$C$3+VLOOKUP("*"&amp;$D39&amp;"_2688"&amp;$A39&amp;"*"&amp;$B39,SavingsCalcs!$B$5:$M$148,J$8,FALSE)*$C$4,VLOOKUP("*"&amp;$D39&amp;"_5000"&amp;$A39&amp;"*"&amp;$B39,SavingsCalcs!$B$5:$M$148,J$8,FALSE))</f>
        <v>6009.2415000000001</v>
      </c>
      <c r="K39" s="248">
        <f>IF($C39="nwproto",VLOOKUP("*"&amp;$D39&amp;"_1568"&amp;$A39&amp;"*"&amp;$B39,SavingsCalcs!$B$5:$M$148,K$8,FALSE)*$C$2+VLOOKUP("*"&amp;$D39&amp;"_2200"&amp;$A39&amp;"*"&amp;$B39,SavingsCalcs!$B$5:$M$148,K$8,FALSE)*$C$3+VLOOKUP("*"&amp;$D39&amp;"_2688"&amp;$A39&amp;"*"&amp;$B39,SavingsCalcs!$B$5:$M$148,K$8,FALSE)*$C$4,VLOOKUP("*"&amp;$D39&amp;"_5000"&amp;$A39&amp;"*"&amp;$B39,SavingsCalcs!$B$5:$M$148,K$8,FALSE))</f>
        <v>1000</v>
      </c>
      <c r="L39" s="248"/>
      <c r="M39" s="9" t="str">
        <f>SavingsCalcs!B34</f>
        <v>WxHZ2CZ3_2200e_30gshp_des0</v>
      </c>
      <c r="N39" s="9" t="str">
        <f t="shared" si="1"/>
        <v>n_&gt;4000HZ1CZ3des1</v>
      </c>
    </row>
    <row r="40" spans="1:14">
      <c r="A40" s="220" t="s">
        <v>947</v>
      </c>
      <c r="B40" s="220" t="s">
        <v>960</v>
      </c>
      <c r="C40" s="220" t="s">
        <v>959</v>
      </c>
      <c r="D40" s="220" t="s">
        <v>953</v>
      </c>
      <c r="E40" s="220" t="str">
        <f t="shared" si="0"/>
        <v>Ground Source Heat Pump Upgrade from Air Source Heat Pump - With Desuperheater - New House 4000 square feet or greater - Heating Zone 2 - Cooling Zone 1</v>
      </c>
      <c r="F40" s="247">
        <f>IF($C40="nwproto",VLOOKUP("*"&amp;$D40&amp;"_1568"&amp;$A40&amp;"*"&amp;$B40,SavingsCalcs!$B$5:$M$148,F$8,FALSE)*$C$2+VLOOKUP("*"&amp;$D40&amp;"_2200"&amp;$A40&amp;"*"&amp;$B40,SavingsCalcs!$B$5:$M$148,F$8,FALSE)*$C$3+VLOOKUP("*"&amp;$D40&amp;"_2688"&amp;$A40&amp;"*"&amp;$B40,SavingsCalcs!$B$5:$M$148,F$8,FALSE)*$C$4,VLOOKUP("*"&amp;$D40&amp;"_5000"&amp;$A40&amp;"*"&amp;$B40,SavingsCalcs!$B$5:$M$148,F$8,FALSE))</f>
        <v>2715.5016994170273</v>
      </c>
      <c r="G40" s="247">
        <f>IF($C40="nwproto",VLOOKUP("*"&amp;$D40&amp;"_1568"&amp;$A40&amp;"*"&amp;$B40,SavingsCalcs!$B$5:$M$148,G$8,FALSE)*$C$2+VLOOKUP("*"&amp;$D40&amp;"_2200"&amp;$A40&amp;"*"&amp;$B40,SavingsCalcs!$B$5:$M$148,G$8,FALSE)*$C$3+VLOOKUP("*"&amp;$D40&amp;"_2688"&amp;$A40&amp;"*"&amp;$B40,SavingsCalcs!$B$5:$M$148,G$8,FALSE)*$C$4,VLOOKUP("*"&amp;$D40&amp;"_5000"&amp;$A40&amp;"*"&amp;$B40,SavingsCalcs!$B$5:$M$148,G$8,FALSE))</f>
        <v>58.760069142857105</v>
      </c>
      <c r="H40" s="247">
        <f>IF($C40="nwproto",VLOOKUP("*"&amp;$D40&amp;"_1568"&amp;$A40&amp;"*"&amp;$B40,SavingsCalcs!$B$5:$M$148,H$8,FALSE)*$C$2+VLOOKUP("*"&amp;$D40&amp;"_2200"&amp;$A40&amp;"*"&amp;$B40,SavingsCalcs!$B$5:$M$148,H$8,FALSE)*$C$3+VLOOKUP("*"&amp;$D40&amp;"_2688"&amp;$A40&amp;"*"&amp;$B40,SavingsCalcs!$B$5:$M$148,H$8,FALSE)*$C$4,VLOOKUP("*"&amp;$D40&amp;"_5000"&amp;$A40&amp;"*"&amp;$B40,SavingsCalcs!$B$5:$M$148,H$8,FALSE))</f>
        <v>2289.4819507500001</v>
      </c>
      <c r="I40" s="247">
        <f>IF($C40="nwproto",VLOOKUP("*"&amp;$D40&amp;"_1568"&amp;$A40&amp;"*"&amp;$B40,SavingsCalcs!$B$5:$M$148,I$8,FALSE)*$C$2+VLOOKUP("*"&amp;$D40&amp;"_2200"&amp;$A40&amp;"*"&amp;$B40,SavingsCalcs!$B$5:$M$148,I$8,FALSE)*$C$3+VLOOKUP("*"&amp;$D40&amp;"_2688"&amp;$A40&amp;"*"&amp;$B40,SavingsCalcs!$B$5:$M$148,I$8,FALSE)*$C$4,VLOOKUP("*"&amp;$D40&amp;"_5000"&amp;$A40&amp;"*"&amp;$B40,SavingsCalcs!$B$5:$M$148,I$8,FALSE))</f>
        <v>88.975856977337997</v>
      </c>
      <c r="J40" s="248">
        <f>IF($C40="nwproto",VLOOKUP("*"&amp;$D40&amp;"_1568"&amp;$A40&amp;"*"&amp;$B40,SavingsCalcs!$B$5:$M$148,J$8,FALSE)*$C$2+VLOOKUP("*"&amp;$D40&amp;"_2200"&amp;$A40&amp;"*"&amp;$B40,SavingsCalcs!$B$5:$M$148,J$8,FALSE)*$C$3+VLOOKUP("*"&amp;$D40&amp;"_2688"&amp;$A40&amp;"*"&amp;$B40,SavingsCalcs!$B$5:$M$148,J$8,FALSE)*$C$4,VLOOKUP("*"&amp;$D40&amp;"_5000"&amp;$A40&amp;"*"&amp;$B40,SavingsCalcs!$B$5:$M$148,J$8,FALSE))</f>
        <v>11942.103499999997</v>
      </c>
      <c r="K40" s="248">
        <f>IF($C40="nwproto",VLOOKUP("*"&amp;$D40&amp;"_1568"&amp;$A40&amp;"*"&amp;$B40,SavingsCalcs!$B$5:$M$148,K$8,FALSE)*$C$2+VLOOKUP("*"&amp;$D40&amp;"_2200"&amp;$A40&amp;"*"&amp;$B40,SavingsCalcs!$B$5:$M$148,K$8,FALSE)*$C$3+VLOOKUP("*"&amp;$D40&amp;"_2688"&amp;$A40&amp;"*"&amp;$B40,SavingsCalcs!$B$5:$M$148,K$8,FALSE)*$C$4,VLOOKUP("*"&amp;$D40&amp;"_5000"&amp;$A40&amp;"*"&amp;$B40,SavingsCalcs!$B$5:$M$148,K$8,FALSE))</f>
        <v>1000</v>
      </c>
      <c r="L40" s="248"/>
      <c r="M40" s="9" t="str">
        <f>SavingsCalcs!B35</f>
        <v>NWHZ3CZ1_2200n_25gshp_des0</v>
      </c>
      <c r="N40" s="9" t="str">
        <f t="shared" si="1"/>
        <v>n_&gt;4000HZ2CZ1des1</v>
      </c>
    </row>
    <row r="41" spans="1:14">
      <c r="A41" s="220" t="s">
        <v>947</v>
      </c>
      <c r="B41" s="220" t="s">
        <v>960</v>
      </c>
      <c r="C41" s="220" t="s">
        <v>959</v>
      </c>
      <c r="D41" s="220" t="s">
        <v>954</v>
      </c>
      <c r="E41" s="220" t="str">
        <f t="shared" si="0"/>
        <v>Ground Source Heat Pump Upgrade from Air Source Heat Pump - With Desuperheater - New House 4000 square feet or greater - Heating Zone 2 - Cooling Zone 2</v>
      </c>
      <c r="F41" s="247">
        <f>IF($C41="nwproto",VLOOKUP("*"&amp;$D41&amp;"_1568"&amp;$A41&amp;"*"&amp;$B41,SavingsCalcs!$B$5:$M$148,F$8,FALSE)*$C$2+VLOOKUP("*"&amp;$D41&amp;"_2200"&amp;$A41&amp;"*"&amp;$B41,SavingsCalcs!$B$5:$M$148,F$8,FALSE)*$C$3+VLOOKUP("*"&amp;$D41&amp;"_2688"&amp;$A41&amp;"*"&amp;$B41,SavingsCalcs!$B$5:$M$148,F$8,FALSE)*$C$4,VLOOKUP("*"&amp;$D41&amp;"_5000"&amp;$A41&amp;"*"&amp;$B41,SavingsCalcs!$B$5:$M$148,F$8,FALSE))</f>
        <v>2715.5016994170273</v>
      </c>
      <c r="G41" s="247">
        <f>IF($C41="nwproto",VLOOKUP("*"&amp;$D41&amp;"_1568"&amp;$A41&amp;"*"&amp;$B41,SavingsCalcs!$B$5:$M$148,G$8,FALSE)*$C$2+VLOOKUP("*"&amp;$D41&amp;"_2200"&amp;$A41&amp;"*"&amp;$B41,SavingsCalcs!$B$5:$M$148,G$8,FALSE)*$C$3+VLOOKUP("*"&amp;$D41&amp;"_2688"&amp;$A41&amp;"*"&amp;$B41,SavingsCalcs!$B$5:$M$148,G$8,FALSE)*$C$4,VLOOKUP("*"&amp;$D41&amp;"_5000"&amp;$A41&amp;"*"&amp;$B41,SavingsCalcs!$B$5:$M$148,G$8,FALSE))</f>
        <v>172.8650609642857</v>
      </c>
      <c r="H41" s="247">
        <f>IF($C41="nwproto",VLOOKUP("*"&amp;$D41&amp;"_1568"&amp;$A41&amp;"*"&amp;$B41,SavingsCalcs!$B$5:$M$148,H$8,FALSE)*$C$2+VLOOKUP("*"&amp;$D41&amp;"_2200"&amp;$A41&amp;"*"&amp;$B41,SavingsCalcs!$B$5:$M$148,H$8,FALSE)*$C$3+VLOOKUP("*"&amp;$D41&amp;"_2688"&amp;$A41&amp;"*"&amp;$B41,SavingsCalcs!$B$5:$M$148,H$8,FALSE)*$C$4,VLOOKUP("*"&amp;$D41&amp;"_5000"&amp;$A41&amp;"*"&amp;$B41,SavingsCalcs!$B$5:$M$148,H$8,FALSE))</f>
        <v>2289.4819507500001</v>
      </c>
      <c r="I41" s="247">
        <f>IF($C41="nwproto",VLOOKUP("*"&amp;$D41&amp;"_1568"&amp;$A41&amp;"*"&amp;$B41,SavingsCalcs!$B$5:$M$148,I$8,FALSE)*$C$2+VLOOKUP("*"&amp;$D41&amp;"_2200"&amp;$A41&amp;"*"&amp;$B41,SavingsCalcs!$B$5:$M$148,I$8,FALSE)*$C$3+VLOOKUP("*"&amp;$D41&amp;"_2688"&amp;$A41&amp;"*"&amp;$B41,SavingsCalcs!$B$5:$M$148,I$8,FALSE)*$C$4,VLOOKUP("*"&amp;$D41&amp;"_5000"&amp;$A41&amp;"*"&amp;$B41,SavingsCalcs!$B$5:$M$148,I$8,FALSE))</f>
        <v>88.975856977337997</v>
      </c>
      <c r="J41" s="248">
        <f>IF($C41="nwproto",VLOOKUP("*"&amp;$D41&amp;"_1568"&amp;$A41&amp;"*"&amp;$B41,SavingsCalcs!$B$5:$M$148,J$8,FALSE)*$C$2+VLOOKUP("*"&amp;$D41&amp;"_2200"&amp;$A41&amp;"*"&amp;$B41,SavingsCalcs!$B$5:$M$148,J$8,FALSE)*$C$3+VLOOKUP("*"&amp;$D41&amp;"_2688"&amp;$A41&amp;"*"&amp;$B41,SavingsCalcs!$B$5:$M$148,J$8,FALSE)*$C$4,VLOOKUP("*"&amp;$D41&amp;"_5000"&amp;$A41&amp;"*"&amp;$B41,SavingsCalcs!$B$5:$M$148,J$8,FALSE))</f>
        <v>11942.103499999997</v>
      </c>
      <c r="K41" s="248">
        <f>IF($C41="nwproto",VLOOKUP("*"&amp;$D41&amp;"_1568"&amp;$A41&amp;"*"&amp;$B41,SavingsCalcs!$B$5:$M$148,K$8,FALSE)*$C$2+VLOOKUP("*"&amp;$D41&amp;"_2200"&amp;$A41&amp;"*"&amp;$B41,SavingsCalcs!$B$5:$M$148,K$8,FALSE)*$C$3+VLOOKUP("*"&amp;$D41&amp;"_2688"&amp;$A41&amp;"*"&amp;$B41,SavingsCalcs!$B$5:$M$148,K$8,FALSE)*$C$4,VLOOKUP("*"&amp;$D41&amp;"_5000"&amp;$A41&amp;"*"&amp;$B41,SavingsCalcs!$B$5:$M$148,K$8,FALSE))</f>
        <v>1000</v>
      </c>
      <c r="L41" s="248"/>
      <c r="M41" s="9" t="str">
        <f>SavingsCalcs!B36</f>
        <v>NWHZ3CZ2_2200n_25gshp_des0</v>
      </c>
      <c r="N41" s="9" t="str">
        <f t="shared" si="1"/>
        <v>n_&gt;4000HZ2CZ2des1</v>
      </c>
    </row>
    <row r="42" spans="1:14">
      <c r="A42" s="220" t="s">
        <v>947</v>
      </c>
      <c r="B42" s="220" t="s">
        <v>960</v>
      </c>
      <c r="C42" s="220" t="s">
        <v>959</v>
      </c>
      <c r="D42" s="220" t="s">
        <v>955</v>
      </c>
      <c r="E42" s="220" t="str">
        <f t="shared" si="0"/>
        <v>Ground Source Heat Pump Upgrade from Air Source Heat Pump - With Desuperheater - New House 4000 square feet or greater - Heating Zone 2 - Cooling Zone 3</v>
      </c>
      <c r="F42" s="247">
        <f>IF($C42="nwproto",VLOOKUP("*"&amp;$D42&amp;"_1568"&amp;$A42&amp;"*"&amp;$B42,SavingsCalcs!$B$5:$M$148,F$8,FALSE)*$C$2+VLOOKUP("*"&amp;$D42&amp;"_2200"&amp;$A42&amp;"*"&amp;$B42,SavingsCalcs!$B$5:$M$148,F$8,FALSE)*$C$3+VLOOKUP("*"&amp;$D42&amp;"_2688"&amp;$A42&amp;"*"&amp;$B42,SavingsCalcs!$B$5:$M$148,F$8,FALSE)*$C$4,VLOOKUP("*"&amp;$D42&amp;"_5000"&amp;$A42&amp;"*"&amp;$B42,SavingsCalcs!$B$5:$M$148,F$8,FALSE))</f>
        <v>2715.5016994170273</v>
      </c>
      <c r="G42" s="247">
        <f>IF($C42="nwproto",VLOOKUP("*"&amp;$D42&amp;"_1568"&amp;$A42&amp;"*"&amp;$B42,SavingsCalcs!$B$5:$M$148,G$8,FALSE)*$C$2+VLOOKUP("*"&amp;$D42&amp;"_2200"&amp;$A42&amp;"*"&amp;$B42,SavingsCalcs!$B$5:$M$148,G$8,FALSE)*$C$3+VLOOKUP("*"&amp;$D42&amp;"_2688"&amp;$A42&amp;"*"&amp;$B42,SavingsCalcs!$B$5:$M$148,G$8,FALSE)*$C$4,VLOOKUP("*"&amp;$D42&amp;"_5000"&amp;$A42&amp;"*"&amp;$B42,SavingsCalcs!$B$5:$M$148,G$8,FALSE))</f>
        <v>361.69300614285726</v>
      </c>
      <c r="H42" s="247">
        <f>IF($C42="nwproto",VLOOKUP("*"&amp;$D42&amp;"_1568"&amp;$A42&amp;"*"&amp;$B42,SavingsCalcs!$B$5:$M$148,H$8,FALSE)*$C$2+VLOOKUP("*"&amp;$D42&amp;"_2200"&amp;$A42&amp;"*"&amp;$B42,SavingsCalcs!$B$5:$M$148,H$8,FALSE)*$C$3+VLOOKUP("*"&amp;$D42&amp;"_2688"&amp;$A42&amp;"*"&amp;$B42,SavingsCalcs!$B$5:$M$148,H$8,FALSE)*$C$4,VLOOKUP("*"&amp;$D42&amp;"_5000"&amp;$A42&amp;"*"&amp;$B42,SavingsCalcs!$B$5:$M$148,H$8,FALSE))</f>
        <v>2289.4819507500001</v>
      </c>
      <c r="I42" s="247">
        <f>IF($C42="nwproto",VLOOKUP("*"&amp;$D42&amp;"_1568"&amp;$A42&amp;"*"&amp;$B42,SavingsCalcs!$B$5:$M$148,I$8,FALSE)*$C$2+VLOOKUP("*"&amp;$D42&amp;"_2200"&amp;$A42&amp;"*"&amp;$B42,SavingsCalcs!$B$5:$M$148,I$8,FALSE)*$C$3+VLOOKUP("*"&amp;$D42&amp;"_2688"&amp;$A42&amp;"*"&amp;$B42,SavingsCalcs!$B$5:$M$148,I$8,FALSE)*$C$4,VLOOKUP("*"&amp;$D42&amp;"_5000"&amp;$A42&amp;"*"&amp;$B42,SavingsCalcs!$B$5:$M$148,I$8,FALSE))</f>
        <v>88.975856977337997</v>
      </c>
      <c r="J42" s="248">
        <f>IF($C42="nwproto",VLOOKUP("*"&amp;$D42&amp;"_1568"&amp;$A42&amp;"*"&amp;$B42,SavingsCalcs!$B$5:$M$148,J$8,FALSE)*$C$2+VLOOKUP("*"&amp;$D42&amp;"_2200"&amp;$A42&amp;"*"&amp;$B42,SavingsCalcs!$B$5:$M$148,J$8,FALSE)*$C$3+VLOOKUP("*"&amp;$D42&amp;"_2688"&amp;$A42&amp;"*"&amp;$B42,SavingsCalcs!$B$5:$M$148,J$8,FALSE)*$C$4,VLOOKUP("*"&amp;$D42&amp;"_5000"&amp;$A42&amp;"*"&amp;$B42,SavingsCalcs!$B$5:$M$148,J$8,FALSE))</f>
        <v>11942.103499999997</v>
      </c>
      <c r="K42" s="248">
        <f>IF($C42="nwproto",VLOOKUP("*"&amp;$D42&amp;"_1568"&amp;$A42&amp;"*"&amp;$B42,SavingsCalcs!$B$5:$M$148,K$8,FALSE)*$C$2+VLOOKUP("*"&amp;$D42&amp;"_2200"&amp;$A42&amp;"*"&amp;$B42,SavingsCalcs!$B$5:$M$148,K$8,FALSE)*$C$3+VLOOKUP("*"&amp;$D42&amp;"_2688"&amp;$A42&amp;"*"&amp;$B42,SavingsCalcs!$B$5:$M$148,K$8,FALSE)*$C$4,VLOOKUP("*"&amp;$D42&amp;"_5000"&amp;$A42&amp;"*"&amp;$B42,SavingsCalcs!$B$5:$M$148,K$8,FALSE))</f>
        <v>1000</v>
      </c>
      <c r="L42" s="248"/>
      <c r="M42" s="9" t="str">
        <f>SavingsCalcs!B37</f>
        <v>NWHZ3CZ3_2200n_25gshp_des0</v>
      </c>
      <c r="N42" s="9" t="str">
        <f t="shared" si="1"/>
        <v>n_&gt;4000HZ2CZ3des1</v>
      </c>
    </row>
    <row r="43" spans="1:14">
      <c r="A43" s="220" t="s">
        <v>947</v>
      </c>
      <c r="B43" s="220" t="s">
        <v>960</v>
      </c>
      <c r="C43" s="220" t="s">
        <v>959</v>
      </c>
      <c r="D43" s="220" t="s">
        <v>956</v>
      </c>
      <c r="E43" s="220" t="str">
        <f t="shared" si="0"/>
        <v>Ground Source Heat Pump Upgrade from Air Source Heat Pump - With Desuperheater - New House 4000 square feet or greater - Heating Zone 3 - Cooling Zone 1</v>
      </c>
      <c r="F43" s="247">
        <f>IF($C43="nwproto",VLOOKUP("*"&amp;$D43&amp;"_1568"&amp;$A43&amp;"*"&amp;$B43,SavingsCalcs!$B$5:$M$148,F$8,FALSE)*$C$2+VLOOKUP("*"&amp;$D43&amp;"_2200"&amp;$A43&amp;"*"&amp;$B43,SavingsCalcs!$B$5:$M$148,F$8,FALSE)*$C$3+VLOOKUP("*"&amp;$D43&amp;"_2688"&amp;$A43&amp;"*"&amp;$B43,SavingsCalcs!$B$5:$M$148,F$8,FALSE)*$C$4,VLOOKUP("*"&amp;$D43&amp;"_5000"&amp;$A43&amp;"*"&amp;$B43,SavingsCalcs!$B$5:$M$148,F$8,FALSE))</f>
        <v>3889.7038489031274</v>
      </c>
      <c r="G43" s="247">
        <f>IF($C43="nwproto",VLOOKUP("*"&amp;$D43&amp;"_1568"&amp;$A43&amp;"*"&amp;$B43,SavingsCalcs!$B$5:$M$148,G$8,FALSE)*$C$2+VLOOKUP("*"&amp;$D43&amp;"_2200"&amp;$A43&amp;"*"&amp;$B43,SavingsCalcs!$B$5:$M$148,G$8,FALSE)*$C$3+VLOOKUP("*"&amp;$D43&amp;"_2688"&amp;$A43&amp;"*"&amp;$B43,SavingsCalcs!$B$5:$M$148,G$8,FALSE)*$C$4,VLOOKUP("*"&amp;$D43&amp;"_5000"&amp;$A43&amp;"*"&amp;$B43,SavingsCalcs!$B$5:$M$148,G$8,FALSE))</f>
        <v>58.760069142857105</v>
      </c>
      <c r="H43" s="247">
        <f>IF($C43="nwproto",VLOOKUP("*"&amp;$D43&amp;"_1568"&amp;$A43&amp;"*"&amp;$B43,SavingsCalcs!$B$5:$M$148,H$8,FALSE)*$C$2+VLOOKUP("*"&amp;$D43&amp;"_2200"&amp;$A43&amp;"*"&amp;$B43,SavingsCalcs!$B$5:$M$148,H$8,FALSE)*$C$3+VLOOKUP("*"&amp;$D43&amp;"_2688"&amp;$A43&amp;"*"&amp;$B43,SavingsCalcs!$B$5:$M$148,H$8,FALSE)*$C$4,VLOOKUP("*"&amp;$D43&amp;"_5000"&amp;$A43&amp;"*"&amp;$B43,SavingsCalcs!$B$5:$M$148,H$8,FALSE))</f>
        <v>2602.316718</v>
      </c>
      <c r="I43" s="247">
        <f>IF($C43="nwproto",VLOOKUP("*"&amp;$D43&amp;"_1568"&amp;$A43&amp;"*"&amp;$B43,SavingsCalcs!$B$5:$M$148,I$8,FALSE)*$C$2+VLOOKUP("*"&amp;$D43&amp;"_2200"&amp;$A43&amp;"*"&amp;$B43,SavingsCalcs!$B$5:$M$148,I$8,FALSE)*$C$3+VLOOKUP("*"&amp;$D43&amp;"_2688"&amp;$A43&amp;"*"&amp;$B43,SavingsCalcs!$B$5:$M$148,I$8,FALSE)*$C$4,VLOOKUP("*"&amp;$D43&amp;"_5000"&amp;$A43&amp;"*"&amp;$B43,SavingsCalcs!$B$5:$M$148,I$8,FALSE))</f>
        <v>98.56043676179624</v>
      </c>
      <c r="J43" s="248">
        <f>IF($C43="nwproto",VLOOKUP("*"&amp;$D43&amp;"_1568"&amp;$A43&amp;"*"&amp;$B43,SavingsCalcs!$B$5:$M$148,J$8,FALSE)*$C$2+VLOOKUP("*"&amp;$D43&amp;"_2200"&amp;$A43&amp;"*"&amp;$B43,SavingsCalcs!$B$5:$M$148,J$8,FALSE)*$C$3+VLOOKUP("*"&amp;$D43&amp;"_2688"&amp;$A43&amp;"*"&amp;$B43,SavingsCalcs!$B$5:$M$148,J$8,FALSE)*$C$4,VLOOKUP("*"&amp;$D43&amp;"_5000"&amp;$A43&amp;"*"&amp;$B43,SavingsCalcs!$B$5:$M$148,J$8,FALSE))</f>
        <v>19560.591</v>
      </c>
      <c r="K43" s="248">
        <f>IF($C43="nwproto",VLOOKUP("*"&amp;$D43&amp;"_1568"&amp;$A43&amp;"*"&amp;$B43,SavingsCalcs!$B$5:$M$148,K$8,FALSE)*$C$2+VLOOKUP("*"&amp;$D43&amp;"_2200"&amp;$A43&amp;"*"&amp;$B43,SavingsCalcs!$B$5:$M$148,K$8,FALSE)*$C$3+VLOOKUP("*"&amp;$D43&amp;"_2688"&amp;$A43&amp;"*"&amp;$B43,SavingsCalcs!$B$5:$M$148,K$8,FALSE)*$C$4,VLOOKUP("*"&amp;$D43&amp;"_5000"&amp;$A43&amp;"*"&amp;$B43,SavingsCalcs!$B$5:$M$148,K$8,FALSE))</f>
        <v>1000</v>
      </c>
      <c r="L43" s="248"/>
      <c r="M43" s="9" t="str">
        <f>SavingsCalcs!B38</f>
        <v>WxHZ3CZ1_2200e_30gshp_des0</v>
      </c>
      <c r="N43" s="9" t="str">
        <f t="shared" si="1"/>
        <v>n_&gt;4000HZ3CZ1des1</v>
      </c>
    </row>
    <row r="44" spans="1:14">
      <c r="A44" s="220" t="s">
        <v>947</v>
      </c>
      <c r="B44" s="220" t="s">
        <v>960</v>
      </c>
      <c r="C44" s="220" t="s">
        <v>959</v>
      </c>
      <c r="D44" s="220" t="s">
        <v>957</v>
      </c>
      <c r="E44" s="220" t="str">
        <f t="shared" si="0"/>
        <v>Ground Source Heat Pump Upgrade from Air Source Heat Pump - With Desuperheater - New House 4000 square feet or greater - Heating Zone 3 - Cooling Zone 2</v>
      </c>
      <c r="F44" s="247">
        <f>IF($C44="nwproto",VLOOKUP("*"&amp;$D44&amp;"_1568"&amp;$A44&amp;"*"&amp;$B44,SavingsCalcs!$B$5:$M$148,F$8,FALSE)*$C$2+VLOOKUP("*"&amp;$D44&amp;"_2200"&amp;$A44&amp;"*"&amp;$B44,SavingsCalcs!$B$5:$M$148,F$8,FALSE)*$C$3+VLOOKUP("*"&amp;$D44&amp;"_2688"&amp;$A44&amp;"*"&amp;$B44,SavingsCalcs!$B$5:$M$148,F$8,FALSE)*$C$4,VLOOKUP("*"&amp;$D44&amp;"_5000"&amp;$A44&amp;"*"&amp;$B44,SavingsCalcs!$B$5:$M$148,F$8,FALSE))</f>
        <v>3889.7038489031274</v>
      </c>
      <c r="G44" s="247">
        <f>IF($C44="nwproto",VLOOKUP("*"&amp;$D44&amp;"_1568"&amp;$A44&amp;"*"&amp;$B44,SavingsCalcs!$B$5:$M$148,G$8,FALSE)*$C$2+VLOOKUP("*"&amp;$D44&amp;"_2200"&amp;$A44&amp;"*"&amp;$B44,SavingsCalcs!$B$5:$M$148,G$8,FALSE)*$C$3+VLOOKUP("*"&amp;$D44&amp;"_2688"&amp;$A44&amp;"*"&amp;$B44,SavingsCalcs!$B$5:$M$148,G$8,FALSE)*$C$4,VLOOKUP("*"&amp;$D44&amp;"_5000"&amp;$A44&amp;"*"&amp;$B44,SavingsCalcs!$B$5:$M$148,G$8,FALSE))</f>
        <v>172.8650609642857</v>
      </c>
      <c r="H44" s="247">
        <f>IF($C44="nwproto",VLOOKUP("*"&amp;$D44&amp;"_1568"&amp;$A44&amp;"*"&amp;$B44,SavingsCalcs!$B$5:$M$148,H$8,FALSE)*$C$2+VLOOKUP("*"&amp;$D44&amp;"_2200"&amp;$A44&amp;"*"&amp;$B44,SavingsCalcs!$B$5:$M$148,H$8,FALSE)*$C$3+VLOOKUP("*"&amp;$D44&amp;"_2688"&amp;$A44&amp;"*"&amp;$B44,SavingsCalcs!$B$5:$M$148,H$8,FALSE)*$C$4,VLOOKUP("*"&amp;$D44&amp;"_5000"&amp;$A44&amp;"*"&amp;$B44,SavingsCalcs!$B$5:$M$148,H$8,FALSE))</f>
        <v>2602.316718</v>
      </c>
      <c r="I44" s="247">
        <f>IF($C44="nwproto",VLOOKUP("*"&amp;$D44&amp;"_1568"&amp;$A44&amp;"*"&amp;$B44,SavingsCalcs!$B$5:$M$148,I$8,FALSE)*$C$2+VLOOKUP("*"&amp;$D44&amp;"_2200"&amp;$A44&amp;"*"&amp;$B44,SavingsCalcs!$B$5:$M$148,I$8,FALSE)*$C$3+VLOOKUP("*"&amp;$D44&amp;"_2688"&amp;$A44&amp;"*"&amp;$B44,SavingsCalcs!$B$5:$M$148,I$8,FALSE)*$C$4,VLOOKUP("*"&amp;$D44&amp;"_5000"&amp;$A44&amp;"*"&amp;$B44,SavingsCalcs!$B$5:$M$148,I$8,FALSE))</f>
        <v>98.56043676179624</v>
      </c>
      <c r="J44" s="248">
        <f>IF($C44="nwproto",VLOOKUP("*"&amp;$D44&amp;"_1568"&amp;$A44&amp;"*"&amp;$B44,SavingsCalcs!$B$5:$M$148,J$8,FALSE)*$C$2+VLOOKUP("*"&amp;$D44&amp;"_2200"&amp;$A44&amp;"*"&amp;$B44,SavingsCalcs!$B$5:$M$148,J$8,FALSE)*$C$3+VLOOKUP("*"&amp;$D44&amp;"_2688"&amp;$A44&amp;"*"&amp;$B44,SavingsCalcs!$B$5:$M$148,J$8,FALSE)*$C$4,VLOOKUP("*"&amp;$D44&amp;"_5000"&amp;$A44&amp;"*"&amp;$B44,SavingsCalcs!$B$5:$M$148,J$8,FALSE))</f>
        <v>19560.591</v>
      </c>
      <c r="K44" s="248">
        <f>IF($C44="nwproto",VLOOKUP("*"&amp;$D44&amp;"_1568"&amp;$A44&amp;"*"&amp;$B44,SavingsCalcs!$B$5:$M$148,K$8,FALSE)*$C$2+VLOOKUP("*"&amp;$D44&amp;"_2200"&amp;$A44&amp;"*"&amp;$B44,SavingsCalcs!$B$5:$M$148,K$8,FALSE)*$C$3+VLOOKUP("*"&amp;$D44&amp;"_2688"&amp;$A44&amp;"*"&amp;$B44,SavingsCalcs!$B$5:$M$148,K$8,FALSE)*$C$4,VLOOKUP("*"&amp;$D44&amp;"_5000"&amp;$A44&amp;"*"&amp;$B44,SavingsCalcs!$B$5:$M$148,K$8,FALSE))</f>
        <v>1000</v>
      </c>
      <c r="L44" s="248"/>
      <c r="M44" s="9" t="str">
        <f>SavingsCalcs!B39</f>
        <v>WxHZ3CZ2_2200e_30gshp_des0</v>
      </c>
      <c r="N44" s="9" t="str">
        <f t="shared" si="1"/>
        <v>n_&gt;4000HZ3CZ2des1</v>
      </c>
    </row>
    <row r="45" spans="1:14">
      <c r="A45" s="220" t="s">
        <v>947</v>
      </c>
      <c r="B45" s="220" t="s">
        <v>960</v>
      </c>
      <c r="C45" s="220" t="s">
        <v>959</v>
      </c>
      <c r="D45" s="220" t="s">
        <v>958</v>
      </c>
      <c r="E45" s="220" t="str">
        <f t="shared" si="0"/>
        <v>Ground Source Heat Pump Upgrade from Air Source Heat Pump - With Desuperheater - New House 4000 square feet or greater - Heating Zone 3 - Cooling Zone 3</v>
      </c>
      <c r="F45" s="247">
        <f>IF($C45="nwproto",VLOOKUP("*"&amp;$D45&amp;"_1568"&amp;$A45&amp;"*"&amp;$B45,SavingsCalcs!$B$5:$M$148,F$8,FALSE)*$C$2+VLOOKUP("*"&amp;$D45&amp;"_2200"&amp;$A45&amp;"*"&amp;$B45,SavingsCalcs!$B$5:$M$148,F$8,FALSE)*$C$3+VLOOKUP("*"&amp;$D45&amp;"_2688"&amp;$A45&amp;"*"&amp;$B45,SavingsCalcs!$B$5:$M$148,F$8,FALSE)*$C$4,VLOOKUP("*"&amp;$D45&amp;"_5000"&amp;$A45&amp;"*"&amp;$B45,SavingsCalcs!$B$5:$M$148,F$8,FALSE))</f>
        <v>3889.7038489031274</v>
      </c>
      <c r="G45" s="247">
        <f>IF($C45="nwproto",VLOOKUP("*"&amp;$D45&amp;"_1568"&amp;$A45&amp;"*"&amp;$B45,SavingsCalcs!$B$5:$M$148,G$8,FALSE)*$C$2+VLOOKUP("*"&amp;$D45&amp;"_2200"&amp;$A45&amp;"*"&amp;$B45,SavingsCalcs!$B$5:$M$148,G$8,FALSE)*$C$3+VLOOKUP("*"&amp;$D45&amp;"_2688"&amp;$A45&amp;"*"&amp;$B45,SavingsCalcs!$B$5:$M$148,G$8,FALSE)*$C$4,VLOOKUP("*"&amp;$D45&amp;"_5000"&amp;$A45&amp;"*"&amp;$B45,SavingsCalcs!$B$5:$M$148,G$8,FALSE))</f>
        <v>361.69300614285726</v>
      </c>
      <c r="H45" s="247">
        <f>IF($C45="nwproto",VLOOKUP("*"&amp;$D45&amp;"_1568"&amp;$A45&amp;"*"&amp;$B45,SavingsCalcs!$B$5:$M$148,H$8,FALSE)*$C$2+VLOOKUP("*"&amp;$D45&amp;"_2200"&amp;$A45&amp;"*"&amp;$B45,SavingsCalcs!$B$5:$M$148,H$8,FALSE)*$C$3+VLOOKUP("*"&amp;$D45&amp;"_2688"&amp;$A45&amp;"*"&amp;$B45,SavingsCalcs!$B$5:$M$148,H$8,FALSE)*$C$4,VLOOKUP("*"&amp;$D45&amp;"_5000"&amp;$A45&amp;"*"&amp;$B45,SavingsCalcs!$B$5:$M$148,H$8,FALSE))</f>
        <v>2602.316718</v>
      </c>
      <c r="I45" s="247">
        <f>IF($C45="nwproto",VLOOKUP("*"&amp;$D45&amp;"_1568"&amp;$A45&amp;"*"&amp;$B45,SavingsCalcs!$B$5:$M$148,I$8,FALSE)*$C$2+VLOOKUP("*"&amp;$D45&amp;"_2200"&amp;$A45&amp;"*"&amp;$B45,SavingsCalcs!$B$5:$M$148,I$8,FALSE)*$C$3+VLOOKUP("*"&amp;$D45&amp;"_2688"&amp;$A45&amp;"*"&amp;$B45,SavingsCalcs!$B$5:$M$148,I$8,FALSE)*$C$4,VLOOKUP("*"&amp;$D45&amp;"_5000"&amp;$A45&amp;"*"&amp;$B45,SavingsCalcs!$B$5:$M$148,I$8,FALSE))</f>
        <v>98.56043676179624</v>
      </c>
      <c r="J45" s="248">
        <f>IF($C45="nwproto",VLOOKUP("*"&amp;$D45&amp;"_1568"&amp;$A45&amp;"*"&amp;$B45,SavingsCalcs!$B$5:$M$148,J$8,FALSE)*$C$2+VLOOKUP("*"&amp;$D45&amp;"_2200"&amp;$A45&amp;"*"&amp;$B45,SavingsCalcs!$B$5:$M$148,J$8,FALSE)*$C$3+VLOOKUP("*"&amp;$D45&amp;"_2688"&amp;$A45&amp;"*"&amp;$B45,SavingsCalcs!$B$5:$M$148,J$8,FALSE)*$C$4,VLOOKUP("*"&amp;$D45&amp;"_5000"&amp;$A45&amp;"*"&amp;$B45,SavingsCalcs!$B$5:$M$148,J$8,FALSE))</f>
        <v>19560.591</v>
      </c>
      <c r="K45" s="248">
        <f>IF($C45="nwproto",VLOOKUP("*"&amp;$D45&amp;"_1568"&amp;$A45&amp;"*"&amp;$B45,SavingsCalcs!$B$5:$M$148,K$8,FALSE)*$C$2+VLOOKUP("*"&amp;$D45&amp;"_2200"&amp;$A45&amp;"*"&amp;$B45,SavingsCalcs!$B$5:$M$148,K$8,FALSE)*$C$3+VLOOKUP("*"&amp;$D45&amp;"_2688"&amp;$A45&amp;"*"&amp;$B45,SavingsCalcs!$B$5:$M$148,K$8,FALSE)*$C$4,VLOOKUP("*"&amp;$D45&amp;"_5000"&amp;$A45&amp;"*"&amp;$B45,SavingsCalcs!$B$5:$M$148,K$8,FALSE))</f>
        <v>1000</v>
      </c>
      <c r="L45" s="248"/>
      <c r="M45" s="9" t="str">
        <f>SavingsCalcs!B40</f>
        <v>WxHZ3CZ3_2200e_30gshp_des0</v>
      </c>
      <c r="N45" s="9" t="str">
        <f t="shared" si="1"/>
        <v>n_&gt;4000HZ3CZ3des1</v>
      </c>
    </row>
    <row r="46" spans="1:14">
      <c r="A46" s="220" t="s">
        <v>961</v>
      </c>
      <c r="B46" s="220" t="s">
        <v>948</v>
      </c>
      <c r="C46" s="220" t="s">
        <v>949</v>
      </c>
      <c r="D46" s="220" t="s">
        <v>950</v>
      </c>
      <c r="E46" s="220" t="str">
        <f t="shared" si="0"/>
        <v>Ground Source Heat Pump Upgrade from Air Source Heat Pump - Without Desuperheater - Existing House less than 4000 square feet - Heating Zone 1 - Cooling Zone 1</v>
      </c>
      <c r="F46" s="247">
        <f>IF($C46="nwproto",VLOOKUP("*"&amp;$D46&amp;"_1568"&amp;$A46&amp;"*"&amp;$B46,SavingsCalcs!$B$5:$M$148,F$8,FALSE)*$C$2+VLOOKUP("*"&amp;$D46&amp;"_2200"&amp;$A46&amp;"*"&amp;$B46,SavingsCalcs!$B$5:$M$148,F$8,FALSE)*$C$3+VLOOKUP("*"&amp;$D46&amp;"_2688"&amp;$A46&amp;"*"&amp;$B46,SavingsCalcs!$B$5:$M$148,F$8,FALSE)*$C$4,VLOOKUP("*"&amp;$D46&amp;"_5000"&amp;$A46&amp;"*"&amp;$B46,SavingsCalcs!$B$5:$M$148,F$8,FALSE))</f>
        <v>912.81640592583653</v>
      </c>
      <c r="G46" s="247">
        <f>IF($C46="nwproto",VLOOKUP("*"&amp;$D46&amp;"_1568"&amp;$A46&amp;"*"&amp;$B46,SavingsCalcs!$B$5:$M$148,G$8,FALSE)*$C$2+VLOOKUP("*"&amp;$D46&amp;"_2200"&amp;$A46&amp;"*"&amp;$B46,SavingsCalcs!$B$5:$M$148,G$8,FALSE)*$C$3+VLOOKUP("*"&amp;$D46&amp;"_2688"&amp;$A46&amp;"*"&amp;$B46,SavingsCalcs!$B$5:$M$148,G$8,FALSE)*$C$4,VLOOKUP("*"&amp;$D46&amp;"_5000"&amp;$A46&amp;"*"&amp;$B46,SavingsCalcs!$B$5:$M$148,G$8,FALSE))</f>
        <v>36.457379194642868</v>
      </c>
      <c r="H46" s="247">
        <f>IF($C46="nwproto",VLOOKUP("*"&amp;$D46&amp;"_1568"&amp;$A46&amp;"*"&amp;$B46,SavingsCalcs!$B$5:$M$148,H$8,FALSE)*$C$2+VLOOKUP("*"&amp;$D46&amp;"_2200"&amp;$A46&amp;"*"&amp;$B46,SavingsCalcs!$B$5:$M$148,H$8,FALSE)*$C$3+VLOOKUP("*"&amp;$D46&amp;"_2688"&amp;$A46&amp;"*"&amp;$B46,SavingsCalcs!$B$5:$M$148,H$8,FALSE)*$C$4,VLOOKUP("*"&amp;$D46&amp;"_5000"&amp;$A46&amp;"*"&amp;$B46,SavingsCalcs!$B$5:$M$148,H$8,FALSE))</f>
        <v>0</v>
      </c>
      <c r="I46" s="247">
        <f>IF($C46="nwproto",VLOOKUP("*"&amp;$D46&amp;"_1568"&amp;$A46&amp;"*"&amp;$B46,SavingsCalcs!$B$5:$M$148,I$8,FALSE)*$C$2+VLOOKUP("*"&amp;$D46&amp;"_2200"&amp;$A46&amp;"*"&amp;$B46,SavingsCalcs!$B$5:$M$148,I$8,FALSE)*$C$3+VLOOKUP("*"&amp;$D46&amp;"_2688"&amp;$A46&amp;"*"&amp;$B46,SavingsCalcs!$B$5:$M$148,I$8,FALSE)*$C$4,VLOOKUP("*"&amp;$D46&amp;"_5000"&amp;$A46&amp;"*"&amp;$B46,SavingsCalcs!$B$5:$M$148,I$8,FALSE))</f>
        <v>65.640844494816903</v>
      </c>
      <c r="J46" s="248">
        <f>IF($C46="nwproto",VLOOKUP("*"&amp;$D46&amp;"_1568"&amp;$A46&amp;"*"&amp;$B46,SavingsCalcs!$B$5:$M$148,J$8,FALSE)*$C$2+VLOOKUP("*"&amp;$D46&amp;"_2200"&amp;$A46&amp;"*"&amp;$B46,SavingsCalcs!$B$5:$M$148,J$8,FALSE)*$C$3+VLOOKUP("*"&amp;$D46&amp;"_2688"&amp;$A46&amp;"*"&amp;$B46,SavingsCalcs!$B$5:$M$148,J$8,FALSE)*$C$4,VLOOKUP("*"&amp;$D46&amp;"_5000"&amp;$A46&amp;"*"&amp;$B46,SavingsCalcs!$B$5:$M$148,J$8,FALSE))</f>
        <v>4434.0202749999999</v>
      </c>
      <c r="K46" s="248">
        <f>IF($C46="nwproto",VLOOKUP("*"&amp;$D46&amp;"_1568"&amp;$A46&amp;"*"&amp;$B46,SavingsCalcs!$B$5:$M$148,K$8,FALSE)*$C$2+VLOOKUP("*"&amp;$D46&amp;"_2200"&amp;$A46&amp;"*"&amp;$B46,SavingsCalcs!$B$5:$M$148,K$8,FALSE)*$C$3+VLOOKUP("*"&amp;$D46&amp;"_2688"&amp;$A46&amp;"*"&amp;$B46,SavingsCalcs!$B$5:$M$148,K$8,FALSE)*$C$4,VLOOKUP("*"&amp;$D46&amp;"_5000"&amp;$A46&amp;"*"&amp;$B46,SavingsCalcs!$B$5:$M$148,K$8,FALSE))</f>
        <v>0</v>
      </c>
      <c r="L46" s="248"/>
      <c r="M46" s="9" t="str">
        <f>SavingsCalcs!B41</f>
        <v>NWHZ1CZ1_2688n_25gshp_des0</v>
      </c>
      <c r="N46" s="9" t="str">
        <f t="shared" si="1"/>
        <v>e_nwprotoHZ1CZ1des0</v>
      </c>
    </row>
    <row r="47" spans="1:14">
      <c r="A47" s="220" t="s">
        <v>961</v>
      </c>
      <c r="B47" s="220" t="s">
        <v>948</v>
      </c>
      <c r="C47" s="220" t="s">
        <v>949</v>
      </c>
      <c r="D47" s="220" t="s">
        <v>951</v>
      </c>
      <c r="E47" s="220" t="str">
        <f t="shared" si="0"/>
        <v>Ground Source Heat Pump Upgrade from Air Source Heat Pump - Without Desuperheater - Existing House less than 4000 square feet - Heating Zone 1 - Cooling Zone 2</v>
      </c>
      <c r="F47" s="247">
        <f>IF($C47="nwproto",VLOOKUP("*"&amp;$D47&amp;"_1568"&amp;$A47&amp;"*"&amp;$B47,SavingsCalcs!$B$5:$M$148,F$8,FALSE)*$C$2+VLOOKUP("*"&amp;$D47&amp;"_2200"&amp;$A47&amp;"*"&amp;$B47,SavingsCalcs!$B$5:$M$148,F$8,FALSE)*$C$3+VLOOKUP("*"&amp;$D47&amp;"_2688"&amp;$A47&amp;"*"&amp;$B47,SavingsCalcs!$B$5:$M$148,F$8,FALSE)*$C$4,VLOOKUP("*"&amp;$D47&amp;"_5000"&amp;$A47&amp;"*"&amp;$B47,SavingsCalcs!$B$5:$M$148,F$8,FALSE))</f>
        <v>912.81640592583653</v>
      </c>
      <c r="G47" s="247">
        <f>IF($C47="nwproto",VLOOKUP("*"&amp;$D47&amp;"_1568"&amp;$A47&amp;"*"&amp;$B47,SavingsCalcs!$B$5:$M$148,G$8,FALSE)*$C$2+VLOOKUP("*"&amp;$D47&amp;"_2200"&amp;$A47&amp;"*"&amp;$B47,SavingsCalcs!$B$5:$M$148,G$8,FALSE)*$C$3+VLOOKUP("*"&amp;$D47&amp;"_2688"&amp;$A47&amp;"*"&amp;$B47,SavingsCalcs!$B$5:$M$148,G$8,FALSE)*$C$4,VLOOKUP("*"&amp;$D47&amp;"_5000"&amp;$A47&amp;"*"&amp;$B47,SavingsCalcs!$B$5:$M$148,G$8,FALSE))</f>
        <v>115.74816613571434</v>
      </c>
      <c r="H47" s="247">
        <f>IF($C47="nwproto",VLOOKUP("*"&amp;$D47&amp;"_1568"&amp;$A47&amp;"*"&amp;$B47,SavingsCalcs!$B$5:$M$148,H$8,FALSE)*$C$2+VLOOKUP("*"&amp;$D47&amp;"_2200"&amp;$A47&amp;"*"&amp;$B47,SavingsCalcs!$B$5:$M$148,H$8,FALSE)*$C$3+VLOOKUP("*"&amp;$D47&amp;"_2688"&amp;$A47&amp;"*"&amp;$B47,SavingsCalcs!$B$5:$M$148,H$8,FALSE)*$C$4,VLOOKUP("*"&amp;$D47&amp;"_5000"&amp;$A47&amp;"*"&amp;$B47,SavingsCalcs!$B$5:$M$148,H$8,FALSE))</f>
        <v>0</v>
      </c>
      <c r="I47" s="247">
        <f>IF($C47="nwproto",VLOOKUP("*"&amp;$D47&amp;"_1568"&amp;$A47&amp;"*"&amp;$B47,SavingsCalcs!$B$5:$M$148,I$8,FALSE)*$C$2+VLOOKUP("*"&amp;$D47&amp;"_2200"&amp;$A47&amp;"*"&amp;$B47,SavingsCalcs!$B$5:$M$148,I$8,FALSE)*$C$3+VLOOKUP("*"&amp;$D47&amp;"_2688"&amp;$A47&amp;"*"&amp;$B47,SavingsCalcs!$B$5:$M$148,I$8,FALSE)*$C$4,VLOOKUP("*"&amp;$D47&amp;"_5000"&amp;$A47&amp;"*"&amp;$B47,SavingsCalcs!$B$5:$M$148,I$8,FALSE))</f>
        <v>65.640844494816903</v>
      </c>
      <c r="J47" s="248">
        <f>IF($C47="nwproto",VLOOKUP("*"&amp;$D47&amp;"_1568"&amp;$A47&amp;"*"&amp;$B47,SavingsCalcs!$B$5:$M$148,J$8,FALSE)*$C$2+VLOOKUP("*"&amp;$D47&amp;"_2200"&amp;$A47&amp;"*"&amp;$B47,SavingsCalcs!$B$5:$M$148,J$8,FALSE)*$C$3+VLOOKUP("*"&amp;$D47&amp;"_2688"&amp;$A47&amp;"*"&amp;$B47,SavingsCalcs!$B$5:$M$148,J$8,FALSE)*$C$4,VLOOKUP("*"&amp;$D47&amp;"_5000"&amp;$A47&amp;"*"&amp;$B47,SavingsCalcs!$B$5:$M$148,J$8,FALSE))</f>
        <v>4434.0202749999999</v>
      </c>
      <c r="K47" s="248">
        <f>IF($C47="nwproto",VLOOKUP("*"&amp;$D47&amp;"_1568"&amp;$A47&amp;"*"&amp;$B47,SavingsCalcs!$B$5:$M$148,K$8,FALSE)*$C$2+VLOOKUP("*"&amp;$D47&amp;"_2200"&amp;$A47&amp;"*"&amp;$B47,SavingsCalcs!$B$5:$M$148,K$8,FALSE)*$C$3+VLOOKUP("*"&amp;$D47&amp;"_2688"&amp;$A47&amp;"*"&amp;$B47,SavingsCalcs!$B$5:$M$148,K$8,FALSE)*$C$4,VLOOKUP("*"&amp;$D47&amp;"_5000"&amp;$A47&amp;"*"&amp;$B47,SavingsCalcs!$B$5:$M$148,K$8,FALSE))</f>
        <v>0</v>
      </c>
      <c r="L47" s="248"/>
      <c r="M47" s="9" t="str">
        <f>SavingsCalcs!B42</f>
        <v>NWHZ1CZ2_2688n_25gshp_des0</v>
      </c>
      <c r="N47" s="9" t="str">
        <f t="shared" si="1"/>
        <v>e_nwprotoHZ1CZ2des0</v>
      </c>
    </row>
    <row r="48" spans="1:14">
      <c r="A48" s="220" t="s">
        <v>961</v>
      </c>
      <c r="B48" s="220" t="s">
        <v>948</v>
      </c>
      <c r="C48" s="220" t="s">
        <v>949</v>
      </c>
      <c r="D48" s="220" t="s">
        <v>952</v>
      </c>
      <c r="E48" s="220" t="str">
        <f t="shared" si="0"/>
        <v>Ground Source Heat Pump Upgrade from Air Source Heat Pump - Without Desuperheater - Existing House less than 4000 square feet - Heating Zone 1 - Cooling Zone 3</v>
      </c>
      <c r="F48" s="247">
        <f>IF($C48="nwproto",VLOOKUP("*"&amp;$D48&amp;"_1568"&amp;$A48&amp;"*"&amp;$B48,SavingsCalcs!$B$5:$M$148,F$8,FALSE)*$C$2+VLOOKUP("*"&amp;$D48&amp;"_2200"&amp;$A48&amp;"*"&amp;$B48,SavingsCalcs!$B$5:$M$148,F$8,FALSE)*$C$3+VLOOKUP("*"&amp;$D48&amp;"_2688"&amp;$A48&amp;"*"&amp;$B48,SavingsCalcs!$B$5:$M$148,F$8,FALSE)*$C$4,VLOOKUP("*"&amp;$D48&amp;"_5000"&amp;$A48&amp;"*"&amp;$B48,SavingsCalcs!$B$5:$M$148,F$8,FALSE))</f>
        <v>912.81640592583653</v>
      </c>
      <c r="G48" s="247">
        <f>IF($C48="nwproto",VLOOKUP("*"&amp;$D48&amp;"_1568"&amp;$A48&amp;"*"&amp;$B48,SavingsCalcs!$B$5:$M$148,G$8,FALSE)*$C$2+VLOOKUP("*"&amp;$D48&amp;"_2200"&amp;$A48&amp;"*"&amp;$B48,SavingsCalcs!$B$5:$M$148,G$8,FALSE)*$C$3+VLOOKUP("*"&amp;$D48&amp;"_2688"&amp;$A48&amp;"*"&amp;$B48,SavingsCalcs!$B$5:$M$148,G$8,FALSE)*$C$4,VLOOKUP("*"&amp;$D48&amp;"_5000"&amp;$A48&amp;"*"&amp;$B48,SavingsCalcs!$B$5:$M$148,G$8,FALSE))</f>
        <v>247.7897780875</v>
      </c>
      <c r="H48" s="247">
        <f>IF($C48="nwproto",VLOOKUP("*"&amp;$D48&amp;"_1568"&amp;$A48&amp;"*"&amp;$B48,SavingsCalcs!$B$5:$M$148,H$8,FALSE)*$C$2+VLOOKUP("*"&amp;$D48&amp;"_2200"&amp;$A48&amp;"*"&amp;$B48,SavingsCalcs!$B$5:$M$148,H$8,FALSE)*$C$3+VLOOKUP("*"&amp;$D48&amp;"_2688"&amp;$A48&amp;"*"&amp;$B48,SavingsCalcs!$B$5:$M$148,H$8,FALSE)*$C$4,VLOOKUP("*"&amp;$D48&amp;"_5000"&amp;$A48&amp;"*"&amp;$B48,SavingsCalcs!$B$5:$M$148,H$8,FALSE))</f>
        <v>0</v>
      </c>
      <c r="I48" s="247">
        <f>IF($C48="nwproto",VLOOKUP("*"&amp;$D48&amp;"_1568"&amp;$A48&amp;"*"&amp;$B48,SavingsCalcs!$B$5:$M$148,I$8,FALSE)*$C$2+VLOOKUP("*"&amp;$D48&amp;"_2200"&amp;$A48&amp;"*"&amp;$B48,SavingsCalcs!$B$5:$M$148,I$8,FALSE)*$C$3+VLOOKUP("*"&amp;$D48&amp;"_2688"&amp;$A48&amp;"*"&amp;$B48,SavingsCalcs!$B$5:$M$148,I$8,FALSE)*$C$4,VLOOKUP("*"&amp;$D48&amp;"_5000"&amp;$A48&amp;"*"&amp;$B48,SavingsCalcs!$B$5:$M$148,I$8,FALSE))</f>
        <v>65.640844494816903</v>
      </c>
      <c r="J48" s="248">
        <f>IF($C48="nwproto",VLOOKUP("*"&amp;$D48&amp;"_1568"&amp;$A48&amp;"*"&amp;$B48,SavingsCalcs!$B$5:$M$148,J$8,FALSE)*$C$2+VLOOKUP("*"&amp;$D48&amp;"_2200"&amp;$A48&amp;"*"&amp;$B48,SavingsCalcs!$B$5:$M$148,J$8,FALSE)*$C$3+VLOOKUP("*"&amp;$D48&amp;"_2688"&amp;$A48&amp;"*"&amp;$B48,SavingsCalcs!$B$5:$M$148,J$8,FALSE)*$C$4,VLOOKUP("*"&amp;$D48&amp;"_5000"&amp;$A48&amp;"*"&amp;$B48,SavingsCalcs!$B$5:$M$148,J$8,FALSE))</f>
        <v>4434.0202749999999</v>
      </c>
      <c r="K48" s="248">
        <f>IF($C48="nwproto",VLOOKUP("*"&amp;$D48&amp;"_1568"&amp;$A48&amp;"*"&amp;$B48,SavingsCalcs!$B$5:$M$148,K$8,FALSE)*$C$2+VLOOKUP("*"&amp;$D48&amp;"_2200"&amp;$A48&amp;"*"&amp;$B48,SavingsCalcs!$B$5:$M$148,K$8,FALSE)*$C$3+VLOOKUP("*"&amp;$D48&amp;"_2688"&amp;$A48&amp;"*"&amp;$B48,SavingsCalcs!$B$5:$M$148,K$8,FALSE)*$C$4,VLOOKUP("*"&amp;$D48&amp;"_5000"&amp;$A48&amp;"*"&amp;$B48,SavingsCalcs!$B$5:$M$148,K$8,FALSE))</f>
        <v>0</v>
      </c>
      <c r="L48" s="248"/>
      <c r="M48" s="9" t="str">
        <f>SavingsCalcs!B43</f>
        <v>NWHZ1CZ3_2688n_25gshp_des0</v>
      </c>
      <c r="N48" s="9" t="str">
        <f t="shared" si="1"/>
        <v>e_nwprotoHZ1CZ3des0</v>
      </c>
    </row>
    <row r="49" spans="1:14">
      <c r="A49" s="220" t="s">
        <v>961</v>
      </c>
      <c r="B49" s="220" t="s">
        <v>948</v>
      </c>
      <c r="C49" s="220" t="s">
        <v>949</v>
      </c>
      <c r="D49" s="220" t="s">
        <v>953</v>
      </c>
      <c r="E49" s="220" t="str">
        <f t="shared" si="0"/>
        <v>Ground Source Heat Pump Upgrade from Air Source Heat Pump - Without Desuperheater - Existing House less than 4000 square feet - Heating Zone 2 - Cooling Zone 1</v>
      </c>
      <c r="F49" s="247">
        <f>IF($C49="nwproto",VLOOKUP("*"&amp;$D49&amp;"_1568"&amp;$A49&amp;"*"&amp;$B49,SavingsCalcs!$B$5:$M$148,F$8,FALSE)*$C$2+VLOOKUP("*"&amp;$D49&amp;"_2200"&amp;$A49&amp;"*"&amp;$B49,SavingsCalcs!$B$5:$M$148,F$8,FALSE)*$C$3+VLOOKUP("*"&amp;$D49&amp;"_2688"&amp;$A49&amp;"*"&amp;$B49,SavingsCalcs!$B$5:$M$148,F$8,FALSE)*$C$4,VLOOKUP("*"&amp;$D49&amp;"_5000"&amp;$A49&amp;"*"&amp;$B49,SavingsCalcs!$B$5:$M$148,F$8,FALSE))</f>
        <v>2029.667923461272</v>
      </c>
      <c r="G49" s="247">
        <f>IF($C49="nwproto",VLOOKUP("*"&amp;$D49&amp;"_1568"&amp;$A49&amp;"*"&amp;$B49,SavingsCalcs!$B$5:$M$148,G$8,FALSE)*$C$2+VLOOKUP("*"&amp;$D49&amp;"_2200"&amp;$A49&amp;"*"&amp;$B49,SavingsCalcs!$B$5:$M$148,G$8,FALSE)*$C$3+VLOOKUP("*"&amp;$D49&amp;"_2688"&amp;$A49&amp;"*"&amp;$B49,SavingsCalcs!$B$5:$M$148,G$8,FALSE)*$C$4,VLOOKUP("*"&amp;$D49&amp;"_5000"&amp;$A49&amp;"*"&amp;$B49,SavingsCalcs!$B$5:$M$148,G$8,FALSE))</f>
        <v>36.457379194642868</v>
      </c>
      <c r="H49" s="247">
        <f>IF($C49="nwproto",VLOOKUP("*"&amp;$D49&amp;"_1568"&amp;$A49&amp;"*"&amp;$B49,SavingsCalcs!$B$5:$M$148,H$8,FALSE)*$C$2+VLOOKUP("*"&amp;$D49&amp;"_2200"&amp;$A49&amp;"*"&amp;$B49,SavingsCalcs!$B$5:$M$148,H$8,FALSE)*$C$3+VLOOKUP("*"&amp;$D49&amp;"_2688"&amp;$A49&amp;"*"&amp;$B49,SavingsCalcs!$B$5:$M$148,H$8,FALSE)*$C$4,VLOOKUP("*"&amp;$D49&amp;"_5000"&amp;$A49&amp;"*"&amp;$B49,SavingsCalcs!$B$5:$M$148,H$8,FALSE))</f>
        <v>0</v>
      </c>
      <c r="I49" s="247">
        <f>IF($C49="nwproto",VLOOKUP("*"&amp;$D49&amp;"_1568"&amp;$A49&amp;"*"&amp;$B49,SavingsCalcs!$B$5:$M$148,I$8,FALSE)*$C$2+VLOOKUP("*"&amp;$D49&amp;"_2200"&amp;$A49&amp;"*"&amp;$B49,SavingsCalcs!$B$5:$M$148,I$8,FALSE)*$C$3+VLOOKUP("*"&amp;$D49&amp;"_2688"&amp;$A49&amp;"*"&amp;$B49,SavingsCalcs!$B$5:$M$148,I$8,FALSE)*$C$4,VLOOKUP("*"&amp;$D49&amp;"_5000"&amp;$A49&amp;"*"&amp;$B49,SavingsCalcs!$B$5:$M$148,I$8,FALSE))</f>
        <v>74.734024017957523</v>
      </c>
      <c r="J49" s="248">
        <f>IF($C49="nwproto",VLOOKUP("*"&amp;$D49&amp;"_1568"&amp;$A49&amp;"*"&amp;$B49,SavingsCalcs!$B$5:$M$148,J$8,FALSE)*$C$2+VLOOKUP("*"&amp;$D49&amp;"_2200"&amp;$A49&amp;"*"&amp;$B49,SavingsCalcs!$B$5:$M$148,J$8,FALSE)*$C$3+VLOOKUP("*"&amp;$D49&amp;"_2688"&amp;$A49&amp;"*"&amp;$B49,SavingsCalcs!$B$5:$M$148,J$8,FALSE)*$C$4,VLOOKUP("*"&amp;$D49&amp;"_5000"&amp;$A49&amp;"*"&amp;$B49,SavingsCalcs!$B$5:$M$148,J$8,FALSE))</f>
        <v>8878.381625</v>
      </c>
      <c r="K49" s="248">
        <f>IF($C49="nwproto",VLOOKUP("*"&amp;$D49&amp;"_1568"&amp;$A49&amp;"*"&amp;$B49,SavingsCalcs!$B$5:$M$148,K$8,FALSE)*$C$2+VLOOKUP("*"&amp;$D49&amp;"_2200"&amp;$A49&amp;"*"&amp;$B49,SavingsCalcs!$B$5:$M$148,K$8,FALSE)*$C$3+VLOOKUP("*"&amp;$D49&amp;"_2688"&amp;$A49&amp;"*"&amp;$B49,SavingsCalcs!$B$5:$M$148,K$8,FALSE)*$C$4,VLOOKUP("*"&amp;$D49&amp;"_5000"&amp;$A49&amp;"*"&amp;$B49,SavingsCalcs!$B$5:$M$148,K$8,FALSE))</f>
        <v>0</v>
      </c>
      <c r="L49" s="248"/>
      <c r="M49" s="9" t="str">
        <f>SavingsCalcs!B44</f>
        <v>WxHZ1CZ1_2688e_25gshp_des0</v>
      </c>
      <c r="N49" s="9" t="str">
        <f t="shared" si="1"/>
        <v>e_nwprotoHZ2CZ1des0</v>
      </c>
    </row>
    <row r="50" spans="1:14">
      <c r="A50" s="220" t="s">
        <v>961</v>
      </c>
      <c r="B50" s="220" t="s">
        <v>948</v>
      </c>
      <c r="C50" s="220" t="s">
        <v>949</v>
      </c>
      <c r="D50" s="220" t="s">
        <v>954</v>
      </c>
      <c r="E50" s="220" t="str">
        <f t="shared" si="0"/>
        <v>Ground Source Heat Pump Upgrade from Air Source Heat Pump - Without Desuperheater - Existing House less than 4000 square feet - Heating Zone 2 - Cooling Zone 2</v>
      </c>
      <c r="F50" s="247">
        <f>IF($C50="nwproto",VLOOKUP("*"&amp;$D50&amp;"_1568"&amp;$A50&amp;"*"&amp;$B50,SavingsCalcs!$B$5:$M$148,F$8,FALSE)*$C$2+VLOOKUP("*"&amp;$D50&amp;"_2200"&amp;$A50&amp;"*"&amp;$B50,SavingsCalcs!$B$5:$M$148,F$8,FALSE)*$C$3+VLOOKUP("*"&amp;$D50&amp;"_2688"&amp;$A50&amp;"*"&amp;$B50,SavingsCalcs!$B$5:$M$148,F$8,FALSE)*$C$4,VLOOKUP("*"&amp;$D50&amp;"_5000"&amp;$A50&amp;"*"&amp;$B50,SavingsCalcs!$B$5:$M$148,F$8,FALSE))</f>
        <v>2029.667923461272</v>
      </c>
      <c r="G50" s="247">
        <f>IF($C50="nwproto",VLOOKUP("*"&amp;$D50&amp;"_1568"&amp;$A50&amp;"*"&amp;$B50,SavingsCalcs!$B$5:$M$148,G$8,FALSE)*$C$2+VLOOKUP("*"&amp;$D50&amp;"_2200"&amp;$A50&amp;"*"&amp;$B50,SavingsCalcs!$B$5:$M$148,G$8,FALSE)*$C$3+VLOOKUP("*"&amp;$D50&amp;"_2688"&amp;$A50&amp;"*"&amp;$B50,SavingsCalcs!$B$5:$M$148,G$8,FALSE)*$C$4,VLOOKUP("*"&amp;$D50&amp;"_5000"&amp;$A50&amp;"*"&amp;$B50,SavingsCalcs!$B$5:$M$148,G$8,FALSE))</f>
        <v>115.74816613571434</v>
      </c>
      <c r="H50" s="247">
        <f>IF($C50="nwproto",VLOOKUP("*"&amp;$D50&amp;"_1568"&amp;$A50&amp;"*"&amp;$B50,SavingsCalcs!$B$5:$M$148,H$8,FALSE)*$C$2+VLOOKUP("*"&amp;$D50&amp;"_2200"&amp;$A50&amp;"*"&amp;$B50,SavingsCalcs!$B$5:$M$148,H$8,FALSE)*$C$3+VLOOKUP("*"&amp;$D50&amp;"_2688"&amp;$A50&amp;"*"&amp;$B50,SavingsCalcs!$B$5:$M$148,H$8,FALSE)*$C$4,VLOOKUP("*"&amp;$D50&amp;"_5000"&amp;$A50&amp;"*"&amp;$B50,SavingsCalcs!$B$5:$M$148,H$8,FALSE))</f>
        <v>0</v>
      </c>
      <c r="I50" s="247">
        <f>IF($C50="nwproto",VLOOKUP("*"&amp;$D50&amp;"_1568"&amp;$A50&amp;"*"&amp;$B50,SavingsCalcs!$B$5:$M$148,I$8,FALSE)*$C$2+VLOOKUP("*"&amp;$D50&amp;"_2200"&amp;$A50&amp;"*"&amp;$B50,SavingsCalcs!$B$5:$M$148,I$8,FALSE)*$C$3+VLOOKUP("*"&amp;$D50&amp;"_2688"&amp;$A50&amp;"*"&amp;$B50,SavingsCalcs!$B$5:$M$148,I$8,FALSE)*$C$4,VLOOKUP("*"&amp;$D50&amp;"_5000"&amp;$A50&amp;"*"&amp;$B50,SavingsCalcs!$B$5:$M$148,I$8,FALSE))</f>
        <v>74.734024017957523</v>
      </c>
      <c r="J50" s="248">
        <f>IF($C50="nwproto",VLOOKUP("*"&amp;$D50&amp;"_1568"&amp;$A50&amp;"*"&amp;$B50,SavingsCalcs!$B$5:$M$148,J$8,FALSE)*$C$2+VLOOKUP("*"&amp;$D50&amp;"_2200"&amp;$A50&amp;"*"&amp;$B50,SavingsCalcs!$B$5:$M$148,J$8,FALSE)*$C$3+VLOOKUP("*"&amp;$D50&amp;"_2688"&amp;$A50&amp;"*"&amp;$B50,SavingsCalcs!$B$5:$M$148,J$8,FALSE)*$C$4,VLOOKUP("*"&amp;$D50&amp;"_5000"&amp;$A50&amp;"*"&amp;$B50,SavingsCalcs!$B$5:$M$148,J$8,FALSE))</f>
        <v>8878.381625</v>
      </c>
      <c r="K50" s="248">
        <f>IF($C50="nwproto",VLOOKUP("*"&amp;$D50&amp;"_1568"&amp;$A50&amp;"*"&amp;$B50,SavingsCalcs!$B$5:$M$148,K$8,FALSE)*$C$2+VLOOKUP("*"&amp;$D50&amp;"_2200"&amp;$A50&amp;"*"&amp;$B50,SavingsCalcs!$B$5:$M$148,K$8,FALSE)*$C$3+VLOOKUP("*"&amp;$D50&amp;"_2688"&amp;$A50&amp;"*"&amp;$B50,SavingsCalcs!$B$5:$M$148,K$8,FALSE)*$C$4,VLOOKUP("*"&amp;$D50&amp;"_5000"&amp;$A50&amp;"*"&amp;$B50,SavingsCalcs!$B$5:$M$148,K$8,FALSE))</f>
        <v>0</v>
      </c>
      <c r="L50" s="248"/>
      <c r="M50" s="9" t="str">
        <f>SavingsCalcs!B45</f>
        <v>WxHZ1CZ2_2688e_25gshp_des0</v>
      </c>
      <c r="N50" s="9" t="str">
        <f t="shared" si="1"/>
        <v>e_nwprotoHZ2CZ2des0</v>
      </c>
    </row>
    <row r="51" spans="1:14">
      <c r="A51" s="220" t="s">
        <v>961</v>
      </c>
      <c r="B51" s="220" t="s">
        <v>948</v>
      </c>
      <c r="C51" s="220" t="s">
        <v>949</v>
      </c>
      <c r="D51" s="220" t="s">
        <v>955</v>
      </c>
      <c r="E51" s="220" t="str">
        <f t="shared" si="0"/>
        <v>Ground Source Heat Pump Upgrade from Air Source Heat Pump - Without Desuperheater - Existing House less than 4000 square feet - Heating Zone 2 - Cooling Zone 3</v>
      </c>
      <c r="F51" s="247">
        <f>IF($C51="nwproto",VLOOKUP("*"&amp;$D51&amp;"_1568"&amp;$A51&amp;"*"&amp;$B51,SavingsCalcs!$B$5:$M$148,F$8,FALSE)*$C$2+VLOOKUP("*"&amp;$D51&amp;"_2200"&amp;$A51&amp;"*"&amp;$B51,SavingsCalcs!$B$5:$M$148,F$8,FALSE)*$C$3+VLOOKUP("*"&amp;$D51&amp;"_2688"&amp;$A51&amp;"*"&amp;$B51,SavingsCalcs!$B$5:$M$148,F$8,FALSE)*$C$4,VLOOKUP("*"&amp;$D51&amp;"_5000"&amp;$A51&amp;"*"&amp;$B51,SavingsCalcs!$B$5:$M$148,F$8,FALSE))</f>
        <v>2029.667923461272</v>
      </c>
      <c r="G51" s="247">
        <f>IF($C51="nwproto",VLOOKUP("*"&amp;$D51&amp;"_1568"&amp;$A51&amp;"*"&amp;$B51,SavingsCalcs!$B$5:$M$148,G$8,FALSE)*$C$2+VLOOKUP("*"&amp;$D51&amp;"_2200"&amp;$A51&amp;"*"&amp;$B51,SavingsCalcs!$B$5:$M$148,G$8,FALSE)*$C$3+VLOOKUP("*"&amp;$D51&amp;"_2688"&amp;$A51&amp;"*"&amp;$B51,SavingsCalcs!$B$5:$M$148,G$8,FALSE)*$C$4,VLOOKUP("*"&amp;$D51&amp;"_5000"&amp;$A51&amp;"*"&amp;$B51,SavingsCalcs!$B$5:$M$148,G$8,FALSE))</f>
        <v>247.7897780875</v>
      </c>
      <c r="H51" s="247">
        <f>IF($C51="nwproto",VLOOKUP("*"&amp;$D51&amp;"_1568"&amp;$A51&amp;"*"&amp;$B51,SavingsCalcs!$B$5:$M$148,H$8,FALSE)*$C$2+VLOOKUP("*"&amp;$D51&amp;"_2200"&amp;$A51&amp;"*"&amp;$B51,SavingsCalcs!$B$5:$M$148,H$8,FALSE)*$C$3+VLOOKUP("*"&amp;$D51&amp;"_2688"&amp;$A51&amp;"*"&amp;$B51,SavingsCalcs!$B$5:$M$148,H$8,FALSE)*$C$4,VLOOKUP("*"&amp;$D51&amp;"_5000"&amp;$A51&amp;"*"&amp;$B51,SavingsCalcs!$B$5:$M$148,H$8,FALSE))</f>
        <v>0</v>
      </c>
      <c r="I51" s="247">
        <f>IF($C51="nwproto",VLOOKUP("*"&amp;$D51&amp;"_1568"&amp;$A51&amp;"*"&amp;$B51,SavingsCalcs!$B$5:$M$148,I$8,FALSE)*$C$2+VLOOKUP("*"&amp;$D51&amp;"_2200"&amp;$A51&amp;"*"&amp;$B51,SavingsCalcs!$B$5:$M$148,I$8,FALSE)*$C$3+VLOOKUP("*"&amp;$D51&amp;"_2688"&amp;$A51&amp;"*"&amp;$B51,SavingsCalcs!$B$5:$M$148,I$8,FALSE)*$C$4,VLOOKUP("*"&amp;$D51&amp;"_5000"&amp;$A51&amp;"*"&amp;$B51,SavingsCalcs!$B$5:$M$148,I$8,FALSE))</f>
        <v>74.734024017957523</v>
      </c>
      <c r="J51" s="248">
        <f>IF($C51="nwproto",VLOOKUP("*"&amp;$D51&amp;"_1568"&amp;$A51&amp;"*"&amp;$B51,SavingsCalcs!$B$5:$M$148,J$8,FALSE)*$C$2+VLOOKUP("*"&amp;$D51&amp;"_2200"&amp;$A51&amp;"*"&amp;$B51,SavingsCalcs!$B$5:$M$148,J$8,FALSE)*$C$3+VLOOKUP("*"&amp;$D51&amp;"_2688"&amp;$A51&amp;"*"&amp;$B51,SavingsCalcs!$B$5:$M$148,J$8,FALSE)*$C$4,VLOOKUP("*"&amp;$D51&amp;"_5000"&amp;$A51&amp;"*"&amp;$B51,SavingsCalcs!$B$5:$M$148,J$8,FALSE))</f>
        <v>8878.381625</v>
      </c>
      <c r="K51" s="248">
        <f>IF($C51="nwproto",VLOOKUP("*"&amp;$D51&amp;"_1568"&amp;$A51&amp;"*"&amp;$B51,SavingsCalcs!$B$5:$M$148,K$8,FALSE)*$C$2+VLOOKUP("*"&amp;$D51&amp;"_2200"&amp;$A51&amp;"*"&amp;$B51,SavingsCalcs!$B$5:$M$148,K$8,FALSE)*$C$3+VLOOKUP("*"&amp;$D51&amp;"_2688"&amp;$A51&amp;"*"&amp;$B51,SavingsCalcs!$B$5:$M$148,K$8,FALSE)*$C$4,VLOOKUP("*"&amp;$D51&amp;"_5000"&amp;$A51&amp;"*"&amp;$B51,SavingsCalcs!$B$5:$M$148,K$8,FALSE))</f>
        <v>0</v>
      </c>
      <c r="L51" s="248"/>
      <c r="M51" s="9" t="str">
        <f>SavingsCalcs!B46</f>
        <v>WxHZ1CZ3_2688e_25gshp_des0</v>
      </c>
      <c r="N51" s="9" t="str">
        <f t="shared" si="1"/>
        <v>e_nwprotoHZ2CZ3des0</v>
      </c>
    </row>
    <row r="52" spans="1:14">
      <c r="A52" s="220" t="s">
        <v>961</v>
      </c>
      <c r="B52" s="220" t="s">
        <v>948</v>
      </c>
      <c r="C52" s="220" t="s">
        <v>949</v>
      </c>
      <c r="D52" s="220" t="s">
        <v>956</v>
      </c>
      <c r="E52" s="220" t="str">
        <f t="shared" si="0"/>
        <v>Ground Source Heat Pump Upgrade from Air Source Heat Pump - Without Desuperheater - Existing House less than 4000 square feet - Heating Zone 3 - Cooling Zone 1</v>
      </c>
      <c r="F52" s="247">
        <f>IF($C52="nwproto",VLOOKUP("*"&amp;$D52&amp;"_1568"&amp;$A52&amp;"*"&amp;$B52,SavingsCalcs!$B$5:$M$148,F$8,FALSE)*$C$2+VLOOKUP("*"&amp;$D52&amp;"_2200"&amp;$A52&amp;"*"&amp;$B52,SavingsCalcs!$B$5:$M$148,F$8,FALSE)*$C$3+VLOOKUP("*"&amp;$D52&amp;"_2688"&amp;$A52&amp;"*"&amp;$B52,SavingsCalcs!$B$5:$M$148,F$8,FALSE)*$C$4,VLOOKUP("*"&amp;$D52&amp;"_5000"&amp;$A52&amp;"*"&amp;$B52,SavingsCalcs!$B$5:$M$148,F$8,FALSE))</f>
        <v>2846.9217547772409</v>
      </c>
      <c r="G52" s="247">
        <f>IF($C52="nwproto",VLOOKUP("*"&amp;$D52&amp;"_1568"&amp;$A52&amp;"*"&amp;$B52,SavingsCalcs!$B$5:$M$148,G$8,FALSE)*$C$2+VLOOKUP("*"&amp;$D52&amp;"_2200"&amp;$A52&amp;"*"&amp;$B52,SavingsCalcs!$B$5:$M$148,G$8,FALSE)*$C$3+VLOOKUP("*"&amp;$D52&amp;"_2688"&amp;$A52&amp;"*"&amp;$B52,SavingsCalcs!$B$5:$M$148,G$8,FALSE)*$C$4,VLOOKUP("*"&amp;$D52&amp;"_5000"&amp;$A52&amp;"*"&amp;$B52,SavingsCalcs!$B$5:$M$148,G$8,FALSE))</f>
        <v>36.457379194642868</v>
      </c>
      <c r="H52" s="247">
        <f>IF($C52="nwproto",VLOOKUP("*"&amp;$D52&amp;"_1568"&amp;$A52&amp;"*"&amp;$B52,SavingsCalcs!$B$5:$M$148,H$8,FALSE)*$C$2+VLOOKUP("*"&amp;$D52&amp;"_2200"&amp;$A52&amp;"*"&amp;$B52,SavingsCalcs!$B$5:$M$148,H$8,FALSE)*$C$3+VLOOKUP("*"&amp;$D52&amp;"_2688"&amp;$A52&amp;"*"&amp;$B52,SavingsCalcs!$B$5:$M$148,H$8,FALSE)*$C$4,VLOOKUP("*"&amp;$D52&amp;"_5000"&amp;$A52&amp;"*"&amp;$B52,SavingsCalcs!$B$5:$M$148,H$8,FALSE))</f>
        <v>0</v>
      </c>
      <c r="I52" s="247">
        <f>IF($C52="nwproto",VLOOKUP("*"&amp;$D52&amp;"_1568"&amp;$A52&amp;"*"&amp;$B52,SavingsCalcs!$B$5:$M$148,I$8,FALSE)*$C$2+VLOOKUP("*"&amp;$D52&amp;"_2200"&amp;$A52&amp;"*"&amp;$B52,SavingsCalcs!$B$5:$M$148,I$8,FALSE)*$C$3+VLOOKUP("*"&amp;$D52&amp;"_2688"&amp;$A52&amp;"*"&amp;$B52,SavingsCalcs!$B$5:$M$148,I$8,FALSE)*$C$4,VLOOKUP("*"&amp;$D52&amp;"_5000"&amp;$A52&amp;"*"&amp;$B52,SavingsCalcs!$B$5:$M$148,I$8,FALSE))</f>
        <v>88.202057501002372</v>
      </c>
      <c r="J52" s="248">
        <f>IF($C52="nwproto",VLOOKUP("*"&amp;$D52&amp;"_1568"&amp;$A52&amp;"*"&amp;$B52,SavingsCalcs!$B$5:$M$148,J$8,FALSE)*$C$2+VLOOKUP("*"&amp;$D52&amp;"_2200"&amp;$A52&amp;"*"&amp;$B52,SavingsCalcs!$B$5:$M$148,J$8,FALSE)*$C$3+VLOOKUP("*"&amp;$D52&amp;"_2688"&amp;$A52&amp;"*"&amp;$B52,SavingsCalcs!$B$5:$M$148,J$8,FALSE)*$C$4,VLOOKUP("*"&amp;$D52&amp;"_5000"&amp;$A52&amp;"*"&amp;$B52,SavingsCalcs!$B$5:$M$148,J$8,FALSE))</f>
        <v>14478.166725000003</v>
      </c>
      <c r="K52" s="248">
        <f>IF($C52="nwproto",VLOOKUP("*"&amp;$D52&amp;"_1568"&amp;$A52&amp;"*"&amp;$B52,SavingsCalcs!$B$5:$M$148,K$8,FALSE)*$C$2+VLOOKUP("*"&amp;$D52&amp;"_2200"&amp;$A52&amp;"*"&amp;$B52,SavingsCalcs!$B$5:$M$148,K$8,FALSE)*$C$3+VLOOKUP("*"&amp;$D52&amp;"_2688"&amp;$A52&amp;"*"&amp;$B52,SavingsCalcs!$B$5:$M$148,K$8,FALSE)*$C$4,VLOOKUP("*"&amp;$D52&amp;"_5000"&amp;$A52&amp;"*"&amp;$B52,SavingsCalcs!$B$5:$M$148,K$8,FALSE))</f>
        <v>0</v>
      </c>
      <c r="L52" s="248"/>
      <c r="M52" s="9" t="str">
        <f>SavingsCalcs!B47</f>
        <v>NWHZ2CZ1_2688n_25gshp_des0</v>
      </c>
      <c r="N52" s="9" t="str">
        <f t="shared" si="1"/>
        <v>e_nwprotoHZ3CZ1des0</v>
      </c>
    </row>
    <row r="53" spans="1:14">
      <c r="A53" s="220" t="s">
        <v>961</v>
      </c>
      <c r="B53" s="220" t="s">
        <v>948</v>
      </c>
      <c r="C53" s="220" t="s">
        <v>949</v>
      </c>
      <c r="D53" s="220" t="s">
        <v>957</v>
      </c>
      <c r="E53" s="220" t="str">
        <f t="shared" si="0"/>
        <v>Ground Source Heat Pump Upgrade from Air Source Heat Pump - Without Desuperheater - Existing House less than 4000 square feet - Heating Zone 3 - Cooling Zone 2</v>
      </c>
      <c r="F53" s="247">
        <f>IF($C53="nwproto",VLOOKUP("*"&amp;$D53&amp;"_1568"&amp;$A53&amp;"*"&amp;$B53,SavingsCalcs!$B$5:$M$148,F$8,FALSE)*$C$2+VLOOKUP("*"&amp;$D53&amp;"_2200"&amp;$A53&amp;"*"&amp;$B53,SavingsCalcs!$B$5:$M$148,F$8,FALSE)*$C$3+VLOOKUP("*"&amp;$D53&amp;"_2688"&amp;$A53&amp;"*"&amp;$B53,SavingsCalcs!$B$5:$M$148,F$8,FALSE)*$C$4,VLOOKUP("*"&amp;$D53&amp;"_5000"&amp;$A53&amp;"*"&amp;$B53,SavingsCalcs!$B$5:$M$148,F$8,FALSE))</f>
        <v>2846.9217547772409</v>
      </c>
      <c r="G53" s="247">
        <f>IF($C53="nwproto",VLOOKUP("*"&amp;$D53&amp;"_1568"&amp;$A53&amp;"*"&amp;$B53,SavingsCalcs!$B$5:$M$148,G$8,FALSE)*$C$2+VLOOKUP("*"&amp;$D53&amp;"_2200"&amp;$A53&amp;"*"&amp;$B53,SavingsCalcs!$B$5:$M$148,G$8,FALSE)*$C$3+VLOOKUP("*"&amp;$D53&amp;"_2688"&amp;$A53&amp;"*"&amp;$B53,SavingsCalcs!$B$5:$M$148,G$8,FALSE)*$C$4,VLOOKUP("*"&amp;$D53&amp;"_5000"&amp;$A53&amp;"*"&amp;$B53,SavingsCalcs!$B$5:$M$148,G$8,FALSE))</f>
        <v>115.74816613571434</v>
      </c>
      <c r="H53" s="247">
        <f>IF($C53="nwproto",VLOOKUP("*"&amp;$D53&amp;"_1568"&amp;$A53&amp;"*"&amp;$B53,SavingsCalcs!$B$5:$M$148,H$8,FALSE)*$C$2+VLOOKUP("*"&amp;$D53&amp;"_2200"&amp;$A53&amp;"*"&amp;$B53,SavingsCalcs!$B$5:$M$148,H$8,FALSE)*$C$3+VLOOKUP("*"&amp;$D53&amp;"_2688"&amp;$A53&amp;"*"&amp;$B53,SavingsCalcs!$B$5:$M$148,H$8,FALSE)*$C$4,VLOOKUP("*"&amp;$D53&amp;"_5000"&amp;$A53&amp;"*"&amp;$B53,SavingsCalcs!$B$5:$M$148,H$8,FALSE))</f>
        <v>0</v>
      </c>
      <c r="I53" s="247">
        <f>IF($C53="nwproto",VLOOKUP("*"&amp;$D53&amp;"_1568"&amp;$A53&amp;"*"&amp;$B53,SavingsCalcs!$B$5:$M$148,I$8,FALSE)*$C$2+VLOOKUP("*"&amp;$D53&amp;"_2200"&amp;$A53&amp;"*"&amp;$B53,SavingsCalcs!$B$5:$M$148,I$8,FALSE)*$C$3+VLOOKUP("*"&amp;$D53&amp;"_2688"&amp;$A53&amp;"*"&amp;$B53,SavingsCalcs!$B$5:$M$148,I$8,FALSE)*$C$4,VLOOKUP("*"&amp;$D53&amp;"_5000"&amp;$A53&amp;"*"&amp;$B53,SavingsCalcs!$B$5:$M$148,I$8,FALSE))</f>
        <v>88.202057501002372</v>
      </c>
      <c r="J53" s="248">
        <f>IF($C53="nwproto",VLOOKUP("*"&amp;$D53&amp;"_1568"&amp;$A53&amp;"*"&amp;$B53,SavingsCalcs!$B$5:$M$148,J$8,FALSE)*$C$2+VLOOKUP("*"&amp;$D53&amp;"_2200"&amp;$A53&amp;"*"&amp;$B53,SavingsCalcs!$B$5:$M$148,J$8,FALSE)*$C$3+VLOOKUP("*"&amp;$D53&amp;"_2688"&amp;$A53&amp;"*"&amp;$B53,SavingsCalcs!$B$5:$M$148,J$8,FALSE)*$C$4,VLOOKUP("*"&amp;$D53&amp;"_5000"&amp;$A53&amp;"*"&amp;$B53,SavingsCalcs!$B$5:$M$148,J$8,FALSE))</f>
        <v>14478.166725000003</v>
      </c>
      <c r="K53" s="248">
        <f>IF($C53="nwproto",VLOOKUP("*"&amp;$D53&amp;"_1568"&amp;$A53&amp;"*"&amp;$B53,SavingsCalcs!$B$5:$M$148,K$8,FALSE)*$C$2+VLOOKUP("*"&amp;$D53&amp;"_2200"&amp;$A53&amp;"*"&amp;$B53,SavingsCalcs!$B$5:$M$148,K$8,FALSE)*$C$3+VLOOKUP("*"&amp;$D53&amp;"_2688"&amp;$A53&amp;"*"&amp;$B53,SavingsCalcs!$B$5:$M$148,K$8,FALSE)*$C$4,VLOOKUP("*"&amp;$D53&amp;"_5000"&amp;$A53&amp;"*"&amp;$B53,SavingsCalcs!$B$5:$M$148,K$8,FALSE))</f>
        <v>0</v>
      </c>
      <c r="L53" s="248"/>
      <c r="M53" s="9" t="str">
        <f>SavingsCalcs!B48</f>
        <v>NWHZ2CZ2_2688n_25gshp_des0</v>
      </c>
      <c r="N53" s="9" t="str">
        <f t="shared" si="1"/>
        <v>e_nwprotoHZ3CZ2des0</v>
      </c>
    </row>
    <row r="54" spans="1:14">
      <c r="A54" s="220" t="s">
        <v>961</v>
      </c>
      <c r="B54" s="220" t="s">
        <v>948</v>
      </c>
      <c r="C54" s="220" t="s">
        <v>949</v>
      </c>
      <c r="D54" s="220" t="s">
        <v>958</v>
      </c>
      <c r="E54" s="220" t="str">
        <f t="shared" si="0"/>
        <v>Ground Source Heat Pump Upgrade from Air Source Heat Pump - Without Desuperheater - Existing House less than 4000 square feet - Heating Zone 3 - Cooling Zone 3</v>
      </c>
      <c r="F54" s="247">
        <f>IF($C54="nwproto",VLOOKUP("*"&amp;$D54&amp;"_1568"&amp;$A54&amp;"*"&amp;$B54,SavingsCalcs!$B$5:$M$148,F$8,FALSE)*$C$2+VLOOKUP("*"&amp;$D54&amp;"_2200"&amp;$A54&amp;"*"&amp;$B54,SavingsCalcs!$B$5:$M$148,F$8,FALSE)*$C$3+VLOOKUP("*"&amp;$D54&amp;"_2688"&amp;$A54&amp;"*"&amp;$B54,SavingsCalcs!$B$5:$M$148,F$8,FALSE)*$C$4,VLOOKUP("*"&amp;$D54&amp;"_5000"&amp;$A54&amp;"*"&amp;$B54,SavingsCalcs!$B$5:$M$148,F$8,FALSE))</f>
        <v>2846.9217547772409</v>
      </c>
      <c r="G54" s="247">
        <f>IF($C54="nwproto",VLOOKUP("*"&amp;$D54&amp;"_1568"&amp;$A54&amp;"*"&amp;$B54,SavingsCalcs!$B$5:$M$148,G$8,FALSE)*$C$2+VLOOKUP("*"&amp;$D54&amp;"_2200"&amp;$A54&amp;"*"&amp;$B54,SavingsCalcs!$B$5:$M$148,G$8,FALSE)*$C$3+VLOOKUP("*"&amp;$D54&amp;"_2688"&amp;$A54&amp;"*"&amp;$B54,SavingsCalcs!$B$5:$M$148,G$8,FALSE)*$C$4,VLOOKUP("*"&amp;$D54&amp;"_5000"&amp;$A54&amp;"*"&amp;$B54,SavingsCalcs!$B$5:$M$148,G$8,FALSE))</f>
        <v>247.7897780875</v>
      </c>
      <c r="H54" s="247">
        <f>IF($C54="nwproto",VLOOKUP("*"&amp;$D54&amp;"_1568"&amp;$A54&amp;"*"&amp;$B54,SavingsCalcs!$B$5:$M$148,H$8,FALSE)*$C$2+VLOOKUP("*"&amp;$D54&amp;"_2200"&amp;$A54&amp;"*"&amp;$B54,SavingsCalcs!$B$5:$M$148,H$8,FALSE)*$C$3+VLOOKUP("*"&amp;$D54&amp;"_2688"&amp;$A54&amp;"*"&amp;$B54,SavingsCalcs!$B$5:$M$148,H$8,FALSE)*$C$4,VLOOKUP("*"&amp;$D54&amp;"_5000"&amp;$A54&amp;"*"&amp;$B54,SavingsCalcs!$B$5:$M$148,H$8,FALSE))</f>
        <v>0</v>
      </c>
      <c r="I54" s="247">
        <f>IF($C54="nwproto",VLOOKUP("*"&amp;$D54&amp;"_1568"&amp;$A54&amp;"*"&amp;$B54,SavingsCalcs!$B$5:$M$148,I$8,FALSE)*$C$2+VLOOKUP("*"&amp;$D54&amp;"_2200"&amp;$A54&amp;"*"&amp;$B54,SavingsCalcs!$B$5:$M$148,I$8,FALSE)*$C$3+VLOOKUP("*"&amp;$D54&amp;"_2688"&amp;$A54&amp;"*"&amp;$B54,SavingsCalcs!$B$5:$M$148,I$8,FALSE)*$C$4,VLOOKUP("*"&amp;$D54&amp;"_5000"&amp;$A54&amp;"*"&amp;$B54,SavingsCalcs!$B$5:$M$148,I$8,FALSE))</f>
        <v>88.202057501002372</v>
      </c>
      <c r="J54" s="248">
        <f>IF($C54="nwproto",VLOOKUP("*"&amp;$D54&amp;"_1568"&amp;$A54&amp;"*"&amp;$B54,SavingsCalcs!$B$5:$M$148,J$8,FALSE)*$C$2+VLOOKUP("*"&amp;$D54&amp;"_2200"&amp;$A54&amp;"*"&amp;$B54,SavingsCalcs!$B$5:$M$148,J$8,FALSE)*$C$3+VLOOKUP("*"&amp;$D54&amp;"_2688"&amp;$A54&amp;"*"&amp;$B54,SavingsCalcs!$B$5:$M$148,J$8,FALSE)*$C$4,VLOOKUP("*"&amp;$D54&amp;"_5000"&amp;$A54&amp;"*"&amp;$B54,SavingsCalcs!$B$5:$M$148,J$8,FALSE))</f>
        <v>14478.166725000003</v>
      </c>
      <c r="K54" s="248">
        <f>IF($C54="nwproto",VLOOKUP("*"&amp;$D54&amp;"_1568"&amp;$A54&amp;"*"&amp;$B54,SavingsCalcs!$B$5:$M$148,K$8,FALSE)*$C$2+VLOOKUP("*"&amp;$D54&amp;"_2200"&amp;$A54&amp;"*"&amp;$B54,SavingsCalcs!$B$5:$M$148,K$8,FALSE)*$C$3+VLOOKUP("*"&amp;$D54&amp;"_2688"&amp;$A54&amp;"*"&amp;$B54,SavingsCalcs!$B$5:$M$148,K$8,FALSE)*$C$4,VLOOKUP("*"&amp;$D54&amp;"_5000"&amp;$A54&amp;"*"&amp;$B54,SavingsCalcs!$B$5:$M$148,K$8,FALSE))</f>
        <v>0</v>
      </c>
      <c r="L54" s="248"/>
      <c r="M54" s="9" t="str">
        <f>SavingsCalcs!B49</f>
        <v>NWHZ2CZ3_2688n_25gshp_des0</v>
      </c>
      <c r="N54" s="9" t="str">
        <f t="shared" si="1"/>
        <v>e_nwprotoHZ3CZ3des0</v>
      </c>
    </row>
    <row r="55" spans="1:14">
      <c r="A55" s="220" t="s">
        <v>961</v>
      </c>
      <c r="B55" s="220" t="s">
        <v>948</v>
      </c>
      <c r="C55" s="220" t="s">
        <v>959</v>
      </c>
      <c r="D55" s="220" t="s">
        <v>950</v>
      </c>
      <c r="E55" s="220" t="str">
        <f t="shared" si="0"/>
        <v>Ground Source Heat Pump Upgrade from Air Source Heat Pump - Without Desuperheater - Existing House 4000 square feet or greater - Heating Zone 1 - Cooling Zone 1</v>
      </c>
      <c r="F55" s="247">
        <f>IF($C55="nwproto",VLOOKUP("*"&amp;$D55&amp;"_1568"&amp;$A55&amp;"*"&amp;$B55,SavingsCalcs!$B$5:$M$148,F$8,FALSE)*$C$2+VLOOKUP("*"&amp;$D55&amp;"_2200"&amp;$A55&amp;"*"&amp;$B55,SavingsCalcs!$B$5:$M$148,F$8,FALSE)*$C$3+VLOOKUP("*"&amp;$D55&amp;"_2688"&amp;$A55&amp;"*"&amp;$B55,SavingsCalcs!$B$5:$M$148,F$8,FALSE)*$C$4,VLOOKUP("*"&amp;$D55&amp;"_5000"&amp;$A55&amp;"*"&amp;$B55,SavingsCalcs!$B$5:$M$148,F$8,FALSE))</f>
        <v>1693.566363448037</v>
      </c>
      <c r="G55" s="247">
        <f>IF($C55="nwproto",VLOOKUP("*"&amp;$D55&amp;"_1568"&amp;$A55&amp;"*"&amp;$B55,SavingsCalcs!$B$5:$M$148,G$8,FALSE)*$C$2+VLOOKUP("*"&amp;$D55&amp;"_2200"&amp;$A55&amp;"*"&amp;$B55,SavingsCalcs!$B$5:$M$148,G$8,FALSE)*$C$3+VLOOKUP("*"&amp;$D55&amp;"_2688"&amp;$A55&amp;"*"&amp;$B55,SavingsCalcs!$B$5:$M$148,G$8,FALSE)*$C$4,VLOOKUP("*"&amp;$D55&amp;"_5000"&amp;$A55&amp;"*"&amp;$B55,SavingsCalcs!$B$5:$M$148,G$8,FALSE))</f>
        <v>61.308651749999967</v>
      </c>
      <c r="H55" s="247">
        <f>IF($C55="nwproto",VLOOKUP("*"&amp;$D55&amp;"_1568"&amp;$A55&amp;"*"&amp;$B55,SavingsCalcs!$B$5:$M$148,H$8,FALSE)*$C$2+VLOOKUP("*"&amp;$D55&amp;"_2200"&amp;$A55&amp;"*"&amp;$B55,SavingsCalcs!$B$5:$M$148,H$8,FALSE)*$C$3+VLOOKUP("*"&amp;$D55&amp;"_2688"&amp;$A55&amp;"*"&amp;$B55,SavingsCalcs!$B$5:$M$148,H$8,FALSE)*$C$4,VLOOKUP("*"&amp;$D55&amp;"_5000"&amp;$A55&amp;"*"&amp;$B55,SavingsCalcs!$B$5:$M$148,H$8,FALSE))</f>
        <v>0</v>
      </c>
      <c r="I55" s="247">
        <f>IF($C55="nwproto",VLOOKUP("*"&amp;$D55&amp;"_1568"&amp;$A55&amp;"*"&amp;$B55,SavingsCalcs!$B$5:$M$148,I$8,FALSE)*$C$2+VLOOKUP("*"&amp;$D55&amp;"_2200"&amp;$A55&amp;"*"&amp;$B55,SavingsCalcs!$B$5:$M$148,I$8,FALSE)*$C$3+VLOOKUP("*"&amp;$D55&amp;"_2688"&amp;$A55&amp;"*"&amp;$B55,SavingsCalcs!$B$5:$M$148,I$8,FALSE)*$C$4,VLOOKUP("*"&amp;$D55&amp;"_5000"&amp;$A55&amp;"*"&amp;$B55,SavingsCalcs!$B$5:$M$148,I$8,FALSE))</f>
        <v>118.40726694086749</v>
      </c>
      <c r="J55" s="248">
        <f>IF($C55="nwproto",VLOOKUP("*"&amp;$D55&amp;"_1568"&amp;$A55&amp;"*"&amp;$B55,SavingsCalcs!$B$5:$M$148,J$8,FALSE)*$C$2+VLOOKUP("*"&amp;$D55&amp;"_2200"&amp;$A55&amp;"*"&amp;$B55,SavingsCalcs!$B$5:$M$148,J$8,FALSE)*$C$3+VLOOKUP("*"&amp;$D55&amp;"_2688"&amp;$A55&amp;"*"&amp;$B55,SavingsCalcs!$B$5:$M$148,J$8,FALSE)*$C$4,VLOOKUP("*"&amp;$D55&amp;"_5000"&amp;$A55&amp;"*"&amp;$B55,SavingsCalcs!$B$5:$M$148,J$8,FALSE))</f>
        <v>6948.3720000000003</v>
      </c>
      <c r="K55" s="248">
        <f>IF($C55="nwproto",VLOOKUP("*"&amp;$D55&amp;"_1568"&amp;$A55&amp;"*"&amp;$B55,SavingsCalcs!$B$5:$M$148,K$8,FALSE)*$C$2+VLOOKUP("*"&amp;$D55&amp;"_2200"&amp;$A55&amp;"*"&amp;$B55,SavingsCalcs!$B$5:$M$148,K$8,FALSE)*$C$3+VLOOKUP("*"&amp;$D55&amp;"_2688"&amp;$A55&amp;"*"&amp;$B55,SavingsCalcs!$B$5:$M$148,K$8,FALSE)*$C$4,VLOOKUP("*"&amp;$D55&amp;"_5000"&amp;$A55&amp;"*"&amp;$B55,SavingsCalcs!$B$5:$M$148,K$8,FALSE))</f>
        <v>0</v>
      </c>
      <c r="L55" s="248"/>
      <c r="M55" s="9" t="str">
        <f>SavingsCalcs!B50</f>
        <v>WxHZ2CZ1_2688e_25gshp_des0</v>
      </c>
      <c r="N55" s="9" t="str">
        <f t="shared" si="1"/>
        <v>e_&gt;4000HZ1CZ1des0</v>
      </c>
    </row>
    <row r="56" spans="1:14">
      <c r="A56" s="220" t="s">
        <v>961</v>
      </c>
      <c r="B56" s="220" t="s">
        <v>948</v>
      </c>
      <c r="C56" s="220" t="s">
        <v>959</v>
      </c>
      <c r="D56" s="220" t="s">
        <v>951</v>
      </c>
      <c r="E56" s="220" t="str">
        <f t="shared" si="0"/>
        <v>Ground Source Heat Pump Upgrade from Air Source Heat Pump - Without Desuperheater - Existing House 4000 square feet or greater - Heating Zone 1 - Cooling Zone 2</v>
      </c>
      <c r="F56" s="247">
        <f>IF($C56="nwproto",VLOOKUP("*"&amp;$D56&amp;"_1568"&amp;$A56&amp;"*"&amp;$B56,SavingsCalcs!$B$5:$M$148,F$8,FALSE)*$C$2+VLOOKUP("*"&amp;$D56&amp;"_2200"&amp;$A56&amp;"*"&amp;$B56,SavingsCalcs!$B$5:$M$148,F$8,FALSE)*$C$3+VLOOKUP("*"&amp;$D56&amp;"_2688"&amp;$A56&amp;"*"&amp;$B56,SavingsCalcs!$B$5:$M$148,F$8,FALSE)*$C$4,VLOOKUP("*"&amp;$D56&amp;"_5000"&amp;$A56&amp;"*"&amp;$B56,SavingsCalcs!$B$5:$M$148,F$8,FALSE))</f>
        <v>1693.566363448037</v>
      </c>
      <c r="G56" s="247">
        <f>IF($C56="nwproto",VLOOKUP("*"&amp;$D56&amp;"_1568"&amp;$A56&amp;"*"&amp;$B56,SavingsCalcs!$B$5:$M$148,G$8,FALSE)*$C$2+VLOOKUP("*"&amp;$D56&amp;"_2200"&amp;$A56&amp;"*"&amp;$B56,SavingsCalcs!$B$5:$M$148,G$8,FALSE)*$C$3+VLOOKUP("*"&amp;$D56&amp;"_2688"&amp;$A56&amp;"*"&amp;$B56,SavingsCalcs!$B$5:$M$148,G$8,FALSE)*$C$4,VLOOKUP("*"&amp;$D56&amp;"_5000"&amp;$A56&amp;"*"&amp;$B56,SavingsCalcs!$B$5:$M$148,G$8,FALSE))</f>
        <v>181.72664803571422</v>
      </c>
      <c r="H56" s="247">
        <f>IF($C56="nwproto",VLOOKUP("*"&amp;$D56&amp;"_1568"&amp;$A56&amp;"*"&amp;$B56,SavingsCalcs!$B$5:$M$148,H$8,FALSE)*$C$2+VLOOKUP("*"&amp;$D56&amp;"_2200"&amp;$A56&amp;"*"&amp;$B56,SavingsCalcs!$B$5:$M$148,H$8,FALSE)*$C$3+VLOOKUP("*"&amp;$D56&amp;"_2688"&amp;$A56&amp;"*"&amp;$B56,SavingsCalcs!$B$5:$M$148,H$8,FALSE)*$C$4,VLOOKUP("*"&amp;$D56&amp;"_5000"&amp;$A56&amp;"*"&amp;$B56,SavingsCalcs!$B$5:$M$148,H$8,FALSE))</f>
        <v>0</v>
      </c>
      <c r="I56" s="247">
        <f>IF($C56="nwproto",VLOOKUP("*"&amp;$D56&amp;"_1568"&amp;$A56&amp;"*"&amp;$B56,SavingsCalcs!$B$5:$M$148,I$8,FALSE)*$C$2+VLOOKUP("*"&amp;$D56&amp;"_2200"&amp;$A56&amp;"*"&amp;$B56,SavingsCalcs!$B$5:$M$148,I$8,FALSE)*$C$3+VLOOKUP("*"&amp;$D56&amp;"_2688"&amp;$A56&amp;"*"&amp;$B56,SavingsCalcs!$B$5:$M$148,I$8,FALSE)*$C$4,VLOOKUP("*"&amp;$D56&amp;"_5000"&amp;$A56&amp;"*"&amp;$B56,SavingsCalcs!$B$5:$M$148,I$8,FALSE))</f>
        <v>118.40726694086749</v>
      </c>
      <c r="J56" s="248">
        <f>IF($C56="nwproto",VLOOKUP("*"&amp;$D56&amp;"_1568"&amp;$A56&amp;"*"&amp;$B56,SavingsCalcs!$B$5:$M$148,J$8,FALSE)*$C$2+VLOOKUP("*"&amp;$D56&amp;"_2200"&amp;$A56&amp;"*"&amp;$B56,SavingsCalcs!$B$5:$M$148,J$8,FALSE)*$C$3+VLOOKUP("*"&amp;$D56&amp;"_2688"&amp;$A56&amp;"*"&amp;$B56,SavingsCalcs!$B$5:$M$148,J$8,FALSE)*$C$4,VLOOKUP("*"&amp;$D56&amp;"_5000"&amp;$A56&amp;"*"&amp;$B56,SavingsCalcs!$B$5:$M$148,J$8,FALSE))</f>
        <v>6948.3720000000003</v>
      </c>
      <c r="K56" s="248">
        <f>IF($C56="nwproto",VLOOKUP("*"&amp;$D56&amp;"_1568"&amp;$A56&amp;"*"&amp;$B56,SavingsCalcs!$B$5:$M$148,K$8,FALSE)*$C$2+VLOOKUP("*"&amp;$D56&amp;"_2200"&amp;$A56&amp;"*"&amp;$B56,SavingsCalcs!$B$5:$M$148,K$8,FALSE)*$C$3+VLOOKUP("*"&amp;$D56&amp;"_2688"&amp;$A56&amp;"*"&amp;$B56,SavingsCalcs!$B$5:$M$148,K$8,FALSE)*$C$4,VLOOKUP("*"&amp;$D56&amp;"_5000"&amp;$A56&amp;"*"&amp;$B56,SavingsCalcs!$B$5:$M$148,K$8,FALSE))</f>
        <v>0</v>
      </c>
      <c r="L56" s="248"/>
      <c r="M56" s="9" t="str">
        <f>SavingsCalcs!B51</f>
        <v>WxHZ2CZ2_2688e_25gshp_des0</v>
      </c>
      <c r="N56" s="9" t="str">
        <f t="shared" si="1"/>
        <v>e_&gt;4000HZ1CZ2des0</v>
      </c>
    </row>
    <row r="57" spans="1:14">
      <c r="A57" s="220" t="s">
        <v>961</v>
      </c>
      <c r="B57" s="220" t="s">
        <v>948</v>
      </c>
      <c r="C57" s="220" t="s">
        <v>959</v>
      </c>
      <c r="D57" s="220" t="s">
        <v>952</v>
      </c>
      <c r="E57" s="220" t="str">
        <f t="shared" si="0"/>
        <v>Ground Source Heat Pump Upgrade from Air Source Heat Pump - Without Desuperheater - Existing House 4000 square feet or greater - Heating Zone 1 - Cooling Zone 3</v>
      </c>
      <c r="F57" s="247">
        <f>IF($C57="nwproto",VLOOKUP("*"&amp;$D57&amp;"_1568"&amp;$A57&amp;"*"&amp;$B57,SavingsCalcs!$B$5:$M$148,F$8,FALSE)*$C$2+VLOOKUP("*"&amp;$D57&amp;"_2200"&amp;$A57&amp;"*"&amp;$B57,SavingsCalcs!$B$5:$M$148,F$8,FALSE)*$C$3+VLOOKUP("*"&amp;$D57&amp;"_2688"&amp;$A57&amp;"*"&amp;$B57,SavingsCalcs!$B$5:$M$148,F$8,FALSE)*$C$4,VLOOKUP("*"&amp;$D57&amp;"_5000"&amp;$A57&amp;"*"&amp;$B57,SavingsCalcs!$B$5:$M$148,F$8,FALSE))</f>
        <v>1693.566363448037</v>
      </c>
      <c r="G57" s="247">
        <f>IF($C57="nwproto",VLOOKUP("*"&amp;$D57&amp;"_1568"&amp;$A57&amp;"*"&amp;$B57,SavingsCalcs!$B$5:$M$148,G$8,FALSE)*$C$2+VLOOKUP("*"&amp;$D57&amp;"_2200"&amp;$A57&amp;"*"&amp;$B57,SavingsCalcs!$B$5:$M$148,G$8,FALSE)*$C$3+VLOOKUP("*"&amp;$D57&amp;"_2688"&amp;$A57&amp;"*"&amp;$B57,SavingsCalcs!$B$5:$M$148,G$8,FALSE)*$C$4,VLOOKUP("*"&amp;$D57&amp;"_5000"&amp;$A57&amp;"*"&amp;$B57,SavingsCalcs!$B$5:$M$148,G$8,FALSE))</f>
        <v>381.58264585714278</v>
      </c>
      <c r="H57" s="247">
        <f>IF($C57="nwproto",VLOOKUP("*"&amp;$D57&amp;"_1568"&amp;$A57&amp;"*"&amp;$B57,SavingsCalcs!$B$5:$M$148,H$8,FALSE)*$C$2+VLOOKUP("*"&amp;$D57&amp;"_2200"&amp;$A57&amp;"*"&amp;$B57,SavingsCalcs!$B$5:$M$148,H$8,FALSE)*$C$3+VLOOKUP("*"&amp;$D57&amp;"_2688"&amp;$A57&amp;"*"&amp;$B57,SavingsCalcs!$B$5:$M$148,H$8,FALSE)*$C$4,VLOOKUP("*"&amp;$D57&amp;"_5000"&amp;$A57&amp;"*"&amp;$B57,SavingsCalcs!$B$5:$M$148,H$8,FALSE))</f>
        <v>0</v>
      </c>
      <c r="I57" s="247">
        <f>IF($C57="nwproto",VLOOKUP("*"&amp;$D57&amp;"_1568"&amp;$A57&amp;"*"&amp;$B57,SavingsCalcs!$B$5:$M$148,I$8,FALSE)*$C$2+VLOOKUP("*"&amp;$D57&amp;"_2200"&amp;$A57&amp;"*"&amp;$B57,SavingsCalcs!$B$5:$M$148,I$8,FALSE)*$C$3+VLOOKUP("*"&amp;$D57&amp;"_2688"&amp;$A57&amp;"*"&amp;$B57,SavingsCalcs!$B$5:$M$148,I$8,FALSE)*$C$4,VLOOKUP("*"&amp;$D57&amp;"_5000"&amp;$A57&amp;"*"&amp;$B57,SavingsCalcs!$B$5:$M$148,I$8,FALSE))</f>
        <v>118.40726694086749</v>
      </c>
      <c r="J57" s="248">
        <f>IF($C57="nwproto",VLOOKUP("*"&amp;$D57&amp;"_1568"&amp;$A57&amp;"*"&amp;$B57,SavingsCalcs!$B$5:$M$148,J$8,FALSE)*$C$2+VLOOKUP("*"&amp;$D57&amp;"_2200"&amp;$A57&amp;"*"&amp;$B57,SavingsCalcs!$B$5:$M$148,J$8,FALSE)*$C$3+VLOOKUP("*"&amp;$D57&amp;"_2688"&amp;$A57&amp;"*"&amp;$B57,SavingsCalcs!$B$5:$M$148,J$8,FALSE)*$C$4,VLOOKUP("*"&amp;$D57&amp;"_5000"&amp;$A57&amp;"*"&amp;$B57,SavingsCalcs!$B$5:$M$148,J$8,FALSE))</f>
        <v>6948.3720000000003</v>
      </c>
      <c r="K57" s="248">
        <f>IF($C57="nwproto",VLOOKUP("*"&amp;$D57&amp;"_1568"&amp;$A57&amp;"*"&amp;$B57,SavingsCalcs!$B$5:$M$148,K$8,FALSE)*$C$2+VLOOKUP("*"&amp;$D57&amp;"_2200"&amp;$A57&amp;"*"&amp;$B57,SavingsCalcs!$B$5:$M$148,K$8,FALSE)*$C$3+VLOOKUP("*"&amp;$D57&amp;"_2688"&amp;$A57&amp;"*"&amp;$B57,SavingsCalcs!$B$5:$M$148,K$8,FALSE)*$C$4,VLOOKUP("*"&amp;$D57&amp;"_5000"&amp;$A57&amp;"*"&amp;$B57,SavingsCalcs!$B$5:$M$148,K$8,FALSE))</f>
        <v>0</v>
      </c>
      <c r="L57" s="248"/>
      <c r="M57" s="9" t="str">
        <f>SavingsCalcs!B52</f>
        <v>WxHZ2CZ3_2688e_25gshp_des0</v>
      </c>
      <c r="N57" s="9" t="str">
        <f t="shared" si="1"/>
        <v>e_&gt;4000HZ1CZ3des0</v>
      </c>
    </row>
    <row r="58" spans="1:14">
      <c r="A58" s="220" t="s">
        <v>961</v>
      </c>
      <c r="B58" s="220" t="s">
        <v>948</v>
      </c>
      <c r="C58" s="220" t="s">
        <v>959</v>
      </c>
      <c r="D58" s="220" t="s">
        <v>953</v>
      </c>
      <c r="E58" s="220" t="str">
        <f t="shared" si="0"/>
        <v>Ground Source Heat Pump Upgrade from Air Source Heat Pump - Without Desuperheater - Existing House 4000 square feet or greater - Heating Zone 2 - Cooling Zone 1</v>
      </c>
      <c r="F58" s="247">
        <f>IF($C58="nwproto",VLOOKUP("*"&amp;$D58&amp;"_1568"&amp;$A58&amp;"*"&amp;$B58,SavingsCalcs!$B$5:$M$148,F$8,FALSE)*$C$2+VLOOKUP("*"&amp;$D58&amp;"_2200"&amp;$A58&amp;"*"&amp;$B58,SavingsCalcs!$B$5:$M$148,F$8,FALSE)*$C$3+VLOOKUP("*"&amp;$D58&amp;"_2688"&amp;$A58&amp;"*"&amp;$B58,SavingsCalcs!$B$5:$M$148,F$8,FALSE)*$C$4,VLOOKUP("*"&amp;$D58&amp;"_5000"&amp;$A58&amp;"*"&amp;$B58,SavingsCalcs!$B$5:$M$148,F$8,FALSE))</f>
        <v>3672.2917625412101</v>
      </c>
      <c r="G58" s="247">
        <f>IF($C58="nwproto",VLOOKUP("*"&amp;$D58&amp;"_1568"&amp;$A58&amp;"*"&amp;$B58,SavingsCalcs!$B$5:$M$148,G$8,FALSE)*$C$2+VLOOKUP("*"&amp;$D58&amp;"_2200"&amp;$A58&amp;"*"&amp;$B58,SavingsCalcs!$B$5:$M$148,G$8,FALSE)*$C$3+VLOOKUP("*"&amp;$D58&amp;"_2688"&amp;$A58&amp;"*"&amp;$B58,SavingsCalcs!$B$5:$M$148,G$8,FALSE)*$C$4,VLOOKUP("*"&amp;$D58&amp;"_5000"&amp;$A58&amp;"*"&amp;$B58,SavingsCalcs!$B$5:$M$148,G$8,FALSE))</f>
        <v>61.308651749999967</v>
      </c>
      <c r="H58" s="247">
        <f>IF($C58="nwproto",VLOOKUP("*"&amp;$D58&amp;"_1568"&amp;$A58&amp;"*"&amp;$B58,SavingsCalcs!$B$5:$M$148,H$8,FALSE)*$C$2+VLOOKUP("*"&amp;$D58&amp;"_2200"&amp;$A58&amp;"*"&amp;$B58,SavingsCalcs!$B$5:$M$148,H$8,FALSE)*$C$3+VLOOKUP("*"&amp;$D58&amp;"_2688"&amp;$A58&amp;"*"&amp;$B58,SavingsCalcs!$B$5:$M$148,H$8,FALSE)*$C$4,VLOOKUP("*"&amp;$D58&amp;"_5000"&amp;$A58&amp;"*"&amp;$B58,SavingsCalcs!$B$5:$M$148,H$8,FALSE))</f>
        <v>0</v>
      </c>
      <c r="I58" s="247">
        <f>IF($C58="nwproto",VLOOKUP("*"&amp;$D58&amp;"_1568"&amp;$A58&amp;"*"&amp;$B58,SavingsCalcs!$B$5:$M$148,I$8,FALSE)*$C$2+VLOOKUP("*"&amp;$D58&amp;"_2200"&amp;$A58&amp;"*"&amp;$B58,SavingsCalcs!$B$5:$M$148,I$8,FALSE)*$C$3+VLOOKUP("*"&amp;$D58&amp;"_2688"&amp;$A58&amp;"*"&amp;$B58,SavingsCalcs!$B$5:$M$148,I$8,FALSE)*$C$4,VLOOKUP("*"&amp;$D58&amp;"_5000"&amp;$A58&amp;"*"&amp;$B58,SavingsCalcs!$B$5:$M$148,I$8,FALSE))</f>
        <v>134.18552995192849</v>
      </c>
      <c r="J58" s="248">
        <f>IF($C58="nwproto",VLOOKUP("*"&amp;$D58&amp;"_1568"&amp;$A58&amp;"*"&amp;$B58,SavingsCalcs!$B$5:$M$148,J$8,FALSE)*$C$2+VLOOKUP("*"&amp;$D58&amp;"_2200"&amp;$A58&amp;"*"&amp;$B58,SavingsCalcs!$B$5:$M$148,J$8,FALSE)*$C$3+VLOOKUP("*"&amp;$D58&amp;"_2688"&amp;$A58&amp;"*"&amp;$B58,SavingsCalcs!$B$5:$M$148,J$8,FALSE)*$C$4,VLOOKUP("*"&amp;$D58&amp;"_5000"&amp;$A58&amp;"*"&amp;$B58,SavingsCalcs!$B$5:$M$148,J$8,FALSE))</f>
        <v>13713.364000000003</v>
      </c>
      <c r="K58" s="248">
        <f>IF($C58="nwproto",VLOOKUP("*"&amp;$D58&amp;"_1568"&amp;$A58&amp;"*"&amp;$B58,SavingsCalcs!$B$5:$M$148,K$8,FALSE)*$C$2+VLOOKUP("*"&amp;$D58&amp;"_2200"&amp;$A58&amp;"*"&amp;$B58,SavingsCalcs!$B$5:$M$148,K$8,FALSE)*$C$3+VLOOKUP("*"&amp;$D58&amp;"_2688"&amp;$A58&amp;"*"&amp;$B58,SavingsCalcs!$B$5:$M$148,K$8,FALSE)*$C$4,VLOOKUP("*"&amp;$D58&amp;"_5000"&amp;$A58&amp;"*"&amp;$B58,SavingsCalcs!$B$5:$M$148,K$8,FALSE))</f>
        <v>0</v>
      </c>
      <c r="L58" s="248"/>
      <c r="M58" s="9" t="str">
        <f>SavingsCalcs!B53</f>
        <v>NWHZ3CZ1_2688n_25gshp_des0</v>
      </c>
      <c r="N58" s="9" t="str">
        <f t="shared" si="1"/>
        <v>e_&gt;4000HZ2CZ1des0</v>
      </c>
    </row>
    <row r="59" spans="1:14">
      <c r="A59" s="220" t="s">
        <v>961</v>
      </c>
      <c r="B59" s="220" t="s">
        <v>948</v>
      </c>
      <c r="C59" s="220" t="s">
        <v>959</v>
      </c>
      <c r="D59" s="220" t="s">
        <v>954</v>
      </c>
      <c r="E59" s="220" t="str">
        <f t="shared" si="0"/>
        <v>Ground Source Heat Pump Upgrade from Air Source Heat Pump - Without Desuperheater - Existing House 4000 square feet or greater - Heating Zone 2 - Cooling Zone 2</v>
      </c>
      <c r="F59" s="247">
        <f>IF($C59="nwproto",VLOOKUP("*"&amp;$D59&amp;"_1568"&amp;$A59&amp;"*"&amp;$B59,SavingsCalcs!$B$5:$M$148,F$8,FALSE)*$C$2+VLOOKUP("*"&amp;$D59&amp;"_2200"&amp;$A59&amp;"*"&amp;$B59,SavingsCalcs!$B$5:$M$148,F$8,FALSE)*$C$3+VLOOKUP("*"&amp;$D59&amp;"_2688"&amp;$A59&amp;"*"&amp;$B59,SavingsCalcs!$B$5:$M$148,F$8,FALSE)*$C$4,VLOOKUP("*"&amp;$D59&amp;"_5000"&amp;$A59&amp;"*"&amp;$B59,SavingsCalcs!$B$5:$M$148,F$8,FALSE))</f>
        <v>3672.2917625412101</v>
      </c>
      <c r="G59" s="247">
        <f>IF($C59="nwproto",VLOOKUP("*"&amp;$D59&amp;"_1568"&amp;$A59&amp;"*"&amp;$B59,SavingsCalcs!$B$5:$M$148,G$8,FALSE)*$C$2+VLOOKUP("*"&amp;$D59&amp;"_2200"&amp;$A59&amp;"*"&amp;$B59,SavingsCalcs!$B$5:$M$148,G$8,FALSE)*$C$3+VLOOKUP("*"&amp;$D59&amp;"_2688"&amp;$A59&amp;"*"&amp;$B59,SavingsCalcs!$B$5:$M$148,G$8,FALSE)*$C$4,VLOOKUP("*"&amp;$D59&amp;"_5000"&amp;$A59&amp;"*"&amp;$B59,SavingsCalcs!$B$5:$M$148,G$8,FALSE))</f>
        <v>181.72664803571422</v>
      </c>
      <c r="H59" s="247">
        <f>IF($C59="nwproto",VLOOKUP("*"&amp;$D59&amp;"_1568"&amp;$A59&amp;"*"&amp;$B59,SavingsCalcs!$B$5:$M$148,H$8,FALSE)*$C$2+VLOOKUP("*"&amp;$D59&amp;"_2200"&amp;$A59&amp;"*"&amp;$B59,SavingsCalcs!$B$5:$M$148,H$8,FALSE)*$C$3+VLOOKUP("*"&amp;$D59&amp;"_2688"&amp;$A59&amp;"*"&amp;$B59,SavingsCalcs!$B$5:$M$148,H$8,FALSE)*$C$4,VLOOKUP("*"&amp;$D59&amp;"_5000"&amp;$A59&amp;"*"&amp;$B59,SavingsCalcs!$B$5:$M$148,H$8,FALSE))</f>
        <v>0</v>
      </c>
      <c r="I59" s="247">
        <f>IF($C59="nwproto",VLOOKUP("*"&amp;$D59&amp;"_1568"&amp;$A59&amp;"*"&amp;$B59,SavingsCalcs!$B$5:$M$148,I$8,FALSE)*$C$2+VLOOKUP("*"&amp;$D59&amp;"_2200"&amp;$A59&amp;"*"&amp;$B59,SavingsCalcs!$B$5:$M$148,I$8,FALSE)*$C$3+VLOOKUP("*"&amp;$D59&amp;"_2688"&amp;$A59&amp;"*"&amp;$B59,SavingsCalcs!$B$5:$M$148,I$8,FALSE)*$C$4,VLOOKUP("*"&amp;$D59&amp;"_5000"&amp;$A59&amp;"*"&amp;$B59,SavingsCalcs!$B$5:$M$148,I$8,FALSE))</f>
        <v>134.18552995192849</v>
      </c>
      <c r="J59" s="248">
        <f>IF($C59="nwproto",VLOOKUP("*"&amp;$D59&amp;"_1568"&amp;$A59&amp;"*"&amp;$B59,SavingsCalcs!$B$5:$M$148,J$8,FALSE)*$C$2+VLOOKUP("*"&amp;$D59&amp;"_2200"&amp;$A59&amp;"*"&amp;$B59,SavingsCalcs!$B$5:$M$148,J$8,FALSE)*$C$3+VLOOKUP("*"&amp;$D59&amp;"_2688"&amp;$A59&amp;"*"&amp;$B59,SavingsCalcs!$B$5:$M$148,J$8,FALSE)*$C$4,VLOOKUP("*"&amp;$D59&amp;"_5000"&amp;$A59&amp;"*"&amp;$B59,SavingsCalcs!$B$5:$M$148,J$8,FALSE))</f>
        <v>13713.364000000003</v>
      </c>
      <c r="K59" s="248">
        <f>IF($C59="nwproto",VLOOKUP("*"&amp;$D59&amp;"_1568"&amp;$A59&amp;"*"&amp;$B59,SavingsCalcs!$B$5:$M$148,K$8,FALSE)*$C$2+VLOOKUP("*"&amp;$D59&amp;"_2200"&amp;$A59&amp;"*"&amp;$B59,SavingsCalcs!$B$5:$M$148,K$8,FALSE)*$C$3+VLOOKUP("*"&amp;$D59&amp;"_2688"&amp;$A59&amp;"*"&amp;$B59,SavingsCalcs!$B$5:$M$148,K$8,FALSE)*$C$4,VLOOKUP("*"&amp;$D59&amp;"_5000"&amp;$A59&amp;"*"&amp;$B59,SavingsCalcs!$B$5:$M$148,K$8,FALSE))</f>
        <v>0</v>
      </c>
      <c r="L59" s="248"/>
      <c r="M59" s="9" t="str">
        <f>SavingsCalcs!B54</f>
        <v>NWHZ3CZ2_2688n_25gshp_des0</v>
      </c>
      <c r="N59" s="9" t="str">
        <f t="shared" si="1"/>
        <v>e_&gt;4000HZ2CZ2des0</v>
      </c>
    </row>
    <row r="60" spans="1:14">
      <c r="A60" s="220" t="s">
        <v>961</v>
      </c>
      <c r="B60" s="220" t="s">
        <v>948</v>
      </c>
      <c r="C60" s="220" t="s">
        <v>959</v>
      </c>
      <c r="D60" s="220" t="s">
        <v>955</v>
      </c>
      <c r="E60" s="220" t="str">
        <f t="shared" si="0"/>
        <v>Ground Source Heat Pump Upgrade from Air Source Heat Pump - Without Desuperheater - Existing House 4000 square feet or greater - Heating Zone 2 - Cooling Zone 3</v>
      </c>
      <c r="F60" s="247">
        <f>IF($C60="nwproto",VLOOKUP("*"&amp;$D60&amp;"_1568"&amp;$A60&amp;"*"&amp;$B60,SavingsCalcs!$B$5:$M$148,F$8,FALSE)*$C$2+VLOOKUP("*"&amp;$D60&amp;"_2200"&amp;$A60&amp;"*"&amp;$B60,SavingsCalcs!$B$5:$M$148,F$8,FALSE)*$C$3+VLOOKUP("*"&amp;$D60&amp;"_2688"&amp;$A60&amp;"*"&amp;$B60,SavingsCalcs!$B$5:$M$148,F$8,FALSE)*$C$4,VLOOKUP("*"&amp;$D60&amp;"_5000"&amp;$A60&amp;"*"&amp;$B60,SavingsCalcs!$B$5:$M$148,F$8,FALSE))</f>
        <v>3672.2917625412101</v>
      </c>
      <c r="G60" s="247">
        <f>IF($C60="nwproto",VLOOKUP("*"&amp;$D60&amp;"_1568"&amp;$A60&amp;"*"&amp;$B60,SavingsCalcs!$B$5:$M$148,G$8,FALSE)*$C$2+VLOOKUP("*"&amp;$D60&amp;"_2200"&amp;$A60&amp;"*"&amp;$B60,SavingsCalcs!$B$5:$M$148,G$8,FALSE)*$C$3+VLOOKUP("*"&amp;$D60&amp;"_2688"&amp;$A60&amp;"*"&amp;$B60,SavingsCalcs!$B$5:$M$148,G$8,FALSE)*$C$4,VLOOKUP("*"&amp;$D60&amp;"_5000"&amp;$A60&amp;"*"&amp;$B60,SavingsCalcs!$B$5:$M$148,G$8,FALSE))</f>
        <v>381.58264585714278</v>
      </c>
      <c r="H60" s="247">
        <f>IF($C60="nwproto",VLOOKUP("*"&amp;$D60&amp;"_1568"&amp;$A60&amp;"*"&amp;$B60,SavingsCalcs!$B$5:$M$148,H$8,FALSE)*$C$2+VLOOKUP("*"&amp;$D60&amp;"_2200"&amp;$A60&amp;"*"&amp;$B60,SavingsCalcs!$B$5:$M$148,H$8,FALSE)*$C$3+VLOOKUP("*"&amp;$D60&amp;"_2688"&amp;$A60&amp;"*"&amp;$B60,SavingsCalcs!$B$5:$M$148,H$8,FALSE)*$C$4,VLOOKUP("*"&amp;$D60&amp;"_5000"&amp;$A60&amp;"*"&amp;$B60,SavingsCalcs!$B$5:$M$148,H$8,FALSE))</f>
        <v>0</v>
      </c>
      <c r="I60" s="247">
        <f>IF($C60="nwproto",VLOOKUP("*"&amp;$D60&amp;"_1568"&amp;$A60&amp;"*"&amp;$B60,SavingsCalcs!$B$5:$M$148,I$8,FALSE)*$C$2+VLOOKUP("*"&amp;$D60&amp;"_2200"&amp;$A60&amp;"*"&amp;$B60,SavingsCalcs!$B$5:$M$148,I$8,FALSE)*$C$3+VLOOKUP("*"&amp;$D60&amp;"_2688"&amp;$A60&amp;"*"&amp;$B60,SavingsCalcs!$B$5:$M$148,I$8,FALSE)*$C$4,VLOOKUP("*"&amp;$D60&amp;"_5000"&amp;$A60&amp;"*"&amp;$B60,SavingsCalcs!$B$5:$M$148,I$8,FALSE))</f>
        <v>134.18552995192849</v>
      </c>
      <c r="J60" s="248">
        <f>IF($C60="nwproto",VLOOKUP("*"&amp;$D60&amp;"_1568"&amp;$A60&amp;"*"&amp;$B60,SavingsCalcs!$B$5:$M$148,J$8,FALSE)*$C$2+VLOOKUP("*"&amp;$D60&amp;"_2200"&amp;$A60&amp;"*"&amp;$B60,SavingsCalcs!$B$5:$M$148,J$8,FALSE)*$C$3+VLOOKUP("*"&amp;$D60&amp;"_2688"&amp;$A60&amp;"*"&amp;$B60,SavingsCalcs!$B$5:$M$148,J$8,FALSE)*$C$4,VLOOKUP("*"&amp;$D60&amp;"_5000"&amp;$A60&amp;"*"&amp;$B60,SavingsCalcs!$B$5:$M$148,J$8,FALSE))</f>
        <v>13713.364000000003</v>
      </c>
      <c r="K60" s="248">
        <f>IF($C60="nwproto",VLOOKUP("*"&amp;$D60&amp;"_1568"&amp;$A60&amp;"*"&amp;$B60,SavingsCalcs!$B$5:$M$148,K$8,FALSE)*$C$2+VLOOKUP("*"&amp;$D60&amp;"_2200"&amp;$A60&amp;"*"&amp;$B60,SavingsCalcs!$B$5:$M$148,K$8,FALSE)*$C$3+VLOOKUP("*"&amp;$D60&amp;"_2688"&amp;$A60&amp;"*"&amp;$B60,SavingsCalcs!$B$5:$M$148,K$8,FALSE)*$C$4,VLOOKUP("*"&amp;$D60&amp;"_5000"&amp;$A60&amp;"*"&amp;$B60,SavingsCalcs!$B$5:$M$148,K$8,FALSE))</f>
        <v>0</v>
      </c>
      <c r="L60" s="248"/>
      <c r="M60" s="9" t="str">
        <f>SavingsCalcs!B55</f>
        <v>NWHZ3CZ3_2688n_25gshp_des0</v>
      </c>
      <c r="N60" s="9" t="str">
        <f t="shared" si="1"/>
        <v>e_&gt;4000HZ2CZ3des0</v>
      </c>
    </row>
    <row r="61" spans="1:14">
      <c r="A61" s="220" t="s">
        <v>961</v>
      </c>
      <c r="B61" s="220" t="s">
        <v>948</v>
      </c>
      <c r="C61" s="220" t="s">
        <v>959</v>
      </c>
      <c r="D61" s="220" t="s">
        <v>956</v>
      </c>
      <c r="E61" s="220" t="str">
        <f t="shared" si="0"/>
        <v>Ground Source Heat Pump Upgrade from Air Source Heat Pump - Without Desuperheater - Existing House 4000 square feet or greater - Heating Zone 3 - Cooling Zone 1</v>
      </c>
      <c r="F61" s="247">
        <f>IF($C61="nwproto",VLOOKUP("*"&amp;$D61&amp;"_1568"&amp;$A61&amp;"*"&amp;$B61,SavingsCalcs!$B$5:$M$148,F$8,FALSE)*$C$2+VLOOKUP("*"&amp;$D61&amp;"_2200"&amp;$A61&amp;"*"&amp;$B61,SavingsCalcs!$B$5:$M$148,F$8,FALSE)*$C$3+VLOOKUP("*"&amp;$D61&amp;"_2688"&amp;$A61&amp;"*"&amp;$B61,SavingsCalcs!$B$5:$M$148,F$8,FALSE)*$C$4,VLOOKUP("*"&amp;$D61&amp;"_5000"&amp;$A61&amp;"*"&amp;$B61,SavingsCalcs!$B$5:$M$148,F$8,FALSE))</f>
        <v>5069.2275520225176</v>
      </c>
      <c r="G61" s="247">
        <f>IF($C61="nwproto",VLOOKUP("*"&amp;$D61&amp;"_1568"&amp;$A61&amp;"*"&amp;$B61,SavingsCalcs!$B$5:$M$148,G$8,FALSE)*$C$2+VLOOKUP("*"&amp;$D61&amp;"_2200"&amp;$A61&amp;"*"&amp;$B61,SavingsCalcs!$B$5:$M$148,G$8,FALSE)*$C$3+VLOOKUP("*"&amp;$D61&amp;"_2688"&amp;$A61&amp;"*"&amp;$B61,SavingsCalcs!$B$5:$M$148,G$8,FALSE)*$C$4,VLOOKUP("*"&amp;$D61&amp;"_5000"&amp;$A61&amp;"*"&amp;$B61,SavingsCalcs!$B$5:$M$148,G$8,FALSE))</f>
        <v>61.308651749999967</v>
      </c>
      <c r="H61" s="247">
        <f>IF($C61="nwproto",VLOOKUP("*"&amp;$D61&amp;"_1568"&amp;$A61&amp;"*"&amp;$B61,SavingsCalcs!$B$5:$M$148,H$8,FALSE)*$C$2+VLOOKUP("*"&amp;$D61&amp;"_2200"&amp;$A61&amp;"*"&amp;$B61,SavingsCalcs!$B$5:$M$148,H$8,FALSE)*$C$3+VLOOKUP("*"&amp;$D61&amp;"_2688"&amp;$A61&amp;"*"&amp;$B61,SavingsCalcs!$B$5:$M$148,H$8,FALSE)*$C$4,VLOOKUP("*"&amp;$D61&amp;"_5000"&amp;$A61&amp;"*"&amp;$B61,SavingsCalcs!$B$5:$M$148,H$8,FALSE))</f>
        <v>0</v>
      </c>
      <c r="I61" s="247">
        <f>IF($C61="nwproto",VLOOKUP("*"&amp;$D61&amp;"_1568"&amp;$A61&amp;"*"&amp;$B61,SavingsCalcs!$B$5:$M$148,I$8,FALSE)*$C$2+VLOOKUP("*"&amp;$D61&amp;"_2200"&amp;$A61&amp;"*"&amp;$B61,SavingsCalcs!$B$5:$M$148,I$8,FALSE)*$C$3+VLOOKUP("*"&amp;$D61&amp;"_2688"&amp;$A61&amp;"*"&amp;$B61,SavingsCalcs!$B$5:$M$148,I$8,FALSE)*$C$4,VLOOKUP("*"&amp;$D61&amp;"_5000"&amp;$A61&amp;"*"&amp;$B61,SavingsCalcs!$B$5:$M$148,I$8,FALSE))</f>
        <v>158.92676412845148</v>
      </c>
      <c r="J61" s="248">
        <f>IF($C61="nwproto",VLOOKUP("*"&amp;$D61&amp;"_1568"&amp;$A61&amp;"*"&amp;$B61,SavingsCalcs!$B$5:$M$148,J$8,FALSE)*$C$2+VLOOKUP("*"&amp;$D61&amp;"_2200"&amp;$A61&amp;"*"&amp;$B61,SavingsCalcs!$B$5:$M$148,J$8,FALSE)*$C$3+VLOOKUP("*"&amp;$D61&amp;"_2688"&amp;$A61&amp;"*"&amp;$B61,SavingsCalcs!$B$5:$M$148,J$8,FALSE)*$C$4,VLOOKUP("*"&amp;$D61&amp;"_5000"&amp;$A61&amp;"*"&amp;$B61,SavingsCalcs!$B$5:$M$148,J$8,FALSE))</f>
        <v>22392.255000000005</v>
      </c>
      <c r="K61" s="248">
        <f>IF($C61="nwproto",VLOOKUP("*"&amp;$D61&amp;"_1568"&amp;$A61&amp;"*"&amp;$B61,SavingsCalcs!$B$5:$M$148,K$8,FALSE)*$C$2+VLOOKUP("*"&amp;$D61&amp;"_2200"&amp;$A61&amp;"*"&amp;$B61,SavingsCalcs!$B$5:$M$148,K$8,FALSE)*$C$3+VLOOKUP("*"&amp;$D61&amp;"_2688"&amp;$A61&amp;"*"&amp;$B61,SavingsCalcs!$B$5:$M$148,K$8,FALSE)*$C$4,VLOOKUP("*"&amp;$D61&amp;"_5000"&amp;$A61&amp;"*"&amp;$B61,SavingsCalcs!$B$5:$M$148,K$8,FALSE))</f>
        <v>0</v>
      </c>
      <c r="L61" s="248"/>
      <c r="M61" s="9" t="str">
        <f>SavingsCalcs!B56</f>
        <v>WxHZ3CZ1_2688e_25gshp_des0</v>
      </c>
      <c r="N61" s="9" t="str">
        <f t="shared" si="1"/>
        <v>e_&gt;4000HZ3CZ1des0</v>
      </c>
    </row>
    <row r="62" spans="1:14">
      <c r="A62" s="220" t="s">
        <v>961</v>
      </c>
      <c r="B62" s="220" t="s">
        <v>948</v>
      </c>
      <c r="C62" s="220" t="s">
        <v>959</v>
      </c>
      <c r="D62" s="220" t="s">
        <v>957</v>
      </c>
      <c r="E62" s="220" t="str">
        <f t="shared" si="0"/>
        <v>Ground Source Heat Pump Upgrade from Air Source Heat Pump - Without Desuperheater - Existing House 4000 square feet or greater - Heating Zone 3 - Cooling Zone 2</v>
      </c>
      <c r="F62" s="247">
        <f>IF($C62="nwproto",VLOOKUP("*"&amp;$D62&amp;"_1568"&amp;$A62&amp;"*"&amp;$B62,SavingsCalcs!$B$5:$M$148,F$8,FALSE)*$C$2+VLOOKUP("*"&amp;$D62&amp;"_2200"&amp;$A62&amp;"*"&amp;$B62,SavingsCalcs!$B$5:$M$148,F$8,FALSE)*$C$3+VLOOKUP("*"&amp;$D62&amp;"_2688"&amp;$A62&amp;"*"&amp;$B62,SavingsCalcs!$B$5:$M$148,F$8,FALSE)*$C$4,VLOOKUP("*"&amp;$D62&amp;"_5000"&amp;$A62&amp;"*"&amp;$B62,SavingsCalcs!$B$5:$M$148,F$8,FALSE))</f>
        <v>5069.2275520225176</v>
      </c>
      <c r="G62" s="247">
        <f>IF($C62="nwproto",VLOOKUP("*"&amp;$D62&amp;"_1568"&amp;$A62&amp;"*"&amp;$B62,SavingsCalcs!$B$5:$M$148,G$8,FALSE)*$C$2+VLOOKUP("*"&amp;$D62&amp;"_2200"&amp;$A62&amp;"*"&amp;$B62,SavingsCalcs!$B$5:$M$148,G$8,FALSE)*$C$3+VLOOKUP("*"&amp;$D62&amp;"_2688"&amp;$A62&amp;"*"&amp;$B62,SavingsCalcs!$B$5:$M$148,G$8,FALSE)*$C$4,VLOOKUP("*"&amp;$D62&amp;"_5000"&amp;$A62&amp;"*"&amp;$B62,SavingsCalcs!$B$5:$M$148,G$8,FALSE))</f>
        <v>181.72664803571422</v>
      </c>
      <c r="H62" s="247">
        <f>IF($C62="nwproto",VLOOKUP("*"&amp;$D62&amp;"_1568"&amp;$A62&amp;"*"&amp;$B62,SavingsCalcs!$B$5:$M$148,H$8,FALSE)*$C$2+VLOOKUP("*"&amp;$D62&amp;"_2200"&amp;$A62&amp;"*"&amp;$B62,SavingsCalcs!$B$5:$M$148,H$8,FALSE)*$C$3+VLOOKUP("*"&amp;$D62&amp;"_2688"&amp;$A62&amp;"*"&amp;$B62,SavingsCalcs!$B$5:$M$148,H$8,FALSE)*$C$4,VLOOKUP("*"&amp;$D62&amp;"_5000"&amp;$A62&amp;"*"&amp;$B62,SavingsCalcs!$B$5:$M$148,H$8,FALSE))</f>
        <v>0</v>
      </c>
      <c r="I62" s="247">
        <f>IF($C62="nwproto",VLOOKUP("*"&amp;$D62&amp;"_1568"&amp;$A62&amp;"*"&amp;$B62,SavingsCalcs!$B$5:$M$148,I$8,FALSE)*$C$2+VLOOKUP("*"&amp;$D62&amp;"_2200"&amp;$A62&amp;"*"&amp;$B62,SavingsCalcs!$B$5:$M$148,I$8,FALSE)*$C$3+VLOOKUP("*"&amp;$D62&amp;"_2688"&amp;$A62&amp;"*"&amp;$B62,SavingsCalcs!$B$5:$M$148,I$8,FALSE)*$C$4,VLOOKUP("*"&amp;$D62&amp;"_5000"&amp;$A62&amp;"*"&amp;$B62,SavingsCalcs!$B$5:$M$148,I$8,FALSE))</f>
        <v>158.92676412845148</v>
      </c>
      <c r="J62" s="248">
        <f>IF($C62="nwproto",VLOOKUP("*"&amp;$D62&amp;"_1568"&amp;$A62&amp;"*"&amp;$B62,SavingsCalcs!$B$5:$M$148,J$8,FALSE)*$C$2+VLOOKUP("*"&amp;$D62&amp;"_2200"&amp;$A62&amp;"*"&amp;$B62,SavingsCalcs!$B$5:$M$148,J$8,FALSE)*$C$3+VLOOKUP("*"&amp;$D62&amp;"_2688"&amp;$A62&amp;"*"&amp;$B62,SavingsCalcs!$B$5:$M$148,J$8,FALSE)*$C$4,VLOOKUP("*"&amp;$D62&amp;"_5000"&amp;$A62&amp;"*"&amp;$B62,SavingsCalcs!$B$5:$M$148,J$8,FALSE))</f>
        <v>22392.255000000005</v>
      </c>
      <c r="K62" s="248">
        <f>IF($C62="nwproto",VLOOKUP("*"&amp;$D62&amp;"_1568"&amp;$A62&amp;"*"&amp;$B62,SavingsCalcs!$B$5:$M$148,K$8,FALSE)*$C$2+VLOOKUP("*"&amp;$D62&amp;"_2200"&amp;$A62&amp;"*"&amp;$B62,SavingsCalcs!$B$5:$M$148,K$8,FALSE)*$C$3+VLOOKUP("*"&amp;$D62&amp;"_2688"&amp;$A62&amp;"*"&amp;$B62,SavingsCalcs!$B$5:$M$148,K$8,FALSE)*$C$4,VLOOKUP("*"&amp;$D62&amp;"_5000"&amp;$A62&amp;"*"&amp;$B62,SavingsCalcs!$B$5:$M$148,K$8,FALSE))</f>
        <v>0</v>
      </c>
      <c r="L62" s="248"/>
      <c r="M62" s="9" t="str">
        <f>SavingsCalcs!B57</f>
        <v>WxHZ3CZ2_2688e_25gshp_des0</v>
      </c>
      <c r="N62" s="9" t="str">
        <f t="shared" si="1"/>
        <v>e_&gt;4000HZ3CZ2des0</v>
      </c>
    </row>
    <row r="63" spans="1:14">
      <c r="A63" s="220" t="s">
        <v>961</v>
      </c>
      <c r="B63" s="220" t="s">
        <v>948</v>
      </c>
      <c r="C63" s="220" t="s">
        <v>959</v>
      </c>
      <c r="D63" s="220" t="s">
        <v>958</v>
      </c>
      <c r="E63" s="220" t="str">
        <f t="shared" si="0"/>
        <v>Ground Source Heat Pump Upgrade from Air Source Heat Pump - Without Desuperheater - Existing House 4000 square feet or greater - Heating Zone 3 - Cooling Zone 3</v>
      </c>
      <c r="F63" s="247">
        <f>IF($C63="nwproto",VLOOKUP("*"&amp;$D63&amp;"_1568"&amp;$A63&amp;"*"&amp;$B63,SavingsCalcs!$B$5:$M$148,F$8,FALSE)*$C$2+VLOOKUP("*"&amp;$D63&amp;"_2200"&amp;$A63&amp;"*"&amp;$B63,SavingsCalcs!$B$5:$M$148,F$8,FALSE)*$C$3+VLOOKUP("*"&amp;$D63&amp;"_2688"&amp;$A63&amp;"*"&amp;$B63,SavingsCalcs!$B$5:$M$148,F$8,FALSE)*$C$4,VLOOKUP("*"&amp;$D63&amp;"_5000"&amp;$A63&amp;"*"&amp;$B63,SavingsCalcs!$B$5:$M$148,F$8,FALSE))</f>
        <v>5069.2275520225176</v>
      </c>
      <c r="G63" s="247">
        <f>IF($C63="nwproto",VLOOKUP("*"&amp;$D63&amp;"_1568"&amp;$A63&amp;"*"&amp;$B63,SavingsCalcs!$B$5:$M$148,G$8,FALSE)*$C$2+VLOOKUP("*"&amp;$D63&amp;"_2200"&amp;$A63&amp;"*"&amp;$B63,SavingsCalcs!$B$5:$M$148,G$8,FALSE)*$C$3+VLOOKUP("*"&amp;$D63&amp;"_2688"&amp;$A63&amp;"*"&amp;$B63,SavingsCalcs!$B$5:$M$148,G$8,FALSE)*$C$4,VLOOKUP("*"&amp;$D63&amp;"_5000"&amp;$A63&amp;"*"&amp;$B63,SavingsCalcs!$B$5:$M$148,G$8,FALSE))</f>
        <v>381.58264585714278</v>
      </c>
      <c r="H63" s="247">
        <f>IF($C63="nwproto",VLOOKUP("*"&amp;$D63&amp;"_1568"&amp;$A63&amp;"*"&amp;$B63,SavingsCalcs!$B$5:$M$148,H$8,FALSE)*$C$2+VLOOKUP("*"&amp;$D63&amp;"_2200"&amp;$A63&amp;"*"&amp;$B63,SavingsCalcs!$B$5:$M$148,H$8,FALSE)*$C$3+VLOOKUP("*"&amp;$D63&amp;"_2688"&amp;$A63&amp;"*"&amp;$B63,SavingsCalcs!$B$5:$M$148,H$8,FALSE)*$C$4,VLOOKUP("*"&amp;$D63&amp;"_5000"&amp;$A63&amp;"*"&amp;$B63,SavingsCalcs!$B$5:$M$148,H$8,FALSE))</f>
        <v>0</v>
      </c>
      <c r="I63" s="247">
        <f>IF($C63="nwproto",VLOOKUP("*"&amp;$D63&amp;"_1568"&amp;$A63&amp;"*"&amp;$B63,SavingsCalcs!$B$5:$M$148,I$8,FALSE)*$C$2+VLOOKUP("*"&amp;$D63&amp;"_2200"&amp;$A63&amp;"*"&amp;$B63,SavingsCalcs!$B$5:$M$148,I$8,FALSE)*$C$3+VLOOKUP("*"&amp;$D63&amp;"_2688"&amp;$A63&amp;"*"&amp;$B63,SavingsCalcs!$B$5:$M$148,I$8,FALSE)*$C$4,VLOOKUP("*"&amp;$D63&amp;"_5000"&amp;$A63&amp;"*"&amp;$B63,SavingsCalcs!$B$5:$M$148,I$8,FALSE))</f>
        <v>158.92676412845148</v>
      </c>
      <c r="J63" s="248">
        <f>IF($C63="nwproto",VLOOKUP("*"&amp;$D63&amp;"_1568"&amp;$A63&amp;"*"&amp;$B63,SavingsCalcs!$B$5:$M$148,J$8,FALSE)*$C$2+VLOOKUP("*"&amp;$D63&amp;"_2200"&amp;$A63&amp;"*"&amp;$B63,SavingsCalcs!$B$5:$M$148,J$8,FALSE)*$C$3+VLOOKUP("*"&amp;$D63&amp;"_2688"&amp;$A63&amp;"*"&amp;$B63,SavingsCalcs!$B$5:$M$148,J$8,FALSE)*$C$4,VLOOKUP("*"&amp;$D63&amp;"_5000"&amp;$A63&amp;"*"&amp;$B63,SavingsCalcs!$B$5:$M$148,J$8,FALSE))</f>
        <v>22392.255000000005</v>
      </c>
      <c r="K63" s="248">
        <f>IF($C63="nwproto",VLOOKUP("*"&amp;$D63&amp;"_1568"&amp;$A63&amp;"*"&amp;$B63,SavingsCalcs!$B$5:$M$148,K$8,FALSE)*$C$2+VLOOKUP("*"&amp;$D63&amp;"_2200"&amp;$A63&amp;"*"&amp;$B63,SavingsCalcs!$B$5:$M$148,K$8,FALSE)*$C$3+VLOOKUP("*"&amp;$D63&amp;"_2688"&amp;$A63&amp;"*"&amp;$B63,SavingsCalcs!$B$5:$M$148,K$8,FALSE)*$C$4,VLOOKUP("*"&amp;$D63&amp;"_5000"&amp;$A63&amp;"*"&amp;$B63,SavingsCalcs!$B$5:$M$148,K$8,FALSE))</f>
        <v>0</v>
      </c>
      <c r="L63" s="248"/>
      <c r="M63" s="9" t="str">
        <f>SavingsCalcs!B58</f>
        <v>WxHZ3CZ3_2688e_25gshp_des0</v>
      </c>
      <c r="N63" s="9" t="str">
        <f t="shared" si="1"/>
        <v>e_&gt;4000HZ3CZ3des0</v>
      </c>
    </row>
    <row r="64" spans="1:14">
      <c r="A64" s="220" t="s">
        <v>961</v>
      </c>
      <c r="B64" s="220" t="s">
        <v>960</v>
      </c>
      <c r="C64" s="220" t="s">
        <v>949</v>
      </c>
      <c r="D64" s="220" t="s">
        <v>950</v>
      </c>
      <c r="E64" s="220" t="str">
        <f t="shared" si="0"/>
        <v>Ground Source Heat Pump Upgrade from Air Source Heat Pump - With Desuperheater - Existing House less than 4000 square feet - Heating Zone 1 - Cooling Zone 1</v>
      </c>
      <c r="F64" s="247">
        <f>IF($C64="nwproto",VLOOKUP("*"&amp;$D64&amp;"_1568"&amp;$A64&amp;"*"&amp;$B64,SavingsCalcs!$B$5:$M$148,F$8,FALSE)*$C$2+VLOOKUP("*"&amp;$D64&amp;"_2200"&amp;$A64&amp;"*"&amp;$B64,SavingsCalcs!$B$5:$M$148,F$8,FALSE)*$C$3+VLOOKUP("*"&amp;$D64&amp;"_2688"&amp;$A64&amp;"*"&amp;$B64,SavingsCalcs!$B$5:$M$148,F$8,FALSE)*$C$4,VLOOKUP("*"&amp;$D64&amp;"_5000"&amp;$A64&amp;"*"&amp;$B64,SavingsCalcs!$B$5:$M$148,F$8,FALSE))</f>
        <v>394.4376510275186</v>
      </c>
      <c r="G64" s="247">
        <f>IF($C64="nwproto",VLOOKUP("*"&amp;$D64&amp;"_1568"&amp;$A64&amp;"*"&amp;$B64,SavingsCalcs!$B$5:$M$148,G$8,FALSE)*$C$2+VLOOKUP("*"&amp;$D64&amp;"_2200"&amp;$A64&amp;"*"&amp;$B64,SavingsCalcs!$B$5:$M$148,G$8,FALSE)*$C$3+VLOOKUP("*"&amp;$D64&amp;"_2688"&amp;$A64&amp;"*"&amp;$B64,SavingsCalcs!$B$5:$M$148,G$8,FALSE)*$C$4,VLOOKUP("*"&amp;$D64&amp;"_5000"&amp;$A64&amp;"*"&amp;$B64,SavingsCalcs!$B$5:$M$148,G$8,FALSE))</f>
        <v>36.436239544642852</v>
      </c>
      <c r="H64" s="247">
        <f>IF($C64="nwproto",VLOOKUP("*"&amp;$D64&amp;"_1568"&amp;$A64&amp;"*"&amp;$B64,SavingsCalcs!$B$5:$M$148,H$8,FALSE)*$C$2+VLOOKUP("*"&amp;$D64&amp;"_2200"&amp;$A64&amp;"*"&amp;$B64,SavingsCalcs!$B$5:$M$148,H$8,FALSE)*$C$3+VLOOKUP("*"&amp;$D64&amp;"_2688"&amp;$A64&amp;"*"&amp;$B64,SavingsCalcs!$B$5:$M$148,H$8,FALSE)*$C$4,VLOOKUP("*"&amp;$D64&amp;"_5000"&amp;$A64&amp;"*"&amp;$B64,SavingsCalcs!$B$5:$M$148,H$8,FALSE))</f>
        <v>1445.0770831499999</v>
      </c>
      <c r="I64" s="247">
        <f>IF($C64="nwproto",VLOOKUP("*"&amp;$D64&amp;"_1568"&amp;$A64&amp;"*"&amp;$B64,SavingsCalcs!$B$5:$M$148,I$8,FALSE)*$C$2+VLOOKUP("*"&amp;$D64&amp;"_2200"&amp;$A64&amp;"*"&amp;$B64,SavingsCalcs!$B$5:$M$148,I$8,FALSE)*$C$3+VLOOKUP("*"&amp;$D64&amp;"_2688"&amp;$A64&amp;"*"&amp;$B64,SavingsCalcs!$B$5:$M$148,I$8,FALSE)*$C$4,VLOOKUP("*"&amp;$D64&amp;"_5000"&amp;$A64&amp;"*"&amp;$B64,SavingsCalcs!$B$5:$M$148,I$8,FALSE))</f>
        <v>51.618289010737456</v>
      </c>
      <c r="J64" s="248">
        <f>IF($C64="nwproto",VLOOKUP("*"&amp;$D64&amp;"_1568"&amp;$A64&amp;"*"&amp;$B64,SavingsCalcs!$B$5:$M$148,J$8,FALSE)*$C$2+VLOOKUP("*"&amp;$D64&amp;"_2200"&amp;$A64&amp;"*"&amp;$B64,SavingsCalcs!$B$5:$M$148,J$8,FALSE)*$C$3+VLOOKUP("*"&amp;$D64&amp;"_2688"&amp;$A64&amp;"*"&amp;$B64,SavingsCalcs!$B$5:$M$148,J$8,FALSE)*$C$4,VLOOKUP("*"&amp;$D64&amp;"_5000"&amp;$A64&amp;"*"&amp;$B64,SavingsCalcs!$B$5:$M$148,J$8,FALSE))</f>
        <v>4434.0202749999999</v>
      </c>
      <c r="K64" s="248">
        <f>IF($C64="nwproto",VLOOKUP("*"&amp;$D64&amp;"_1568"&amp;$A64&amp;"*"&amp;$B64,SavingsCalcs!$B$5:$M$148,K$8,FALSE)*$C$2+VLOOKUP("*"&amp;$D64&amp;"_2200"&amp;$A64&amp;"*"&amp;$B64,SavingsCalcs!$B$5:$M$148,K$8,FALSE)*$C$3+VLOOKUP("*"&amp;$D64&amp;"_2688"&amp;$A64&amp;"*"&amp;$B64,SavingsCalcs!$B$5:$M$148,K$8,FALSE)*$C$4,VLOOKUP("*"&amp;$D64&amp;"_5000"&amp;$A64&amp;"*"&amp;$B64,SavingsCalcs!$B$5:$M$148,K$8,FALSE))</f>
        <v>1000</v>
      </c>
      <c r="L64" s="248"/>
      <c r="M64" s="9" t="str">
        <f>SavingsCalcs!B59</f>
        <v>NWHZ1CZ1_5000n_35gshp_des0</v>
      </c>
      <c r="N64" s="9" t="str">
        <f t="shared" si="1"/>
        <v>e_nwprotoHZ1CZ1des1</v>
      </c>
    </row>
    <row r="65" spans="1:14">
      <c r="A65" s="220" t="s">
        <v>961</v>
      </c>
      <c r="B65" s="220" t="s">
        <v>960</v>
      </c>
      <c r="C65" s="220" t="s">
        <v>949</v>
      </c>
      <c r="D65" s="220" t="s">
        <v>951</v>
      </c>
      <c r="E65" s="220" t="str">
        <f t="shared" si="0"/>
        <v>Ground Source Heat Pump Upgrade from Air Source Heat Pump - With Desuperheater - Existing House less than 4000 square feet - Heating Zone 1 - Cooling Zone 2</v>
      </c>
      <c r="F65" s="247">
        <f>IF($C65="nwproto",VLOOKUP("*"&amp;$D65&amp;"_1568"&amp;$A65&amp;"*"&amp;$B65,SavingsCalcs!$B$5:$M$148,F$8,FALSE)*$C$2+VLOOKUP("*"&amp;$D65&amp;"_2200"&amp;$A65&amp;"*"&amp;$B65,SavingsCalcs!$B$5:$M$148,F$8,FALSE)*$C$3+VLOOKUP("*"&amp;$D65&amp;"_2688"&amp;$A65&amp;"*"&amp;$B65,SavingsCalcs!$B$5:$M$148,F$8,FALSE)*$C$4,VLOOKUP("*"&amp;$D65&amp;"_5000"&amp;$A65&amp;"*"&amp;$B65,SavingsCalcs!$B$5:$M$148,F$8,FALSE))</f>
        <v>394.4376510275186</v>
      </c>
      <c r="G65" s="247">
        <f>IF($C65="nwproto",VLOOKUP("*"&amp;$D65&amp;"_1568"&amp;$A65&amp;"*"&amp;$B65,SavingsCalcs!$B$5:$M$148,G$8,FALSE)*$C$2+VLOOKUP("*"&amp;$D65&amp;"_2200"&amp;$A65&amp;"*"&amp;$B65,SavingsCalcs!$B$5:$M$148,G$8,FALSE)*$C$3+VLOOKUP("*"&amp;$D65&amp;"_2688"&amp;$A65&amp;"*"&amp;$B65,SavingsCalcs!$B$5:$M$148,G$8,FALSE)*$C$4,VLOOKUP("*"&amp;$D65&amp;"_5000"&amp;$A65&amp;"*"&amp;$B65,SavingsCalcs!$B$5:$M$148,G$8,FALSE))</f>
        <v>115.70859858571436</v>
      </c>
      <c r="H65" s="247">
        <f>IF($C65="nwproto",VLOOKUP("*"&amp;$D65&amp;"_1568"&amp;$A65&amp;"*"&amp;$B65,SavingsCalcs!$B$5:$M$148,H$8,FALSE)*$C$2+VLOOKUP("*"&amp;$D65&amp;"_2200"&amp;$A65&amp;"*"&amp;$B65,SavingsCalcs!$B$5:$M$148,H$8,FALSE)*$C$3+VLOOKUP("*"&amp;$D65&amp;"_2688"&amp;$A65&amp;"*"&amp;$B65,SavingsCalcs!$B$5:$M$148,H$8,FALSE)*$C$4,VLOOKUP("*"&amp;$D65&amp;"_5000"&amp;$A65&amp;"*"&amp;$B65,SavingsCalcs!$B$5:$M$148,H$8,FALSE))</f>
        <v>1445.0770831499999</v>
      </c>
      <c r="I65" s="247">
        <f>IF($C65="nwproto",VLOOKUP("*"&amp;$D65&amp;"_1568"&amp;$A65&amp;"*"&amp;$B65,SavingsCalcs!$B$5:$M$148,I$8,FALSE)*$C$2+VLOOKUP("*"&amp;$D65&amp;"_2200"&amp;$A65&amp;"*"&amp;$B65,SavingsCalcs!$B$5:$M$148,I$8,FALSE)*$C$3+VLOOKUP("*"&amp;$D65&amp;"_2688"&amp;$A65&amp;"*"&amp;$B65,SavingsCalcs!$B$5:$M$148,I$8,FALSE)*$C$4,VLOOKUP("*"&amp;$D65&amp;"_5000"&amp;$A65&amp;"*"&amp;$B65,SavingsCalcs!$B$5:$M$148,I$8,FALSE))</f>
        <v>51.618289010737456</v>
      </c>
      <c r="J65" s="248">
        <f>IF($C65="nwproto",VLOOKUP("*"&amp;$D65&amp;"_1568"&amp;$A65&amp;"*"&amp;$B65,SavingsCalcs!$B$5:$M$148,J$8,FALSE)*$C$2+VLOOKUP("*"&amp;$D65&amp;"_2200"&amp;$A65&amp;"*"&amp;$B65,SavingsCalcs!$B$5:$M$148,J$8,FALSE)*$C$3+VLOOKUP("*"&amp;$D65&amp;"_2688"&amp;$A65&amp;"*"&amp;$B65,SavingsCalcs!$B$5:$M$148,J$8,FALSE)*$C$4,VLOOKUP("*"&amp;$D65&amp;"_5000"&amp;$A65&amp;"*"&amp;$B65,SavingsCalcs!$B$5:$M$148,J$8,FALSE))</f>
        <v>4434.0202749999999</v>
      </c>
      <c r="K65" s="248">
        <f>IF($C65="nwproto",VLOOKUP("*"&amp;$D65&amp;"_1568"&amp;$A65&amp;"*"&amp;$B65,SavingsCalcs!$B$5:$M$148,K$8,FALSE)*$C$2+VLOOKUP("*"&amp;$D65&amp;"_2200"&amp;$A65&amp;"*"&amp;$B65,SavingsCalcs!$B$5:$M$148,K$8,FALSE)*$C$3+VLOOKUP("*"&amp;$D65&amp;"_2688"&amp;$A65&amp;"*"&amp;$B65,SavingsCalcs!$B$5:$M$148,K$8,FALSE)*$C$4,VLOOKUP("*"&amp;$D65&amp;"_5000"&amp;$A65&amp;"*"&amp;$B65,SavingsCalcs!$B$5:$M$148,K$8,FALSE))</f>
        <v>1000</v>
      </c>
      <c r="L65" s="248"/>
      <c r="M65" s="9" t="str">
        <f>SavingsCalcs!B60</f>
        <v>NWHZ1CZ2_5000n_35gshp_des0</v>
      </c>
      <c r="N65" s="9" t="str">
        <f t="shared" si="1"/>
        <v>e_nwprotoHZ1CZ2des1</v>
      </c>
    </row>
    <row r="66" spans="1:14">
      <c r="A66" s="220" t="s">
        <v>961</v>
      </c>
      <c r="B66" s="220" t="s">
        <v>960</v>
      </c>
      <c r="C66" s="220" t="s">
        <v>949</v>
      </c>
      <c r="D66" s="220" t="s">
        <v>952</v>
      </c>
      <c r="E66" s="220" t="str">
        <f t="shared" si="0"/>
        <v>Ground Source Heat Pump Upgrade from Air Source Heat Pump - With Desuperheater - Existing House less than 4000 square feet - Heating Zone 1 - Cooling Zone 3</v>
      </c>
      <c r="F66" s="247">
        <f>IF($C66="nwproto",VLOOKUP("*"&amp;$D66&amp;"_1568"&amp;$A66&amp;"*"&amp;$B66,SavingsCalcs!$B$5:$M$148,F$8,FALSE)*$C$2+VLOOKUP("*"&amp;$D66&amp;"_2200"&amp;$A66&amp;"*"&amp;$B66,SavingsCalcs!$B$5:$M$148,F$8,FALSE)*$C$3+VLOOKUP("*"&amp;$D66&amp;"_2688"&amp;$A66&amp;"*"&amp;$B66,SavingsCalcs!$B$5:$M$148,F$8,FALSE)*$C$4,VLOOKUP("*"&amp;$D66&amp;"_5000"&amp;$A66&amp;"*"&amp;$B66,SavingsCalcs!$B$5:$M$148,F$8,FALSE))</f>
        <v>394.4376510275186</v>
      </c>
      <c r="G66" s="247">
        <f>IF($C66="nwproto",VLOOKUP("*"&amp;$D66&amp;"_1568"&amp;$A66&amp;"*"&amp;$B66,SavingsCalcs!$B$5:$M$148,G$8,FALSE)*$C$2+VLOOKUP("*"&amp;$D66&amp;"_2200"&amp;$A66&amp;"*"&amp;$B66,SavingsCalcs!$B$5:$M$148,G$8,FALSE)*$C$3+VLOOKUP("*"&amp;$D66&amp;"_2688"&amp;$A66&amp;"*"&amp;$B66,SavingsCalcs!$B$5:$M$148,G$8,FALSE)*$C$4,VLOOKUP("*"&amp;$D66&amp;"_5000"&amp;$A66&amp;"*"&amp;$B66,SavingsCalcs!$B$5:$M$148,G$8,FALSE))</f>
        <v>247.75304203749999</v>
      </c>
      <c r="H66" s="247">
        <f>IF($C66="nwproto",VLOOKUP("*"&amp;$D66&amp;"_1568"&amp;$A66&amp;"*"&amp;$B66,SavingsCalcs!$B$5:$M$148,H$8,FALSE)*$C$2+VLOOKUP("*"&amp;$D66&amp;"_2200"&amp;$A66&amp;"*"&amp;$B66,SavingsCalcs!$B$5:$M$148,H$8,FALSE)*$C$3+VLOOKUP("*"&amp;$D66&amp;"_2688"&amp;$A66&amp;"*"&amp;$B66,SavingsCalcs!$B$5:$M$148,H$8,FALSE)*$C$4,VLOOKUP("*"&amp;$D66&amp;"_5000"&amp;$A66&amp;"*"&amp;$B66,SavingsCalcs!$B$5:$M$148,H$8,FALSE))</f>
        <v>1445.0770831499999</v>
      </c>
      <c r="I66" s="247">
        <f>IF($C66="nwproto",VLOOKUP("*"&amp;$D66&amp;"_1568"&amp;$A66&amp;"*"&amp;$B66,SavingsCalcs!$B$5:$M$148,I$8,FALSE)*$C$2+VLOOKUP("*"&amp;$D66&amp;"_2200"&amp;$A66&amp;"*"&amp;$B66,SavingsCalcs!$B$5:$M$148,I$8,FALSE)*$C$3+VLOOKUP("*"&amp;$D66&amp;"_2688"&amp;$A66&amp;"*"&amp;$B66,SavingsCalcs!$B$5:$M$148,I$8,FALSE)*$C$4,VLOOKUP("*"&amp;$D66&amp;"_5000"&amp;$A66&amp;"*"&amp;$B66,SavingsCalcs!$B$5:$M$148,I$8,FALSE))</f>
        <v>51.618289010737456</v>
      </c>
      <c r="J66" s="248">
        <f>IF($C66="nwproto",VLOOKUP("*"&amp;$D66&amp;"_1568"&amp;$A66&amp;"*"&amp;$B66,SavingsCalcs!$B$5:$M$148,J$8,FALSE)*$C$2+VLOOKUP("*"&amp;$D66&amp;"_2200"&amp;$A66&amp;"*"&amp;$B66,SavingsCalcs!$B$5:$M$148,J$8,FALSE)*$C$3+VLOOKUP("*"&amp;$D66&amp;"_2688"&amp;$A66&amp;"*"&amp;$B66,SavingsCalcs!$B$5:$M$148,J$8,FALSE)*$C$4,VLOOKUP("*"&amp;$D66&amp;"_5000"&amp;$A66&amp;"*"&amp;$B66,SavingsCalcs!$B$5:$M$148,J$8,FALSE))</f>
        <v>4434.0202749999999</v>
      </c>
      <c r="K66" s="248">
        <f>IF($C66="nwproto",VLOOKUP("*"&amp;$D66&amp;"_1568"&amp;$A66&amp;"*"&amp;$B66,SavingsCalcs!$B$5:$M$148,K$8,FALSE)*$C$2+VLOOKUP("*"&amp;$D66&amp;"_2200"&amp;$A66&amp;"*"&amp;$B66,SavingsCalcs!$B$5:$M$148,K$8,FALSE)*$C$3+VLOOKUP("*"&amp;$D66&amp;"_2688"&amp;$A66&amp;"*"&amp;$B66,SavingsCalcs!$B$5:$M$148,K$8,FALSE)*$C$4,VLOOKUP("*"&amp;$D66&amp;"_5000"&amp;$A66&amp;"*"&amp;$B66,SavingsCalcs!$B$5:$M$148,K$8,FALSE))</f>
        <v>1000</v>
      </c>
      <c r="L66" s="248"/>
      <c r="M66" s="9" t="str">
        <f>SavingsCalcs!B61</f>
        <v>NWHZ1CZ3_5000n_35gshp_des0</v>
      </c>
      <c r="N66" s="9" t="str">
        <f t="shared" si="1"/>
        <v>e_nwprotoHZ1CZ3des1</v>
      </c>
    </row>
    <row r="67" spans="1:14">
      <c r="A67" s="220" t="s">
        <v>961</v>
      </c>
      <c r="B67" s="220" t="s">
        <v>960</v>
      </c>
      <c r="C67" s="220" t="s">
        <v>949</v>
      </c>
      <c r="D67" s="220" t="s">
        <v>953</v>
      </c>
      <c r="E67" s="220" t="str">
        <f t="shared" si="0"/>
        <v>Ground Source Heat Pump Upgrade from Air Source Heat Pump - With Desuperheater - Existing House less than 4000 square feet - Heating Zone 2 - Cooling Zone 1</v>
      </c>
      <c r="F67" s="247">
        <f>IF($C67="nwproto",VLOOKUP("*"&amp;$D67&amp;"_1568"&amp;$A67&amp;"*"&amp;$B67,SavingsCalcs!$B$5:$M$148,F$8,FALSE)*$C$2+VLOOKUP("*"&amp;$D67&amp;"_2200"&amp;$A67&amp;"*"&amp;$B67,SavingsCalcs!$B$5:$M$148,F$8,FALSE)*$C$3+VLOOKUP("*"&amp;$D67&amp;"_2688"&amp;$A67&amp;"*"&amp;$B67,SavingsCalcs!$B$5:$M$148,F$8,FALSE)*$C$4,VLOOKUP("*"&amp;$D67&amp;"_5000"&amp;$A67&amp;"*"&amp;$B67,SavingsCalcs!$B$5:$M$148,F$8,FALSE))</f>
        <v>1305.8284622633546</v>
      </c>
      <c r="G67" s="247">
        <f>IF($C67="nwproto",VLOOKUP("*"&amp;$D67&amp;"_1568"&amp;$A67&amp;"*"&amp;$B67,SavingsCalcs!$B$5:$M$148,G$8,FALSE)*$C$2+VLOOKUP("*"&amp;$D67&amp;"_2200"&amp;$A67&amp;"*"&amp;$B67,SavingsCalcs!$B$5:$M$148,G$8,FALSE)*$C$3+VLOOKUP("*"&amp;$D67&amp;"_2688"&amp;$A67&amp;"*"&amp;$B67,SavingsCalcs!$B$5:$M$148,G$8,FALSE)*$C$4,VLOOKUP("*"&amp;$D67&amp;"_5000"&amp;$A67&amp;"*"&amp;$B67,SavingsCalcs!$B$5:$M$148,G$8,FALSE))</f>
        <v>36.436239544642852</v>
      </c>
      <c r="H67" s="247">
        <f>IF($C67="nwproto",VLOOKUP("*"&amp;$D67&amp;"_1568"&amp;$A67&amp;"*"&amp;$B67,SavingsCalcs!$B$5:$M$148,H$8,FALSE)*$C$2+VLOOKUP("*"&amp;$D67&amp;"_2200"&amp;$A67&amp;"*"&amp;$B67,SavingsCalcs!$B$5:$M$148,H$8,FALSE)*$C$3+VLOOKUP("*"&amp;$D67&amp;"_2688"&amp;$A67&amp;"*"&amp;$B67,SavingsCalcs!$B$5:$M$148,H$8,FALSE)*$C$4,VLOOKUP("*"&amp;$D67&amp;"_5000"&amp;$A67&amp;"*"&amp;$B67,SavingsCalcs!$B$5:$M$148,H$8,FALSE))</f>
        <v>2008.5243826125002</v>
      </c>
      <c r="I67" s="247">
        <f>IF($C67="nwproto",VLOOKUP("*"&amp;$D67&amp;"_1568"&amp;$A67&amp;"*"&amp;$B67,SavingsCalcs!$B$5:$M$148,I$8,FALSE)*$C$2+VLOOKUP("*"&amp;$D67&amp;"_2200"&amp;$A67&amp;"*"&amp;$B67,SavingsCalcs!$B$5:$M$148,I$8,FALSE)*$C$3+VLOOKUP("*"&amp;$D67&amp;"_2688"&amp;$A67&amp;"*"&amp;$B67,SavingsCalcs!$B$5:$M$148,I$8,FALSE)*$C$4,VLOOKUP("*"&amp;$D67&amp;"_5000"&amp;$A67&amp;"*"&amp;$B67,SavingsCalcs!$B$5:$M$148,I$8,FALSE))</f>
        <v>50.975261282513401</v>
      </c>
      <c r="J67" s="248">
        <f>IF($C67="nwproto",VLOOKUP("*"&amp;$D67&amp;"_1568"&amp;$A67&amp;"*"&amp;$B67,SavingsCalcs!$B$5:$M$148,J$8,FALSE)*$C$2+VLOOKUP("*"&amp;$D67&amp;"_2200"&amp;$A67&amp;"*"&amp;$B67,SavingsCalcs!$B$5:$M$148,J$8,FALSE)*$C$3+VLOOKUP("*"&amp;$D67&amp;"_2688"&amp;$A67&amp;"*"&amp;$B67,SavingsCalcs!$B$5:$M$148,J$8,FALSE)*$C$4,VLOOKUP("*"&amp;$D67&amp;"_5000"&amp;$A67&amp;"*"&amp;$B67,SavingsCalcs!$B$5:$M$148,J$8,FALSE))</f>
        <v>8878.381625</v>
      </c>
      <c r="K67" s="248">
        <f>IF($C67="nwproto",VLOOKUP("*"&amp;$D67&amp;"_1568"&amp;$A67&amp;"*"&amp;$B67,SavingsCalcs!$B$5:$M$148,K$8,FALSE)*$C$2+VLOOKUP("*"&amp;$D67&amp;"_2200"&amp;$A67&amp;"*"&amp;$B67,SavingsCalcs!$B$5:$M$148,K$8,FALSE)*$C$3+VLOOKUP("*"&amp;$D67&amp;"_2688"&amp;$A67&amp;"*"&amp;$B67,SavingsCalcs!$B$5:$M$148,K$8,FALSE)*$C$4,VLOOKUP("*"&amp;$D67&amp;"_5000"&amp;$A67&amp;"*"&amp;$B67,SavingsCalcs!$B$5:$M$148,K$8,FALSE))</f>
        <v>1000</v>
      </c>
      <c r="L67" s="248"/>
      <c r="M67" s="9" t="str">
        <f>SavingsCalcs!B62</f>
        <v>WxHZ1CZ1_5000e_40gshp_des0</v>
      </c>
      <c r="N67" s="9" t="str">
        <f t="shared" si="1"/>
        <v>e_nwprotoHZ2CZ1des1</v>
      </c>
    </row>
    <row r="68" spans="1:14">
      <c r="A68" s="220" t="s">
        <v>961</v>
      </c>
      <c r="B68" s="220" t="s">
        <v>960</v>
      </c>
      <c r="C68" s="220" t="s">
        <v>949</v>
      </c>
      <c r="D68" s="220" t="s">
        <v>954</v>
      </c>
      <c r="E68" s="220" t="str">
        <f t="shared" si="0"/>
        <v>Ground Source Heat Pump Upgrade from Air Source Heat Pump - With Desuperheater - Existing House less than 4000 square feet - Heating Zone 2 - Cooling Zone 2</v>
      </c>
      <c r="F68" s="247">
        <f>IF($C68="nwproto",VLOOKUP("*"&amp;$D68&amp;"_1568"&amp;$A68&amp;"*"&amp;$B68,SavingsCalcs!$B$5:$M$148,F$8,FALSE)*$C$2+VLOOKUP("*"&amp;$D68&amp;"_2200"&amp;$A68&amp;"*"&amp;$B68,SavingsCalcs!$B$5:$M$148,F$8,FALSE)*$C$3+VLOOKUP("*"&amp;$D68&amp;"_2688"&amp;$A68&amp;"*"&amp;$B68,SavingsCalcs!$B$5:$M$148,F$8,FALSE)*$C$4,VLOOKUP("*"&amp;$D68&amp;"_5000"&amp;$A68&amp;"*"&amp;$B68,SavingsCalcs!$B$5:$M$148,F$8,FALSE))</f>
        <v>1305.8284622633546</v>
      </c>
      <c r="G68" s="247">
        <f>IF($C68="nwproto",VLOOKUP("*"&amp;$D68&amp;"_1568"&amp;$A68&amp;"*"&amp;$B68,SavingsCalcs!$B$5:$M$148,G$8,FALSE)*$C$2+VLOOKUP("*"&amp;$D68&amp;"_2200"&amp;$A68&amp;"*"&amp;$B68,SavingsCalcs!$B$5:$M$148,G$8,FALSE)*$C$3+VLOOKUP("*"&amp;$D68&amp;"_2688"&amp;$A68&amp;"*"&amp;$B68,SavingsCalcs!$B$5:$M$148,G$8,FALSE)*$C$4,VLOOKUP("*"&amp;$D68&amp;"_5000"&amp;$A68&amp;"*"&amp;$B68,SavingsCalcs!$B$5:$M$148,G$8,FALSE))</f>
        <v>115.70859858571436</v>
      </c>
      <c r="H68" s="247">
        <f>IF($C68="nwproto",VLOOKUP("*"&amp;$D68&amp;"_1568"&amp;$A68&amp;"*"&amp;$B68,SavingsCalcs!$B$5:$M$148,H$8,FALSE)*$C$2+VLOOKUP("*"&amp;$D68&amp;"_2200"&amp;$A68&amp;"*"&amp;$B68,SavingsCalcs!$B$5:$M$148,H$8,FALSE)*$C$3+VLOOKUP("*"&amp;$D68&amp;"_2688"&amp;$A68&amp;"*"&amp;$B68,SavingsCalcs!$B$5:$M$148,H$8,FALSE)*$C$4,VLOOKUP("*"&amp;$D68&amp;"_5000"&amp;$A68&amp;"*"&amp;$B68,SavingsCalcs!$B$5:$M$148,H$8,FALSE))</f>
        <v>2008.5243826125002</v>
      </c>
      <c r="I68" s="247">
        <f>IF($C68="nwproto",VLOOKUP("*"&amp;$D68&amp;"_1568"&amp;$A68&amp;"*"&amp;$B68,SavingsCalcs!$B$5:$M$148,I$8,FALSE)*$C$2+VLOOKUP("*"&amp;$D68&amp;"_2200"&amp;$A68&amp;"*"&amp;$B68,SavingsCalcs!$B$5:$M$148,I$8,FALSE)*$C$3+VLOOKUP("*"&amp;$D68&amp;"_2688"&amp;$A68&amp;"*"&amp;$B68,SavingsCalcs!$B$5:$M$148,I$8,FALSE)*$C$4,VLOOKUP("*"&amp;$D68&amp;"_5000"&amp;$A68&amp;"*"&amp;$B68,SavingsCalcs!$B$5:$M$148,I$8,FALSE))</f>
        <v>50.975261282513401</v>
      </c>
      <c r="J68" s="248">
        <f>IF($C68="nwproto",VLOOKUP("*"&amp;$D68&amp;"_1568"&amp;$A68&amp;"*"&amp;$B68,SavingsCalcs!$B$5:$M$148,J$8,FALSE)*$C$2+VLOOKUP("*"&amp;$D68&amp;"_2200"&amp;$A68&amp;"*"&amp;$B68,SavingsCalcs!$B$5:$M$148,J$8,FALSE)*$C$3+VLOOKUP("*"&amp;$D68&amp;"_2688"&amp;$A68&amp;"*"&amp;$B68,SavingsCalcs!$B$5:$M$148,J$8,FALSE)*$C$4,VLOOKUP("*"&amp;$D68&amp;"_5000"&amp;$A68&amp;"*"&amp;$B68,SavingsCalcs!$B$5:$M$148,J$8,FALSE))</f>
        <v>8878.381625</v>
      </c>
      <c r="K68" s="248">
        <f>IF($C68="nwproto",VLOOKUP("*"&amp;$D68&amp;"_1568"&amp;$A68&amp;"*"&amp;$B68,SavingsCalcs!$B$5:$M$148,K$8,FALSE)*$C$2+VLOOKUP("*"&amp;$D68&amp;"_2200"&amp;$A68&amp;"*"&amp;$B68,SavingsCalcs!$B$5:$M$148,K$8,FALSE)*$C$3+VLOOKUP("*"&amp;$D68&amp;"_2688"&amp;$A68&amp;"*"&amp;$B68,SavingsCalcs!$B$5:$M$148,K$8,FALSE)*$C$4,VLOOKUP("*"&amp;$D68&amp;"_5000"&amp;$A68&amp;"*"&amp;$B68,SavingsCalcs!$B$5:$M$148,K$8,FALSE))</f>
        <v>1000</v>
      </c>
      <c r="L68" s="248"/>
      <c r="M68" s="9" t="str">
        <f>SavingsCalcs!B63</f>
        <v>WxHZ1CZ2_5000e_40gshp_des0</v>
      </c>
      <c r="N68" s="9" t="str">
        <f t="shared" si="1"/>
        <v>e_nwprotoHZ2CZ2des1</v>
      </c>
    </row>
    <row r="69" spans="1:14">
      <c r="A69" s="220" t="s">
        <v>961</v>
      </c>
      <c r="B69" s="220" t="s">
        <v>960</v>
      </c>
      <c r="C69" s="220" t="s">
        <v>949</v>
      </c>
      <c r="D69" s="220" t="s">
        <v>955</v>
      </c>
      <c r="E69" s="220" t="str">
        <f t="shared" si="0"/>
        <v>Ground Source Heat Pump Upgrade from Air Source Heat Pump - With Desuperheater - Existing House less than 4000 square feet - Heating Zone 2 - Cooling Zone 3</v>
      </c>
      <c r="F69" s="247">
        <f>IF($C69="nwproto",VLOOKUP("*"&amp;$D69&amp;"_1568"&amp;$A69&amp;"*"&amp;$B69,SavingsCalcs!$B$5:$M$148,F$8,FALSE)*$C$2+VLOOKUP("*"&amp;$D69&amp;"_2200"&amp;$A69&amp;"*"&amp;$B69,SavingsCalcs!$B$5:$M$148,F$8,FALSE)*$C$3+VLOOKUP("*"&amp;$D69&amp;"_2688"&amp;$A69&amp;"*"&amp;$B69,SavingsCalcs!$B$5:$M$148,F$8,FALSE)*$C$4,VLOOKUP("*"&amp;$D69&amp;"_5000"&amp;$A69&amp;"*"&amp;$B69,SavingsCalcs!$B$5:$M$148,F$8,FALSE))</f>
        <v>1305.8284622633546</v>
      </c>
      <c r="G69" s="247">
        <f>IF($C69="nwproto",VLOOKUP("*"&amp;$D69&amp;"_1568"&amp;$A69&amp;"*"&amp;$B69,SavingsCalcs!$B$5:$M$148,G$8,FALSE)*$C$2+VLOOKUP("*"&amp;$D69&amp;"_2200"&amp;$A69&amp;"*"&amp;$B69,SavingsCalcs!$B$5:$M$148,G$8,FALSE)*$C$3+VLOOKUP("*"&amp;$D69&amp;"_2688"&amp;$A69&amp;"*"&amp;$B69,SavingsCalcs!$B$5:$M$148,G$8,FALSE)*$C$4,VLOOKUP("*"&amp;$D69&amp;"_5000"&amp;$A69&amp;"*"&amp;$B69,SavingsCalcs!$B$5:$M$148,G$8,FALSE))</f>
        <v>247.75304203749999</v>
      </c>
      <c r="H69" s="247">
        <f>IF($C69="nwproto",VLOOKUP("*"&amp;$D69&amp;"_1568"&amp;$A69&amp;"*"&amp;$B69,SavingsCalcs!$B$5:$M$148,H$8,FALSE)*$C$2+VLOOKUP("*"&amp;$D69&amp;"_2200"&amp;$A69&amp;"*"&amp;$B69,SavingsCalcs!$B$5:$M$148,H$8,FALSE)*$C$3+VLOOKUP("*"&amp;$D69&amp;"_2688"&amp;$A69&amp;"*"&amp;$B69,SavingsCalcs!$B$5:$M$148,H$8,FALSE)*$C$4,VLOOKUP("*"&amp;$D69&amp;"_5000"&amp;$A69&amp;"*"&amp;$B69,SavingsCalcs!$B$5:$M$148,H$8,FALSE))</f>
        <v>2008.5243826125002</v>
      </c>
      <c r="I69" s="247">
        <f>IF($C69="nwproto",VLOOKUP("*"&amp;$D69&amp;"_1568"&amp;$A69&amp;"*"&amp;$B69,SavingsCalcs!$B$5:$M$148,I$8,FALSE)*$C$2+VLOOKUP("*"&amp;$D69&amp;"_2200"&amp;$A69&amp;"*"&amp;$B69,SavingsCalcs!$B$5:$M$148,I$8,FALSE)*$C$3+VLOOKUP("*"&amp;$D69&amp;"_2688"&amp;$A69&amp;"*"&amp;$B69,SavingsCalcs!$B$5:$M$148,I$8,FALSE)*$C$4,VLOOKUP("*"&amp;$D69&amp;"_5000"&amp;$A69&amp;"*"&amp;$B69,SavingsCalcs!$B$5:$M$148,I$8,FALSE))</f>
        <v>50.975261282513401</v>
      </c>
      <c r="J69" s="248">
        <f>IF($C69="nwproto",VLOOKUP("*"&amp;$D69&amp;"_1568"&amp;$A69&amp;"*"&amp;$B69,SavingsCalcs!$B$5:$M$148,J$8,FALSE)*$C$2+VLOOKUP("*"&amp;$D69&amp;"_2200"&amp;$A69&amp;"*"&amp;$B69,SavingsCalcs!$B$5:$M$148,J$8,FALSE)*$C$3+VLOOKUP("*"&amp;$D69&amp;"_2688"&amp;$A69&amp;"*"&amp;$B69,SavingsCalcs!$B$5:$M$148,J$8,FALSE)*$C$4,VLOOKUP("*"&amp;$D69&amp;"_5000"&amp;$A69&amp;"*"&amp;$B69,SavingsCalcs!$B$5:$M$148,J$8,FALSE))</f>
        <v>8878.381625</v>
      </c>
      <c r="K69" s="248">
        <f>IF($C69="nwproto",VLOOKUP("*"&amp;$D69&amp;"_1568"&amp;$A69&amp;"*"&amp;$B69,SavingsCalcs!$B$5:$M$148,K$8,FALSE)*$C$2+VLOOKUP("*"&amp;$D69&amp;"_2200"&amp;$A69&amp;"*"&amp;$B69,SavingsCalcs!$B$5:$M$148,K$8,FALSE)*$C$3+VLOOKUP("*"&amp;$D69&amp;"_2688"&amp;$A69&amp;"*"&amp;$B69,SavingsCalcs!$B$5:$M$148,K$8,FALSE)*$C$4,VLOOKUP("*"&amp;$D69&amp;"_5000"&amp;$A69&amp;"*"&amp;$B69,SavingsCalcs!$B$5:$M$148,K$8,FALSE))</f>
        <v>1000</v>
      </c>
      <c r="L69" s="248"/>
      <c r="M69" s="9" t="str">
        <f>SavingsCalcs!B64</f>
        <v>WxHZ1CZ3_5000e_40gshp_des0</v>
      </c>
      <c r="N69" s="9" t="str">
        <f t="shared" si="1"/>
        <v>e_nwprotoHZ2CZ3des1</v>
      </c>
    </row>
    <row r="70" spans="1:14">
      <c r="A70" s="220" t="s">
        <v>961</v>
      </c>
      <c r="B70" s="220" t="s">
        <v>960</v>
      </c>
      <c r="C70" s="220" t="s">
        <v>949</v>
      </c>
      <c r="D70" s="220" t="s">
        <v>956</v>
      </c>
      <c r="E70" s="220" t="str">
        <f t="shared" si="0"/>
        <v>Ground Source Heat Pump Upgrade from Air Source Heat Pump - With Desuperheater - Existing House less than 4000 square feet - Heating Zone 3 - Cooling Zone 1</v>
      </c>
      <c r="F70" s="247">
        <f>IF($C70="nwproto",VLOOKUP("*"&amp;$D70&amp;"_1568"&amp;$A70&amp;"*"&amp;$B70,SavingsCalcs!$B$5:$M$148,F$8,FALSE)*$C$2+VLOOKUP("*"&amp;$D70&amp;"_2200"&amp;$A70&amp;"*"&amp;$B70,SavingsCalcs!$B$5:$M$148,F$8,FALSE)*$C$3+VLOOKUP("*"&amp;$D70&amp;"_2688"&amp;$A70&amp;"*"&amp;$B70,SavingsCalcs!$B$5:$M$148,F$8,FALSE)*$C$4,VLOOKUP("*"&amp;$D70&amp;"_5000"&amp;$A70&amp;"*"&amp;$B70,SavingsCalcs!$B$5:$M$148,F$8,FALSE))</f>
        <v>2024.043988154627</v>
      </c>
      <c r="G70" s="247">
        <f>IF($C70="nwproto",VLOOKUP("*"&amp;$D70&amp;"_1568"&amp;$A70&amp;"*"&amp;$B70,SavingsCalcs!$B$5:$M$148,G$8,FALSE)*$C$2+VLOOKUP("*"&amp;$D70&amp;"_2200"&amp;$A70&amp;"*"&amp;$B70,SavingsCalcs!$B$5:$M$148,G$8,FALSE)*$C$3+VLOOKUP("*"&amp;$D70&amp;"_2688"&amp;$A70&amp;"*"&amp;$B70,SavingsCalcs!$B$5:$M$148,G$8,FALSE)*$C$4,VLOOKUP("*"&amp;$D70&amp;"_5000"&amp;$A70&amp;"*"&amp;$B70,SavingsCalcs!$B$5:$M$148,G$8,FALSE))</f>
        <v>36.436239544642852</v>
      </c>
      <c r="H70" s="247">
        <f>IF($C70="nwproto",VLOOKUP("*"&amp;$D70&amp;"_1568"&amp;$A70&amp;"*"&amp;$B70,SavingsCalcs!$B$5:$M$148,H$8,FALSE)*$C$2+VLOOKUP("*"&amp;$D70&amp;"_2200"&amp;$A70&amp;"*"&amp;$B70,SavingsCalcs!$B$5:$M$148,H$8,FALSE)*$C$3+VLOOKUP("*"&amp;$D70&amp;"_2688"&amp;$A70&amp;"*"&amp;$B70,SavingsCalcs!$B$5:$M$148,H$8,FALSE)*$C$4,VLOOKUP("*"&amp;$D70&amp;"_5000"&amp;$A70&amp;"*"&amp;$B70,SavingsCalcs!$B$5:$M$148,H$8,FALSE))</f>
        <v>2318.4327623624999</v>
      </c>
      <c r="I70" s="247">
        <f>IF($C70="nwproto",VLOOKUP("*"&amp;$D70&amp;"_1568"&amp;$A70&amp;"*"&amp;$B70,SavingsCalcs!$B$5:$M$148,I$8,FALSE)*$C$2+VLOOKUP("*"&amp;$D70&amp;"_2200"&amp;$A70&amp;"*"&amp;$B70,SavingsCalcs!$B$5:$M$148,I$8,FALSE)*$C$3+VLOOKUP("*"&amp;$D70&amp;"_2688"&amp;$A70&amp;"*"&amp;$B70,SavingsCalcs!$B$5:$M$148,I$8,FALSE)*$C$4,VLOOKUP("*"&amp;$D70&amp;"_5000"&amp;$A70&amp;"*"&amp;$B70,SavingsCalcs!$B$5:$M$148,I$8,FALSE))</f>
        <v>54.876734813348762</v>
      </c>
      <c r="J70" s="248">
        <f>IF($C70="nwproto",VLOOKUP("*"&amp;$D70&amp;"_1568"&amp;$A70&amp;"*"&amp;$B70,SavingsCalcs!$B$5:$M$148,J$8,FALSE)*$C$2+VLOOKUP("*"&amp;$D70&amp;"_2200"&amp;$A70&amp;"*"&amp;$B70,SavingsCalcs!$B$5:$M$148,J$8,FALSE)*$C$3+VLOOKUP("*"&amp;$D70&amp;"_2688"&amp;$A70&amp;"*"&amp;$B70,SavingsCalcs!$B$5:$M$148,J$8,FALSE)*$C$4,VLOOKUP("*"&amp;$D70&amp;"_5000"&amp;$A70&amp;"*"&amp;$B70,SavingsCalcs!$B$5:$M$148,J$8,FALSE))</f>
        <v>14478.166725000003</v>
      </c>
      <c r="K70" s="248">
        <f>IF($C70="nwproto",VLOOKUP("*"&amp;$D70&amp;"_1568"&amp;$A70&amp;"*"&amp;$B70,SavingsCalcs!$B$5:$M$148,K$8,FALSE)*$C$2+VLOOKUP("*"&amp;$D70&amp;"_2200"&amp;$A70&amp;"*"&amp;$B70,SavingsCalcs!$B$5:$M$148,K$8,FALSE)*$C$3+VLOOKUP("*"&amp;$D70&amp;"_2688"&amp;$A70&amp;"*"&amp;$B70,SavingsCalcs!$B$5:$M$148,K$8,FALSE)*$C$4,VLOOKUP("*"&amp;$D70&amp;"_5000"&amp;$A70&amp;"*"&amp;$B70,SavingsCalcs!$B$5:$M$148,K$8,FALSE))</f>
        <v>1000</v>
      </c>
      <c r="L70" s="248"/>
      <c r="M70" s="9" t="str">
        <f>SavingsCalcs!B65</f>
        <v>NWHZ2CZ1_5000n_35gshp_des0</v>
      </c>
      <c r="N70" s="9" t="str">
        <f t="shared" si="1"/>
        <v>e_nwprotoHZ3CZ1des1</v>
      </c>
    </row>
    <row r="71" spans="1:14">
      <c r="A71" s="220" t="s">
        <v>961</v>
      </c>
      <c r="B71" s="220" t="s">
        <v>960</v>
      </c>
      <c r="C71" s="220" t="s">
        <v>949</v>
      </c>
      <c r="D71" s="220" t="s">
        <v>957</v>
      </c>
      <c r="E71" s="220" t="str">
        <f t="shared" si="0"/>
        <v>Ground Source Heat Pump Upgrade from Air Source Heat Pump - With Desuperheater - Existing House less than 4000 square feet - Heating Zone 3 - Cooling Zone 2</v>
      </c>
      <c r="F71" s="247">
        <f>IF($C71="nwproto",VLOOKUP("*"&amp;$D71&amp;"_1568"&amp;$A71&amp;"*"&amp;$B71,SavingsCalcs!$B$5:$M$148,F$8,FALSE)*$C$2+VLOOKUP("*"&amp;$D71&amp;"_2200"&amp;$A71&amp;"*"&amp;$B71,SavingsCalcs!$B$5:$M$148,F$8,FALSE)*$C$3+VLOOKUP("*"&amp;$D71&amp;"_2688"&amp;$A71&amp;"*"&amp;$B71,SavingsCalcs!$B$5:$M$148,F$8,FALSE)*$C$4,VLOOKUP("*"&amp;$D71&amp;"_5000"&amp;$A71&amp;"*"&amp;$B71,SavingsCalcs!$B$5:$M$148,F$8,FALSE))</f>
        <v>2024.043988154627</v>
      </c>
      <c r="G71" s="247">
        <f>IF($C71="nwproto",VLOOKUP("*"&amp;$D71&amp;"_1568"&amp;$A71&amp;"*"&amp;$B71,SavingsCalcs!$B$5:$M$148,G$8,FALSE)*$C$2+VLOOKUP("*"&amp;$D71&amp;"_2200"&amp;$A71&amp;"*"&amp;$B71,SavingsCalcs!$B$5:$M$148,G$8,FALSE)*$C$3+VLOOKUP("*"&amp;$D71&amp;"_2688"&amp;$A71&amp;"*"&amp;$B71,SavingsCalcs!$B$5:$M$148,G$8,FALSE)*$C$4,VLOOKUP("*"&amp;$D71&amp;"_5000"&amp;$A71&amp;"*"&amp;$B71,SavingsCalcs!$B$5:$M$148,G$8,FALSE))</f>
        <v>115.70859858571436</v>
      </c>
      <c r="H71" s="247">
        <f>IF($C71="nwproto",VLOOKUP("*"&amp;$D71&amp;"_1568"&amp;$A71&amp;"*"&amp;$B71,SavingsCalcs!$B$5:$M$148,H$8,FALSE)*$C$2+VLOOKUP("*"&amp;$D71&amp;"_2200"&amp;$A71&amp;"*"&amp;$B71,SavingsCalcs!$B$5:$M$148,H$8,FALSE)*$C$3+VLOOKUP("*"&amp;$D71&amp;"_2688"&amp;$A71&amp;"*"&amp;$B71,SavingsCalcs!$B$5:$M$148,H$8,FALSE)*$C$4,VLOOKUP("*"&amp;$D71&amp;"_5000"&amp;$A71&amp;"*"&amp;$B71,SavingsCalcs!$B$5:$M$148,H$8,FALSE))</f>
        <v>2318.4327623624999</v>
      </c>
      <c r="I71" s="247">
        <f>IF($C71="nwproto",VLOOKUP("*"&amp;$D71&amp;"_1568"&amp;$A71&amp;"*"&amp;$B71,SavingsCalcs!$B$5:$M$148,I$8,FALSE)*$C$2+VLOOKUP("*"&amp;$D71&amp;"_2200"&amp;$A71&amp;"*"&amp;$B71,SavingsCalcs!$B$5:$M$148,I$8,FALSE)*$C$3+VLOOKUP("*"&amp;$D71&amp;"_2688"&amp;$A71&amp;"*"&amp;$B71,SavingsCalcs!$B$5:$M$148,I$8,FALSE)*$C$4,VLOOKUP("*"&amp;$D71&amp;"_5000"&amp;$A71&amp;"*"&amp;$B71,SavingsCalcs!$B$5:$M$148,I$8,FALSE))</f>
        <v>54.876734813348762</v>
      </c>
      <c r="J71" s="248">
        <f>IF($C71="nwproto",VLOOKUP("*"&amp;$D71&amp;"_1568"&amp;$A71&amp;"*"&amp;$B71,SavingsCalcs!$B$5:$M$148,J$8,FALSE)*$C$2+VLOOKUP("*"&amp;$D71&amp;"_2200"&amp;$A71&amp;"*"&amp;$B71,SavingsCalcs!$B$5:$M$148,J$8,FALSE)*$C$3+VLOOKUP("*"&amp;$D71&amp;"_2688"&amp;$A71&amp;"*"&amp;$B71,SavingsCalcs!$B$5:$M$148,J$8,FALSE)*$C$4,VLOOKUP("*"&amp;$D71&amp;"_5000"&amp;$A71&amp;"*"&amp;$B71,SavingsCalcs!$B$5:$M$148,J$8,FALSE))</f>
        <v>14478.166725000003</v>
      </c>
      <c r="K71" s="248">
        <f>IF($C71="nwproto",VLOOKUP("*"&amp;$D71&amp;"_1568"&amp;$A71&amp;"*"&amp;$B71,SavingsCalcs!$B$5:$M$148,K$8,FALSE)*$C$2+VLOOKUP("*"&amp;$D71&amp;"_2200"&amp;$A71&amp;"*"&amp;$B71,SavingsCalcs!$B$5:$M$148,K$8,FALSE)*$C$3+VLOOKUP("*"&amp;$D71&amp;"_2688"&amp;$A71&amp;"*"&amp;$B71,SavingsCalcs!$B$5:$M$148,K$8,FALSE)*$C$4,VLOOKUP("*"&amp;$D71&amp;"_5000"&amp;$A71&amp;"*"&amp;$B71,SavingsCalcs!$B$5:$M$148,K$8,FALSE))</f>
        <v>1000</v>
      </c>
      <c r="L71" s="248"/>
      <c r="M71" s="9" t="str">
        <f>SavingsCalcs!B66</f>
        <v>NWHZ2CZ2_5000n_35gshp_des0</v>
      </c>
      <c r="N71" s="9" t="str">
        <f t="shared" si="1"/>
        <v>e_nwprotoHZ3CZ2des1</v>
      </c>
    </row>
    <row r="72" spans="1:14">
      <c r="A72" s="220" t="s">
        <v>961</v>
      </c>
      <c r="B72" s="220" t="s">
        <v>960</v>
      </c>
      <c r="C72" s="220" t="s">
        <v>949</v>
      </c>
      <c r="D72" s="220" t="s">
        <v>958</v>
      </c>
      <c r="E72" s="220" t="str">
        <f t="shared" si="0"/>
        <v>Ground Source Heat Pump Upgrade from Air Source Heat Pump - With Desuperheater - Existing House less than 4000 square feet - Heating Zone 3 - Cooling Zone 3</v>
      </c>
      <c r="F72" s="247">
        <f>IF($C72="nwproto",VLOOKUP("*"&amp;$D72&amp;"_1568"&amp;$A72&amp;"*"&amp;$B72,SavingsCalcs!$B$5:$M$148,F$8,FALSE)*$C$2+VLOOKUP("*"&amp;$D72&amp;"_2200"&amp;$A72&amp;"*"&amp;$B72,SavingsCalcs!$B$5:$M$148,F$8,FALSE)*$C$3+VLOOKUP("*"&amp;$D72&amp;"_2688"&amp;$A72&amp;"*"&amp;$B72,SavingsCalcs!$B$5:$M$148,F$8,FALSE)*$C$4,VLOOKUP("*"&amp;$D72&amp;"_5000"&amp;$A72&amp;"*"&amp;$B72,SavingsCalcs!$B$5:$M$148,F$8,FALSE))</f>
        <v>2024.043988154627</v>
      </c>
      <c r="G72" s="247">
        <f>IF($C72="nwproto",VLOOKUP("*"&amp;$D72&amp;"_1568"&amp;$A72&amp;"*"&amp;$B72,SavingsCalcs!$B$5:$M$148,G$8,FALSE)*$C$2+VLOOKUP("*"&amp;$D72&amp;"_2200"&amp;$A72&amp;"*"&amp;$B72,SavingsCalcs!$B$5:$M$148,G$8,FALSE)*$C$3+VLOOKUP("*"&amp;$D72&amp;"_2688"&amp;$A72&amp;"*"&amp;$B72,SavingsCalcs!$B$5:$M$148,G$8,FALSE)*$C$4,VLOOKUP("*"&amp;$D72&amp;"_5000"&amp;$A72&amp;"*"&amp;$B72,SavingsCalcs!$B$5:$M$148,G$8,FALSE))</f>
        <v>247.75304203749999</v>
      </c>
      <c r="H72" s="247">
        <f>IF($C72="nwproto",VLOOKUP("*"&amp;$D72&amp;"_1568"&amp;$A72&amp;"*"&amp;$B72,SavingsCalcs!$B$5:$M$148,H$8,FALSE)*$C$2+VLOOKUP("*"&amp;$D72&amp;"_2200"&amp;$A72&amp;"*"&amp;$B72,SavingsCalcs!$B$5:$M$148,H$8,FALSE)*$C$3+VLOOKUP("*"&amp;$D72&amp;"_2688"&amp;$A72&amp;"*"&amp;$B72,SavingsCalcs!$B$5:$M$148,H$8,FALSE)*$C$4,VLOOKUP("*"&amp;$D72&amp;"_5000"&amp;$A72&amp;"*"&amp;$B72,SavingsCalcs!$B$5:$M$148,H$8,FALSE))</f>
        <v>2318.4327623624999</v>
      </c>
      <c r="I72" s="247">
        <f>IF($C72="nwproto",VLOOKUP("*"&amp;$D72&amp;"_1568"&amp;$A72&amp;"*"&amp;$B72,SavingsCalcs!$B$5:$M$148,I$8,FALSE)*$C$2+VLOOKUP("*"&amp;$D72&amp;"_2200"&amp;$A72&amp;"*"&amp;$B72,SavingsCalcs!$B$5:$M$148,I$8,FALSE)*$C$3+VLOOKUP("*"&amp;$D72&amp;"_2688"&amp;$A72&amp;"*"&amp;$B72,SavingsCalcs!$B$5:$M$148,I$8,FALSE)*$C$4,VLOOKUP("*"&amp;$D72&amp;"_5000"&amp;$A72&amp;"*"&amp;$B72,SavingsCalcs!$B$5:$M$148,I$8,FALSE))</f>
        <v>54.876734813348762</v>
      </c>
      <c r="J72" s="248">
        <f>IF($C72="nwproto",VLOOKUP("*"&amp;$D72&amp;"_1568"&amp;$A72&amp;"*"&amp;$B72,SavingsCalcs!$B$5:$M$148,J$8,FALSE)*$C$2+VLOOKUP("*"&amp;$D72&amp;"_2200"&amp;$A72&amp;"*"&amp;$B72,SavingsCalcs!$B$5:$M$148,J$8,FALSE)*$C$3+VLOOKUP("*"&amp;$D72&amp;"_2688"&amp;$A72&amp;"*"&amp;$B72,SavingsCalcs!$B$5:$M$148,J$8,FALSE)*$C$4,VLOOKUP("*"&amp;$D72&amp;"_5000"&amp;$A72&amp;"*"&amp;$B72,SavingsCalcs!$B$5:$M$148,J$8,FALSE))</f>
        <v>14478.166725000003</v>
      </c>
      <c r="K72" s="248">
        <f>IF($C72="nwproto",VLOOKUP("*"&amp;$D72&amp;"_1568"&amp;$A72&amp;"*"&amp;$B72,SavingsCalcs!$B$5:$M$148,K$8,FALSE)*$C$2+VLOOKUP("*"&amp;$D72&amp;"_2200"&amp;$A72&amp;"*"&amp;$B72,SavingsCalcs!$B$5:$M$148,K$8,FALSE)*$C$3+VLOOKUP("*"&amp;$D72&amp;"_2688"&amp;$A72&amp;"*"&amp;$B72,SavingsCalcs!$B$5:$M$148,K$8,FALSE)*$C$4,VLOOKUP("*"&amp;$D72&amp;"_5000"&amp;$A72&amp;"*"&amp;$B72,SavingsCalcs!$B$5:$M$148,K$8,FALSE))</f>
        <v>1000</v>
      </c>
      <c r="L72" s="248"/>
      <c r="M72" s="9" t="str">
        <f>SavingsCalcs!B67</f>
        <v>NWHZ2CZ3_5000n_35gshp_des0</v>
      </c>
      <c r="N72" s="9" t="str">
        <f t="shared" si="1"/>
        <v>e_nwprotoHZ3CZ3des1</v>
      </c>
    </row>
    <row r="73" spans="1:14">
      <c r="A73" s="220" t="s">
        <v>961</v>
      </c>
      <c r="B73" s="220" t="s">
        <v>960</v>
      </c>
      <c r="C73" s="220" t="s">
        <v>959</v>
      </c>
      <c r="D73" s="220" t="s">
        <v>950</v>
      </c>
      <c r="E73" s="220" t="str">
        <f t="shared" si="0"/>
        <v>Ground Source Heat Pump Upgrade from Air Source Heat Pump - With Desuperheater - Existing House 4000 square feet or greater - Heating Zone 1 - Cooling Zone 1</v>
      </c>
      <c r="F73" s="247">
        <f>IF($C73="nwproto",VLOOKUP("*"&amp;$D73&amp;"_1568"&amp;$A73&amp;"*"&amp;$B73,SavingsCalcs!$B$5:$M$148,F$8,FALSE)*$C$2+VLOOKUP("*"&amp;$D73&amp;"_2200"&amp;$A73&amp;"*"&amp;$B73,SavingsCalcs!$B$5:$M$148,F$8,FALSE)*$C$3+VLOOKUP("*"&amp;$D73&amp;"_2688"&amp;$A73&amp;"*"&amp;$B73,SavingsCalcs!$B$5:$M$148,F$8,FALSE)*$C$4,VLOOKUP("*"&amp;$D73&amp;"_5000"&amp;$A73&amp;"*"&amp;$B73,SavingsCalcs!$B$5:$M$148,F$8,FALSE))</f>
        <v>1132.4234015861102</v>
      </c>
      <c r="G73" s="247">
        <f>IF($C73="nwproto",VLOOKUP("*"&amp;$D73&amp;"_1568"&amp;$A73&amp;"*"&amp;$B73,SavingsCalcs!$B$5:$M$148,G$8,FALSE)*$C$2+VLOOKUP("*"&amp;$D73&amp;"_2200"&amp;$A73&amp;"*"&amp;$B73,SavingsCalcs!$B$5:$M$148,G$8,FALSE)*$C$3+VLOOKUP("*"&amp;$D73&amp;"_2688"&amp;$A73&amp;"*"&amp;$B73,SavingsCalcs!$B$5:$M$148,G$8,FALSE)*$C$4,VLOOKUP("*"&amp;$D73&amp;"_5000"&amp;$A73&amp;"*"&amp;$B73,SavingsCalcs!$B$5:$M$148,G$8,FALSE))</f>
        <v>61.380484749999994</v>
      </c>
      <c r="H73" s="247">
        <f>IF($C73="nwproto",VLOOKUP("*"&amp;$D73&amp;"_1568"&amp;$A73&amp;"*"&amp;$B73,SavingsCalcs!$B$5:$M$148,H$8,FALSE)*$C$2+VLOOKUP("*"&amp;$D73&amp;"_2200"&amp;$A73&amp;"*"&amp;$B73,SavingsCalcs!$B$5:$M$148,H$8,FALSE)*$C$3+VLOOKUP("*"&amp;$D73&amp;"_2688"&amp;$A73&amp;"*"&amp;$B73,SavingsCalcs!$B$5:$M$148,H$8,FALSE)*$C$4,VLOOKUP("*"&amp;$D73&amp;"_5000"&amp;$A73&amp;"*"&amp;$B73,SavingsCalcs!$B$5:$M$148,H$8,FALSE))</f>
        <v>1616.9923642499998</v>
      </c>
      <c r="I73" s="247">
        <f>IF($C73="nwproto",VLOOKUP("*"&amp;$D73&amp;"_1568"&amp;$A73&amp;"*"&amp;$B73,SavingsCalcs!$B$5:$M$148,I$8,FALSE)*$C$2+VLOOKUP("*"&amp;$D73&amp;"_2200"&amp;$A73&amp;"*"&amp;$B73,SavingsCalcs!$B$5:$M$148,I$8,FALSE)*$C$3+VLOOKUP("*"&amp;$D73&amp;"_2688"&amp;$A73&amp;"*"&amp;$B73,SavingsCalcs!$B$5:$M$148,I$8,FALSE)*$C$4,VLOOKUP("*"&amp;$D73&amp;"_5000"&amp;$A73&amp;"*"&amp;$B73,SavingsCalcs!$B$5:$M$148,I$8,FALSE))</f>
        <v>92.390941923862698</v>
      </c>
      <c r="J73" s="248">
        <f>IF($C73="nwproto",VLOOKUP("*"&amp;$D73&amp;"_1568"&amp;$A73&amp;"*"&amp;$B73,SavingsCalcs!$B$5:$M$148,J$8,FALSE)*$C$2+VLOOKUP("*"&amp;$D73&amp;"_2200"&amp;$A73&amp;"*"&amp;$B73,SavingsCalcs!$B$5:$M$148,J$8,FALSE)*$C$3+VLOOKUP("*"&amp;$D73&amp;"_2688"&amp;$A73&amp;"*"&amp;$B73,SavingsCalcs!$B$5:$M$148,J$8,FALSE)*$C$4,VLOOKUP("*"&amp;$D73&amp;"_5000"&amp;$A73&amp;"*"&amp;$B73,SavingsCalcs!$B$5:$M$148,J$8,FALSE))</f>
        <v>6948.3720000000003</v>
      </c>
      <c r="K73" s="248">
        <f>IF($C73="nwproto",VLOOKUP("*"&amp;$D73&amp;"_1568"&amp;$A73&amp;"*"&amp;$B73,SavingsCalcs!$B$5:$M$148,K$8,FALSE)*$C$2+VLOOKUP("*"&amp;$D73&amp;"_2200"&amp;$A73&amp;"*"&amp;$B73,SavingsCalcs!$B$5:$M$148,K$8,FALSE)*$C$3+VLOOKUP("*"&amp;$D73&amp;"_2688"&amp;$A73&amp;"*"&amp;$B73,SavingsCalcs!$B$5:$M$148,K$8,FALSE)*$C$4,VLOOKUP("*"&amp;$D73&amp;"_5000"&amp;$A73&amp;"*"&amp;$B73,SavingsCalcs!$B$5:$M$148,K$8,FALSE))</f>
        <v>1000</v>
      </c>
      <c r="L73" s="248"/>
      <c r="M73" s="9" t="str">
        <f>SavingsCalcs!B68</f>
        <v>WxHZ2CZ1_5000e_40gshp_des0</v>
      </c>
      <c r="N73" s="9" t="str">
        <f t="shared" si="1"/>
        <v>e_&gt;4000HZ1CZ1des1</v>
      </c>
    </row>
    <row r="74" spans="1:14">
      <c r="A74" s="220" t="s">
        <v>961</v>
      </c>
      <c r="B74" s="220" t="s">
        <v>960</v>
      </c>
      <c r="C74" s="220" t="s">
        <v>959</v>
      </c>
      <c r="D74" s="220" t="s">
        <v>951</v>
      </c>
      <c r="E74" s="220" t="str">
        <f t="shared" si="0"/>
        <v>Ground Source Heat Pump Upgrade from Air Source Heat Pump - With Desuperheater - Existing House 4000 square feet or greater - Heating Zone 1 - Cooling Zone 2</v>
      </c>
      <c r="F74" s="247">
        <f>IF($C74="nwproto",VLOOKUP("*"&amp;$D74&amp;"_1568"&amp;$A74&amp;"*"&amp;$B74,SavingsCalcs!$B$5:$M$148,F$8,FALSE)*$C$2+VLOOKUP("*"&amp;$D74&amp;"_2200"&amp;$A74&amp;"*"&amp;$B74,SavingsCalcs!$B$5:$M$148,F$8,FALSE)*$C$3+VLOOKUP("*"&amp;$D74&amp;"_2688"&amp;$A74&amp;"*"&amp;$B74,SavingsCalcs!$B$5:$M$148,F$8,FALSE)*$C$4,VLOOKUP("*"&amp;$D74&amp;"_5000"&amp;$A74&amp;"*"&amp;$B74,SavingsCalcs!$B$5:$M$148,F$8,FALSE))</f>
        <v>1132.4234015861102</v>
      </c>
      <c r="G74" s="247">
        <f>IF($C74="nwproto",VLOOKUP("*"&amp;$D74&amp;"_1568"&amp;$A74&amp;"*"&amp;$B74,SavingsCalcs!$B$5:$M$148,G$8,FALSE)*$C$2+VLOOKUP("*"&amp;$D74&amp;"_2200"&amp;$A74&amp;"*"&amp;$B74,SavingsCalcs!$B$5:$M$148,G$8,FALSE)*$C$3+VLOOKUP("*"&amp;$D74&amp;"_2688"&amp;$A74&amp;"*"&amp;$B74,SavingsCalcs!$B$5:$M$148,G$8,FALSE)*$C$4,VLOOKUP("*"&amp;$D74&amp;"_5000"&amp;$A74&amp;"*"&amp;$B74,SavingsCalcs!$B$5:$M$148,G$8,FALSE))</f>
        <v>181.79869203571423</v>
      </c>
      <c r="H74" s="247">
        <f>IF($C74="nwproto",VLOOKUP("*"&amp;$D74&amp;"_1568"&amp;$A74&amp;"*"&amp;$B74,SavingsCalcs!$B$5:$M$148,H$8,FALSE)*$C$2+VLOOKUP("*"&amp;$D74&amp;"_2200"&amp;$A74&amp;"*"&amp;$B74,SavingsCalcs!$B$5:$M$148,H$8,FALSE)*$C$3+VLOOKUP("*"&amp;$D74&amp;"_2688"&amp;$A74&amp;"*"&amp;$B74,SavingsCalcs!$B$5:$M$148,H$8,FALSE)*$C$4,VLOOKUP("*"&amp;$D74&amp;"_5000"&amp;$A74&amp;"*"&amp;$B74,SavingsCalcs!$B$5:$M$148,H$8,FALSE))</f>
        <v>1616.9923642499998</v>
      </c>
      <c r="I74" s="247">
        <f>IF($C74="nwproto",VLOOKUP("*"&amp;$D74&amp;"_1568"&amp;$A74&amp;"*"&amp;$B74,SavingsCalcs!$B$5:$M$148,I$8,FALSE)*$C$2+VLOOKUP("*"&amp;$D74&amp;"_2200"&amp;$A74&amp;"*"&amp;$B74,SavingsCalcs!$B$5:$M$148,I$8,FALSE)*$C$3+VLOOKUP("*"&amp;$D74&amp;"_2688"&amp;$A74&amp;"*"&amp;$B74,SavingsCalcs!$B$5:$M$148,I$8,FALSE)*$C$4,VLOOKUP("*"&amp;$D74&amp;"_5000"&amp;$A74&amp;"*"&amp;$B74,SavingsCalcs!$B$5:$M$148,I$8,FALSE))</f>
        <v>92.390941923862698</v>
      </c>
      <c r="J74" s="248">
        <f>IF($C74="nwproto",VLOOKUP("*"&amp;$D74&amp;"_1568"&amp;$A74&amp;"*"&amp;$B74,SavingsCalcs!$B$5:$M$148,J$8,FALSE)*$C$2+VLOOKUP("*"&amp;$D74&amp;"_2200"&amp;$A74&amp;"*"&amp;$B74,SavingsCalcs!$B$5:$M$148,J$8,FALSE)*$C$3+VLOOKUP("*"&amp;$D74&amp;"_2688"&amp;$A74&amp;"*"&amp;$B74,SavingsCalcs!$B$5:$M$148,J$8,FALSE)*$C$4,VLOOKUP("*"&amp;$D74&amp;"_5000"&amp;$A74&amp;"*"&amp;$B74,SavingsCalcs!$B$5:$M$148,J$8,FALSE))</f>
        <v>6948.3720000000003</v>
      </c>
      <c r="K74" s="248">
        <f>IF($C74="nwproto",VLOOKUP("*"&amp;$D74&amp;"_1568"&amp;$A74&amp;"*"&amp;$B74,SavingsCalcs!$B$5:$M$148,K$8,FALSE)*$C$2+VLOOKUP("*"&amp;$D74&amp;"_2200"&amp;$A74&amp;"*"&amp;$B74,SavingsCalcs!$B$5:$M$148,K$8,FALSE)*$C$3+VLOOKUP("*"&amp;$D74&amp;"_2688"&amp;$A74&amp;"*"&amp;$B74,SavingsCalcs!$B$5:$M$148,K$8,FALSE)*$C$4,VLOOKUP("*"&amp;$D74&amp;"_5000"&amp;$A74&amp;"*"&amp;$B74,SavingsCalcs!$B$5:$M$148,K$8,FALSE))</f>
        <v>1000</v>
      </c>
      <c r="L74" s="248"/>
      <c r="M74" s="9" t="str">
        <f>SavingsCalcs!B69</f>
        <v>WxHZ2CZ2_5000e_40gshp_des0</v>
      </c>
      <c r="N74" s="9" t="str">
        <f t="shared" si="1"/>
        <v>e_&gt;4000HZ1CZ2des1</v>
      </c>
    </row>
    <row r="75" spans="1:14">
      <c r="A75" s="220" t="s">
        <v>961</v>
      </c>
      <c r="B75" s="220" t="s">
        <v>960</v>
      </c>
      <c r="C75" s="220" t="s">
        <v>959</v>
      </c>
      <c r="D75" s="220" t="s">
        <v>952</v>
      </c>
      <c r="E75" s="220" t="str">
        <f t="shared" ref="E75:E81" si="2">"Ground Source Heat Pump Upgrade from Air Source Heat Pump - "&amp;IF(B75="des0","Without Desuperheater - ","With Desuperheater - ")&amp;IF(A75="n","New House ","Existing House ")&amp;IF(C75="nwproto","less than 4000 square feet - ","4000 square feet or greater - ")&amp;"Heating Zone "&amp;MID(D75,3,1)&amp;" - Cooling Zone "&amp;RIGHT(D75,1)</f>
        <v>Ground Source Heat Pump Upgrade from Air Source Heat Pump - With Desuperheater - Existing House 4000 square feet or greater - Heating Zone 1 - Cooling Zone 3</v>
      </c>
      <c r="F75" s="247">
        <f>IF($C75="nwproto",VLOOKUP("*"&amp;$D75&amp;"_1568"&amp;$A75&amp;"*"&amp;$B75,SavingsCalcs!$B$5:$M$148,F$8,FALSE)*$C$2+VLOOKUP("*"&amp;$D75&amp;"_2200"&amp;$A75&amp;"*"&amp;$B75,SavingsCalcs!$B$5:$M$148,F$8,FALSE)*$C$3+VLOOKUP("*"&amp;$D75&amp;"_2688"&amp;$A75&amp;"*"&amp;$B75,SavingsCalcs!$B$5:$M$148,F$8,FALSE)*$C$4,VLOOKUP("*"&amp;$D75&amp;"_5000"&amp;$A75&amp;"*"&amp;$B75,SavingsCalcs!$B$5:$M$148,F$8,FALSE))</f>
        <v>1132.4234015861102</v>
      </c>
      <c r="G75" s="247">
        <f>IF($C75="nwproto",VLOOKUP("*"&amp;$D75&amp;"_1568"&amp;$A75&amp;"*"&amp;$B75,SavingsCalcs!$B$5:$M$148,G$8,FALSE)*$C$2+VLOOKUP("*"&amp;$D75&amp;"_2200"&amp;$A75&amp;"*"&amp;$B75,SavingsCalcs!$B$5:$M$148,G$8,FALSE)*$C$3+VLOOKUP("*"&amp;$D75&amp;"_2688"&amp;$A75&amp;"*"&amp;$B75,SavingsCalcs!$B$5:$M$148,G$8,FALSE)*$C$4,VLOOKUP("*"&amp;$D75&amp;"_5000"&amp;$A75&amp;"*"&amp;$B75,SavingsCalcs!$B$5:$M$148,G$8,FALSE))</f>
        <v>381.6730038571427</v>
      </c>
      <c r="H75" s="247">
        <f>IF($C75="nwproto",VLOOKUP("*"&amp;$D75&amp;"_1568"&amp;$A75&amp;"*"&amp;$B75,SavingsCalcs!$B$5:$M$148,H$8,FALSE)*$C$2+VLOOKUP("*"&amp;$D75&amp;"_2200"&amp;$A75&amp;"*"&amp;$B75,SavingsCalcs!$B$5:$M$148,H$8,FALSE)*$C$3+VLOOKUP("*"&amp;$D75&amp;"_2688"&amp;$A75&amp;"*"&amp;$B75,SavingsCalcs!$B$5:$M$148,H$8,FALSE)*$C$4,VLOOKUP("*"&amp;$D75&amp;"_5000"&amp;$A75&amp;"*"&amp;$B75,SavingsCalcs!$B$5:$M$148,H$8,FALSE))</f>
        <v>1616.9923642499998</v>
      </c>
      <c r="I75" s="247">
        <f>IF($C75="nwproto",VLOOKUP("*"&amp;$D75&amp;"_1568"&amp;$A75&amp;"*"&amp;$B75,SavingsCalcs!$B$5:$M$148,I$8,FALSE)*$C$2+VLOOKUP("*"&amp;$D75&amp;"_2200"&amp;$A75&amp;"*"&amp;$B75,SavingsCalcs!$B$5:$M$148,I$8,FALSE)*$C$3+VLOOKUP("*"&amp;$D75&amp;"_2688"&amp;$A75&amp;"*"&amp;$B75,SavingsCalcs!$B$5:$M$148,I$8,FALSE)*$C$4,VLOOKUP("*"&amp;$D75&amp;"_5000"&amp;$A75&amp;"*"&amp;$B75,SavingsCalcs!$B$5:$M$148,I$8,FALSE))</f>
        <v>92.390941923862698</v>
      </c>
      <c r="J75" s="248">
        <f>IF($C75="nwproto",VLOOKUP("*"&amp;$D75&amp;"_1568"&amp;$A75&amp;"*"&amp;$B75,SavingsCalcs!$B$5:$M$148,J$8,FALSE)*$C$2+VLOOKUP("*"&amp;$D75&amp;"_2200"&amp;$A75&amp;"*"&amp;$B75,SavingsCalcs!$B$5:$M$148,J$8,FALSE)*$C$3+VLOOKUP("*"&amp;$D75&amp;"_2688"&amp;$A75&amp;"*"&amp;$B75,SavingsCalcs!$B$5:$M$148,J$8,FALSE)*$C$4,VLOOKUP("*"&amp;$D75&amp;"_5000"&amp;$A75&amp;"*"&amp;$B75,SavingsCalcs!$B$5:$M$148,J$8,FALSE))</f>
        <v>6948.3720000000003</v>
      </c>
      <c r="K75" s="248">
        <f>IF($C75="nwproto",VLOOKUP("*"&amp;$D75&amp;"_1568"&amp;$A75&amp;"*"&amp;$B75,SavingsCalcs!$B$5:$M$148,K$8,FALSE)*$C$2+VLOOKUP("*"&amp;$D75&amp;"_2200"&amp;$A75&amp;"*"&amp;$B75,SavingsCalcs!$B$5:$M$148,K$8,FALSE)*$C$3+VLOOKUP("*"&amp;$D75&amp;"_2688"&amp;$A75&amp;"*"&amp;$B75,SavingsCalcs!$B$5:$M$148,K$8,FALSE)*$C$4,VLOOKUP("*"&amp;$D75&amp;"_5000"&amp;$A75&amp;"*"&amp;$B75,SavingsCalcs!$B$5:$M$148,K$8,FALSE))</f>
        <v>1000</v>
      </c>
      <c r="L75" s="248"/>
      <c r="M75" s="9" t="str">
        <f>SavingsCalcs!B70</f>
        <v>WxHZ2CZ3_5000e_40gshp_des0</v>
      </c>
      <c r="N75" s="9" t="str">
        <f t="shared" ref="N75:N81" si="3">A75&amp;"_"&amp;C75&amp;D75&amp;B75</f>
        <v>e_&gt;4000HZ1CZ3des1</v>
      </c>
    </row>
    <row r="76" spans="1:14">
      <c r="A76" s="220" t="s">
        <v>961</v>
      </c>
      <c r="B76" s="220" t="s">
        <v>960</v>
      </c>
      <c r="C76" s="220" t="s">
        <v>959</v>
      </c>
      <c r="D76" s="220" t="s">
        <v>953</v>
      </c>
      <c r="E76" s="220" t="str">
        <f t="shared" si="2"/>
        <v>Ground Source Heat Pump Upgrade from Air Source Heat Pump - With Desuperheater - Existing House 4000 square feet or greater - Heating Zone 2 - Cooling Zone 1</v>
      </c>
      <c r="F76" s="247">
        <f>IF($C76="nwproto",VLOOKUP("*"&amp;$D76&amp;"_1568"&amp;$A76&amp;"*"&amp;$B76,SavingsCalcs!$B$5:$M$148,F$8,FALSE)*$C$2+VLOOKUP("*"&amp;$D76&amp;"_2200"&amp;$A76&amp;"*"&amp;$B76,SavingsCalcs!$B$5:$M$148,F$8,FALSE)*$C$3+VLOOKUP("*"&amp;$D76&amp;"_2688"&amp;$A76&amp;"*"&amp;$B76,SavingsCalcs!$B$5:$M$148,F$8,FALSE)*$C$4,VLOOKUP("*"&amp;$D76&amp;"_5000"&amp;$A76&amp;"*"&amp;$B76,SavingsCalcs!$B$5:$M$148,F$8,FALSE))</f>
        <v>2869.5671714844666</v>
      </c>
      <c r="G76" s="247">
        <f>IF($C76="nwproto",VLOOKUP("*"&amp;$D76&amp;"_1568"&amp;$A76&amp;"*"&amp;$B76,SavingsCalcs!$B$5:$M$148,G$8,FALSE)*$C$2+VLOOKUP("*"&amp;$D76&amp;"_2200"&amp;$A76&amp;"*"&amp;$B76,SavingsCalcs!$B$5:$M$148,G$8,FALSE)*$C$3+VLOOKUP("*"&amp;$D76&amp;"_2688"&amp;$A76&amp;"*"&amp;$B76,SavingsCalcs!$B$5:$M$148,G$8,FALSE)*$C$4,VLOOKUP("*"&amp;$D76&amp;"_5000"&amp;$A76&amp;"*"&amp;$B76,SavingsCalcs!$B$5:$M$148,G$8,FALSE))</f>
        <v>61.380484749999994</v>
      </c>
      <c r="H76" s="247">
        <f>IF($C76="nwproto",VLOOKUP("*"&amp;$D76&amp;"_1568"&amp;$A76&amp;"*"&amp;$B76,SavingsCalcs!$B$5:$M$148,H$8,FALSE)*$C$2+VLOOKUP("*"&amp;$D76&amp;"_2200"&amp;$A76&amp;"*"&amp;$B76,SavingsCalcs!$B$5:$M$148,H$8,FALSE)*$C$3+VLOOKUP("*"&amp;$D76&amp;"_2688"&amp;$A76&amp;"*"&amp;$B76,SavingsCalcs!$B$5:$M$148,H$8,FALSE)*$C$4,VLOOKUP("*"&amp;$D76&amp;"_5000"&amp;$A76&amp;"*"&amp;$B76,SavingsCalcs!$B$5:$M$148,H$8,FALSE))</f>
        <v>2215.71985425</v>
      </c>
      <c r="I76" s="247">
        <f>IF($C76="nwproto",VLOOKUP("*"&amp;$D76&amp;"_1568"&amp;$A76&amp;"*"&amp;$B76,SavingsCalcs!$B$5:$M$148,I$8,FALSE)*$C$2+VLOOKUP("*"&amp;$D76&amp;"_2200"&amp;$A76&amp;"*"&amp;$B76,SavingsCalcs!$B$5:$M$148,I$8,FALSE)*$C$3+VLOOKUP("*"&amp;$D76&amp;"_2688"&amp;$A76&amp;"*"&amp;$B76,SavingsCalcs!$B$5:$M$148,I$8,FALSE)*$C$4,VLOOKUP("*"&amp;$D76&amp;"_5000"&amp;$A76&amp;"*"&amp;$B76,SavingsCalcs!$B$5:$M$148,I$8,FALSE))</f>
        <v>91.198641469819933</v>
      </c>
      <c r="J76" s="248">
        <f>IF($C76="nwproto",VLOOKUP("*"&amp;$D76&amp;"_1568"&amp;$A76&amp;"*"&amp;$B76,SavingsCalcs!$B$5:$M$148,J$8,FALSE)*$C$2+VLOOKUP("*"&amp;$D76&amp;"_2200"&amp;$A76&amp;"*"&amp;$B76,SavingsCalcs!$B$5:$M$148,J$8,FALSE)*$C$3+VLOOKUP("*"&amp;$D76&amp;"_2688"&amp;$A76&amp;"*"&amp;$B76,SavingsCalcs!$B$5:$M$148,J$8,FALSE)*$C$4,VLOOKUP("*"&amp;$D76&amp;"_5000"&amp;$A76&amp;"*"&amp;$B76,SavingsCalcs!$B$5:$M$148,J$8,FALSE))</f>
        <v>13713.364000000003</v>
      </c>
      <c r="K76" s="248">
        <f>IF($C76="nwproto",VLOOKUP("*"&amp;$D76&amp;"_1568"&amp;$A76&amp;"*"&amp;$B76,SavingsCalcs!$B$5:$M$148,K$8,FALSE)*$C$2+VLOOKUP("*"&amp;$D76&amp;"_2200"&amp;$A76&amp;"*"&amp;$B76,SavingsCalcs!$B$5:$M$148,K$8,FALSE)*$C$3+VLOOKUP("*"&amp;$D76&amp;"_2688"&amp;$A76&amp;"*"&amp;$B76,SavingsCalcs!$B$5:$M$148,K$8,FALSE)*$C$4,VLOOKUP("*"&amp;$D76&amp;"_5000"&amp;$A76&amp;"*"&amp;$B76,SavingsCalcs!$B$5:$M$148,K$8,FALSE))</f>
        <v>1000</v>
      </c>
      <c r="L76" s="248"/>
      <c r="M76" s="9" t="str">
        <f>SavingsCalcs!B71</f>
        <v>NWHZ3CZ1_5000n_35gshp_des0</v>
      </c>
      <c r="N76" s="9" t="str">
        <f t="shared" si="3"/>
        <v>e_&gt;4000HZ2CZ1des1</v>
      </c>
    </row>
    <row r="77" spans="1:14">
      <c r="A77" s="220" t="s">
        <v>961</v>
      </c>
      <c r="B77" s="220" t="s">
        <v>960</v>
      </c>
      <c r="C77" s="220" t="s">
        <v>959</v>
      </c>
      <c r="D77" s="220" t="s">
        <v>954</v>
      </c>
      <c r="E77" s="220" t="str">
        <f t="shared" si="2"/>
        <v>Ground Source Heat Pump Upgrade from Air Source Heat Pump - With Desuperheater - Existing House 4000 square feet or greater - Heating Zone 2 - Cooling Zone 2</v>
      </c>
      <c r="F77" s="247">
        <f>IF($C77="nwproto",VLOOKUP("*"&amp;$D77&amp;"_1568"&amp;$A77&amp;"*"&amp;$B77,SavingsCalcs!$B$5:$M$148,F$8,FALSE)*$C$2+VLOOKUP("*"&amp;$D77&amp;"_2200"&amp;$A77&amp;"*"&amp;$B77,SavingsCalcs!$B$5:$M$148,F$8,FALSE)*$C$3+VLOOKUP("*"&amp;$D77&amp;"_2688"&amp;$A77&amp;"*"&amp;$B77,SavingsCalcs!$B$5:$M$148,F$8,FALSE)*$C$4,VLOOKUP("*"&amp;$D77&amp;"_5000"&amp;$A77&amp;"*"&amp;$B77,SavingsCalcs!$B$5:$M$148,F$8,FALSE))</f>
        <v>2869.5671714844666</v>
      </c>
      <c r="G77" s="247">
        <f>IF($C77="nwproto",VLOOKUP("*"&amp;$D77&amp;"_1568"&amp;$A77&amp;"*"&amp;$B77,SavingsCalcs!$B$5:$M$148,G$8,FALSE)*$C$2+VLOOKUP("*"&amp;$D77&amp;"_2200"&amp;$A77&amp;"*"&amp;$B77,SavingsCalcs!$B$5:$M$148,G$8,FALSE)*$C$3+VLOOKUP("*"&amp;$D77&amp;"_2688"&amp;$A77&amp;"*"&amp;$B77,SavingsCalcs!$B$5:$M$148,G$8,FALSE)*$C$4,VLOOKUP("*"&amp;$D77&amp;"_5000"&amp;$A77&amp;"*"&amp;$B77,SavingsCalcs!$B$5:$M$148,G$8,FALSE))</f>
        <v>181.79869203571423</v>
      </c>
      <c r="H77" s="247">
        <f>IF($C77="nwproto",VLOOKUP("*"&amp;$D77&amp;"_1568"&amp;$A77&amp;"*"&amp;$B77,SavingsCalcs!$B$5:$M$148,H$8,FALSE)*$C$2+VLOOKUP("*"&amp;$D77&amp;"_2200"&amp;$A77&amp;"*"&amp;$B77,SavingsCalcs!$B$5:$M$148,H$8,FALSE)*$C$3+VLOOKUP("*"&amp;$D77&amp;"_2688"&amp;$A77&amp;"*"&amp;$B77,SavingsCalcs!$B$5:$M$148,H$8,FALSE)*$C$4,VLOOKUP("*"&amp;$D77&amp;"_5000"&amp;$A77&amp;"*"&amp;$B77,SavingsCalcs!$B$5:$M$148,H$8,FALSE))</f>
        <v>2215.71985425</v>
      </c>
      <c r="I77" s="247">
        <f>IF($C77="nwproto",VLOOKUP("*"&amp;$D77&amp;"_1568"&amp;$A77&amp;"*"&amp;$B77,SavingsCalcs!$B$5:$M$148,I$8,FALSE)*$C$2+VLOOKUP("*"&amp;$D77&amp;"_2200"&amp;$A77&amp;"*"&amp;$B77,SavingsCalcs!$B$5:$M$148,I$8,FALSE)*$C$3+VLOOKUP("*"&amp;$D77&amp;"_2688"&amp;$A77&amp;"*"&amp;$B77,SavingsCalcs!$B$5:$M$148,I$8,FALSE)*$C$4,VLOOKUP("*"&amp;$D77&amp;"_5000"&amp;$A77&amp;"*"&amp;$B77,SavingsCalcs!$B$5:$M$148,I$8,FALSE))</f>
        <v>91.198641469819933</v>
      </c>
      <c r="J77" s="248">
        <f>IF($C77="nwproto",VLOOKUP("*"&amp;$D77&amp;"_1568"&amp;$A77&amp;"*"&amp;$B77,SavingsCalcs!$B$5:$M$148,J$8,FALSE)*$C$2+VLOOKUP("*"&amp;$D77&amp;"_2200"&amp;$A77&amp;"*"&amp;$B77,SavingsCalcs!$B$5:$M$148,J$8,FALSE)*$C$3+VLOOKUP("*"&amp;$D77&amp;"_2688"&amp;$A77&amp;"*"&amp;$B77,SavingsCalcs!$B$5:$M$148,J$8,FALSE)*$C$4,VLOOKUP("*"&amp;$D77&amp;"_5000"&amp;$A77&amp;"*"&amp;$B77,SavingsCalcs!$B$5:$M$148,J$8,FALSE))</f>
        <v>13713.364000000003</v>
      </c>
      <c r="K77" s="248">
        <f>IF($C77="nwproto",VLOOKUP("*"&amp;$D77&amp;"_1568"&amp;$A77&amp;"*"&amp;$B77,SavingsCalcs!$B$5:$M$148,K$8,FALSE)*$C$2+VLOOKUP("*"&amp;$D77&amp;"_2200"&amp;$A77&amp;"*"&amp;$B77,SavingsCalcs!$B$5:$M$148,K$8,FALSE)*$C$3+VLOOKUP("*"&amp;$D77&amp;"_2688"&amp;$A77&amp;"*"&amp;$B77,SavingsCalcs!$B$5:$M$148,K$8,FALSE)*$C$4,VLOOKUP("*"&amp;$D77&amp;"_5000"&amp;$A77&amp;"*"&amp;$B77,SavingsCalcs!$B$5:$M$148,K$8,FALSE))</f>
        <v>1000</v>
      </c>
      <c r="L77" s="248"/>
      <c r="M77" s="9" t="str">
        <f>SavingsCalcs!B72</f>
        <v>NWHZ3CZ2_5000n_35gshp_des0</v>
      </c>
      <c r="N77" s="9" t="str">
        <f t="shared" si="3"/>
        <v>e_&gt;4000HZ2CZ2des1</v>
      </c>
    </row>
    <row r="78" spans="1:14">
      <c r="A78" s="220" t="s">
        <v>961</v>
      </c>
      <c r="B78" s="220" t="s">
        <v>960</v>
      </c>
      <c r="C78" s="220" t="s">
        <v>959</v>
      </c>
      <c r="D78" s="220" t="s">
        <v>955</v>
      </c>
      <c r="E78" s="220" t="str">
        <f t="shared" si="2"/>
        <v>Ground Source Heat Pump Upgrade from Air Source Heat Pump - With Desuperheater - Existing House 4000 square feet or greater - Heating Zone 2 - Cooling Zone 3</v>
      </c>
      <c r="F78" s="247">
        <f>IF($C78="nwproto",VLOOKUP("*"&amp;$D78&amp;"_1568"&amp;$A78&amp;"*"&amp;$B78,SavingsCalcs!$B$5:$M$148,F$8,FALSE)*$C$2+VLOOKUP("*"&amp;$D78&amp;"_2200"&amp;$A78&amp;"*"&amp;$B78,SavingsCalcs!$B$5:$M$148,F$8,FALSE)*$C$3+VLOOKUP("*"&amp;$D78&amp;"_2688"&amp;$A78&amp;"*"&amp;$B78,SavingsCalcs!$B$5:$M$148,F$8,FALSE)*$C$4,VLOOKUP("*"&amp;$D78&amp;"_5000"&amp;$A78&amp;"*"&amp;$B78,SavingsCalcs!$B$5:$M$148,F$8,FALSE))</f>
        <v>2869.5671714844666</v>
      </c>
      <c r="G78" s="247">
        <f>IF($C78="nwproto",VLOOKUP("*"&amp;$D78&amp;"_1568"&amp;$A78&amp;"*"&amp;$B78,SavingsCalcs!$B$5:$M$148,G$8,FALSE)*$C$2+VLOOKUP("*"&amp;$D78&amp;"_2200"&amp;$A78&amp;"*"&amp;$B78,SavingsCalcs!$B$5:$M$148,G$8,FALSE)*$C$3+VLOOKUP("*"&amp;$D78&amp;"_2688"&amp;$A78&amp;"*"&amp;$B78,SavingsCalcs!$B$5:$M$148,G$8,FALSE)*$C$4,VLOOKUP("*"&amp;$D78&amp;"_5000"&amp;$A78&amp;"*"&amp;$B78,SavingsCalcs!$B$5:$M$148,G$8,FALSE))</f>
        <v>381.6730038571427</v>
      </c>
      <c r="H78" s="247">
        <f>IF($C78="nwproto",VLOOKUP("*"&amp;$D78&amp;"_1568"&amp;$A78&amp;"*"&amp;$B78,SavingsCalcs!$B$5:$M$148,H$8,FALSE)*$C$2+VLOOKUP("*"&amp;$D78&amp;"_2200"&amp;$A78&amp;"*"&amp;$B78,SavingsCalcs!$B$5:$M$148,H$8,FALSE)*$C$3+VLOOKUP("*"&amp;$D78&amp;"_2688"&amp;$A78&amp;"*"&amp;$B78,SavingsCalcs!$B$5:$M$148,H$8,FALSE)*$C$4,VLOOKUP("*"&amp;$D78&amp;"_5000"&amp;$A78&amp;"*"&amp;$B78,SavingsCalcs!$B$5:$M$148,H$8,FALSE))</f>
        <v>2215.71985425</v>
      </c>
      <c r="I78" s="247">
        <f>IF($C78="nwproto",VLOOKUP("*"&amp;$D78&amp;"_1568"&amp;$A78&amp;"*"&amp;$B78,SavingsCalcs!$B$5:$M$148,I$8,FALSE)*$C$2+VLOOKUP("*"&amp;$D78&amp;"_2200"&amp;$A78&amp;"*"&amp;$B78,SavingsCalcs!$B$5:$M$148,I$8,FALSE)*$C$3+VLOOKUP("*"&amp;$D78&amp;"_2688"&amp;$A78&amp;"*"&amp;$B78,SavingsCalcs!$B$5:$M$148,I$8,FALSE)*$C$4,VLOOKUP("*"&amp;$D78&amp;"_5000"&amp;$A78&amp;"*"&amp;$B78,SavingsCalcs!$B$5:$M$148,I$8,FALSE))</f>
        <v>91.198641469819933</v>
      </c>
      <c r="J78" s="248">
        <f>IF($C78="nwproto",VLOOKUP("*"&amp;$D78&amp;"_1568"&amp;$A78&amp;"*"&amp;$B78,SavingsCalcs!$B$5:$M$148,J$8,FALSE)*$C$2+VLOOKUP("*"&amp;$D78&amp;"_2200"&amp;$A78&amp;"*"&amp;$B78,SavingsCalcs!$B$5:$M$148,J$8,FALSE)*$C$3+VLOOKUP("*"&amp;$D78&amp;"_2688"&amp;$A78&amp;"*"&amp;$B78,SavingsCalcs!$B$5:$M$148,J$8,FALSE)*$C$4,VLOOKUP("*"&amp;$D78&amp;"_5000"&amp;$A78&amp;"*"&amp;$B78,SavingsCalcs!$B$5:$M$148,J$8,FALSE))</f>
        <v>13713.364000000003</v>
      </c>
      <c r="K78" s="248">
        <f>IF($C78="nwproto",VLOOKUP("*"&amp;$D78&amp;"_1568"&amp;$A78&amp;"*"&amp;$B78,SavingsCalcs!$B$5:$M$148,K$8,FALSE)*$C$2+VLOOKUP("*"&amp;$D78&amp;"_2200"&amp;$A78&amp;"*"&amp;$B78,SavingsCalcs!$B$5:$M$148,K$8,FALSE)*$C$3+VLOOKUP("*"&amp;$D78&amp;"_2688"&amp;$A78&amp;"*"&amp;$B78,SavingsCalcs!$B$5:$M$148,K$8,FALSE)*$C$4,VLOOKUP("*"&amp;$D78&amp;"_5000"&amp;$A78&amp;"*"&amp;$B78,SavingsCalcs!$B$5:$M$148,K$8,FALSE))</f>
        <v>1000</v>
      </c>
      <c r="L78" s="248"/>
      <c r="M78" s="9" t="str">
        <f>SavingsCalcs!B73</f>
        <v>NWHZ3CZ3_5000n_35gshp_des0</v>
      </c>
      <c r="N78" s="9" t="str">
        <f t="shared" si="3"/>
        <v>e_&gt;4000HZ2CZ3des1</v>
      </c>
    </row>
    <row r="79" spans="1:14">
      <c r="A79" s="220" t="s">
        <v>961</v>
      </c>
      <c r="B79" s="220" t="s">
        <v>960</v>
      </c>
      <c r="C79" s="220" t="s">
        <v>959</v>
      </c>
      <c r="D79" s="220" t="s">
        <v>956</v>
      </c>
      <c r="E79" s="220" t="str">
        <f t="shared" si="2"/>
        <v>Ground Source Heat Pump Upgrade from Air Source Heat Pump - With Desuperheater - Existing House 4000 square feet or greater - Heating Zone 3 - Cooling Zone 1</v>
      </c>
      <c r="F79" s="247">
        <f>IF($C79="nwproto",VLOOKUP("*"&amp;$D79&amp;"_1568"&amp;$A79&amp;"*"&amp;$B79,SavingsCalcs!$B$5:$M$148,F$8,FALSE)*$C$2+VLOOKUP("*"&amp;$D79&amp;"_2200"&amp;$A79&amp;"*"&amp;$B79,SavingsCalcs!$B$5:$M$148,F$8,FALSE)*$C$3+VLOOKUP("*"&amp;$D79&amp;"_2688"&amp;$A79&amp;"*"&amp;$B79,SavingsCalcs!$B$5:$M$148,F$8,FALSE)*$C$4,VLOOKUP("*"&amp;$D79&amp;"_5000"&amp;$A79&amp;"*"&amp;$B79,SavingsCalcs!$B$5:$M$148,F$8,FALSE))</f>
        <v>4148.3847787312352</v>
      </c>
      <c r="G79" s="247">
        <f>IF($C79="nwproto",VLOOKUP("*"&amp;$D79&amp;"_1568"&amp;$A79&amp;"*"&amp;$B79,SavingsCalcs!$B$5:$M$148,G$8,FALSE)*$C$2+VLOOKUP("*"&amp;$D79&amp;"_2200"&amp;$A79&amp;"*"&amp;$B79,SavingsCalcs!$B$5:$M$148,G$8,FALSE)*$C$3+VLOOKUP("*"&amp;$D79&amp;"_2688"&amp;$A79&amp;"*"&amp;$B79,SavingsCalcs!$B$5:$M$148,G$8,FALSE)*$C$4,VLOOKUP("*"&amp;$D79&amp;"_5000"&amp;$A79&amp;"*"&amp;$B79,SavingsCalcs!$B$5:$M$148,G$8,FALSE))</f>
        <v>61.380484749999994</v>
      </c>
      <c r="H79" s="247">
        <f>IF($C79="nwproto",VLOOKUP("*"&amp;$D79&amp;"_1568"&amp;$A79&amp;"*"&amp;$B79,SavingsCalcs!$B$5:$M$148,H$8,FALSE)*$C$2+VLOOKUP("*"&amp;$D79&amp;"_2200"&amp;$A79&amp;"*"&amp;$B79,SavingsCalcs!$B$5:$M$148,H$8,FALSE)*$C$3+VLOOKUP("*"&amp;$D79&amp;"_2688"&amp;$A79&amp;"*"&amp;$B79,SavingsCalcs!$B$5:$M$148,H$8,FALSE)*$C$4,VLOOKUP("*"&amp;$D79&amp;"_5000"&amp;$A79&amp;"*"&amp;$B79,SavingsCalcs!$B$5:$M$148,H$8,FALSE))</f>
        <v>2533.68478125</v>
      </c>
      <c r="I79" s="247">
        <f>IF($C79="nwproto",VLOOKUP("*"&amp;$D79&amp;"_1568"&amp;$A79&amp;"*"&amp;$B79,SavingsCalcs!$B$5:$M$148,I$8,FALSE)*$C$2+VLOOKUP("*"&amp;$D79&amp;"_2200"&amp;$A79&amp;"*"&amp;$B79,SavingsCalcs!$B$5:$M$148,I$8,FALSE)*$C$3+VLOOKUP("*"&amp;$D79&amp;"_2688"&amp;$A79&amp;"*"&amp;$B79,SavingsCalcs!$B$5:$M$148,I$8,FALSE)*$C$4,VLOOKUP("*"&amp;$D79&amp;"_5000"&amp;$A79&amp;"*"&amp;$B79,SavingsCalcs!$B$5:$M$148,I$8,FALSE))</f>
        <v>99.587710055462708</v>
      </c>
      <c r="J79" s="248">
        <f>IF($C79="nwproto",VLOOKUP("*"&amp;$D79&amp;"_1568"&amp;$A79&amp;"*"&amp;$B79,SavingsCalcs!$B$5:$M$148,J$8,FALSE)*$C$2+VLOOKUP("*"&amp;$D79&amp;"_2200"&amp;$A79&amp;"*"&amp;$B79,SavingsCalcs!$B$5:$M$148,J$8,FALSE)*$C$3+VLOOKUP("*"&amp;$D79&amp;"_2688"&amp;$A79&amp;"*"&amp;$B79,SavingsCalcs!$B$5:$M$148,J$8,FALSE)*$C$4,VLOOKUP("*"&amp;$D79&amp;"_5000"&amp;$A79&amp;"*"&amp;$B79,SavingsCalcs!$B$5:$M$148,J$8,FALSE))</f>
        <v>22392.255000000005</v>
      </c>
      <c r="K79" s="248">
        <f>IF($C79="nwproto",VLOOKUP("*"&amp;$D79&amp;"_1568"&amp;$A79&amp;"*"&amp;$B79,SavingsCalcs!$B$5:$M$148,K$8,FALSE)*$C$2+VLOOKUP("*"&amp;$D79&amp;"_2200"&amp;$A79&amp;"*"&amp;$B79,SavingsCalcs!$B$5:$M$148,K$8,FALSE)*$C$3+VLOOKUP("*"&amp;$D79&amp;"_2688"&amp;$A79&amp;"*"&amp;$B79,SavingsCalcs!$B$5:$M$148,K$8,FALSE)*$C$4,VLOOKUP("*"&amp;$D79&amp;"_5000"&amp;$A79&amp;"*"&amp;$B79,SavingsCalcs!$B$5:$M$148,K$8,FALSE))</f>
        <v>1000</v>
      </c>
      <c r="L79" s="248"/>
      <c r="M79" s="9" t="str">
        <f>SavingsCalcs!B74</f>
        <v>WxHZ3CZ1_5000e_40gshp_des0</v>
      </c>
      <c r="N79" s="9" t="str">
        <f t="shared" si="3"/>
        <v>e_&gt;4000HZ3CZ1des1</v>
      </c>
    </row>
    <row r="80" spans="1:14">
      <c r="A80" s="220" t="s">
        <v>961</v>
      </c>
      <c r="B80" s="220" t="s">
        <v>960</v>
      </c>
      <c r="C80" s="220" t="s">
        <v>959</v>
      </c>
      <c r="D80" s="220" t="s">
        <v>957</v>
      </c>
      <c r="E80" s="220" t="str">
        <f t="shared" si="2"/>
        <v>Ground Source Heat Pump Upgrade from Air Source Heat Pump - With Desuperheater - Existing House 4000 square feet or greater - Heating Zone 3 - Cooling Zone 2</v>
      </c>
      <c r="F80" s="247">
        <f>IF($C80="nwproto",VLOOKUP("*"&amp;$D80&amp;"_1568"&amp;$A80&amp;"*"&amp;$B80,SavingsCalcs!$B$5:$M$148,F$8,FALSE)*$C$2+VLOOKUP("*"&amp;$D80&amp;"_2200"&amp;$A80&amp;"*"&amp;$B80,SavingsCalcs!$B$5:$M$148,F$8,FALSE)*$C$3+VLOOKUP("*"&amp;$D80&amp;"_2688"&amp;$A80&amp;"*"&amp;$B80,SavingsCalcs!$B$5:$M$148,F$8,FALSE)*$C$4,VLOOKUP("*"&amp;$D80&amp;"_5000"&amp;$A80&amp;"*"&amp;$B80,SavingsCalcs!$B$5:$M$148,F$8,FALSE))</f>
        <v>4148.3847787312352</v>
      </c>
      <c r="G80" s="247">
        <f>IF($C80="nwproto",VLOOKUP("*"&amp;$D80&amp;"_1568"&amp;$A80&amp;"*"&amp;$B80,SavingsCalcs!$B$5:$M$148,G$8,FALSE)*$C$2+VLOOKUP("*"&amp;$D80&amp;"_2200"&amp;$A80&amp;"*"&amp;$B80,SavingsCalcs!$B$5:$M$148,G$8,FALSE)*$C$3+VLOOKUP("*"&amp;$D80&amp;"_2688"&amp;$A80&amp;"*"&amp;$B80,SavingsCalcs!$B$5:$M$148,G$8,FALSE)*$C$4,VLOOKUP("*"&amp;$D80&amp;"_5000"&amp;$A80&amp;"*"&amp;$B80,SavingsCalcs!$B$5:$M$148,G$8,FALSE))</f>
        <v>181.79869203571423</v>
      </c>
      <c r="H80" s="247">
        <f>IF($C80="nwproto",VLOOKUP("*"&amp;$D80&amp;"_1568"&amp;$A80&amp;"*"&amp;$B80,SavingsCalcs!$B$5:$M$148,H$8,FALSE)*$C$2+VLOOKUP("*"&amp;$D80&amp;"_2200"&amp;$A80&amp;"*"&amp;$B80,SavingsCalcs!$B$5:$M$148,H$8,FALSE)*$C$3+VLOOKUP("*"&amp;$D80&amp;"_2688"&amp;$A80&amp;"*"&amp;$B80,SavingsCalcs!$B$5:$M$148,H$8,FALSE)*$C$4,VLOOKUP("*"&amp;$D80&amp;"_5000"&amp;$A80&amp;"*"&amp;$B80,SavingsCalcs!$B$5:$M$148,H$8,FALSE))</f>
        <v>2533.68478125</v>
      </c>
      <c r="I80" s="247">
        <f>IF($C80="nwproto",VLOOKUP("*"&amp;$D80&amp;"_1568"&amp;$A80&amp;"*"&amp;$B80,SavingsCalcs!$B$5:$M$148,I$8,FALSE)*$C$2+VLOOKUP("*"&amp;$D80&amp;"_2200"&amp;$A80&amp;"*"&amp;$B80,SavingsCalcs!$B$5:$M$148,I$8,FALSE)*$C$3+VLOOKUP("*"&amp;$D80&amp;"_2688"&amp;$A80&amp;"*"&amp;$B80,SavingsCalcs!$B$5:$M$148,I$8,FALSE)*$C$4,VLOOKUP("*"&amp;$D80&amp;"_5000"&amp;$A80&amp;"*"&amp;$B80,SavingsCalcs!$B$5:$M$148,I$8,FALSE))</f>
        <v>99.587710055462708</v>
      </c>
      <c r="J80" s="248">
        <f>IF($C80="nwproto",VLOOKUP("*"&amp;$D80&amp;"_1568"&amp;$A80&amp;"*"&amp;$B80,SavingsCalcs!$B$5:$M$148,J$8,FALSE)*$C$2+VLOOKUP("*"&amp;$D80&amp;"_2200"&amp;$A80&amp;"*"&amp;$B80,SavingsCalcs!$B$5:$M$148,J$8,FALSE)*$C$3+VLOOKUP("*"&amp;$D80&amp;"_2688"&amp;$A80&amp;"*"&amp;$B80,SavingsCalcs!$B$5:$M$148,J$8,FALSE)*$C$4,VLOOKUP("*"&amp;$D80&amp;"_5000"&amp;$A80&amp;"*"&amp;$B80,SavingsCalcs!$B$5:$M$148,J$8,FALSE))</f>
        <v>22392.255000000005</v>
      </c>
      <c r="K80" s="248">
        <f>IF($C80="nwproto",VLOOKUP("*"&amp;$D80&amp;"_1568"&amp;$A80&amp;"*"&amp;$B80,SavingsCalcs!$B$5:$M$148,K$8,FALSE)*$C$2+VLOOKUP("*"&amp;$D80&amp;"_2200"&amp;$A80&amp;"*"&amp;$B80,SavingsCalcs!$B$5:$M$148,K$8,FALSE)*$C$3+VLOOKUP("*"&amp;$D80&amp;"_2688"&amp;$A80&amp;"*"&amp;$B80,SavingsCalcs!$B$5:$M$148,K$8,FALSE)*$C$4,VLOOKUP("*"&amp;$D80&amp;"_5000"&amp;$A80&amp;"*"&amp;$B80,SavingsCalcs!$B$5:$M$148,K$8,FALSE))</f>
        <v>1000</v>
      </c>
      <c r="L80" s="248"/>
      <c r="M80" s="9" t="str">
        <f>SavingsCalcs!B75</f>
        <v>WxHZ3CZ2_5000e_40gshp_des0</v>
      </c>
      <c r="N80" s="9" t="str">
        <f t="shared" si="3"/>
        <v>e_&gt;4000HZ3CZ2des1</v>
      </c>
    </row>
    <row r="81" spans="1:14">
      <c r="A81" s="220" t="s">
        <v>961</v>
      </c>
      <c r="B81" s="220" t="s">
        <v>960</v>
      </c>
      <c r="C81" s="220" t="s">
        <v>959</v>
      </c>
      <c r="D81" s="220" t="s">
        <v>958</v>
      </c>
      <c r="E81" s="220" t="str">
        <f t="shared" si="2"/>
        <v>Ground Source Heat Pump Upgrade from Air Source Heat Pump - With Desuperheater - Existing House 4000 square feet or greater - Heating Zone 3 - Cooling Zone 3</v>
      </c>
      <c r="F81" s="247">
        <f>IF($C81="nwproto",VLOOKUP("*"&amp;$D81&amp;"_1568"&amp;$A81&amp;"*"&amp;$B81,SavingsCalcs!$B$5:$M$148,F$8,FALSE)*$C$2+VLOOKUP("*"&amp;$D81&amp;"_2200"&amp;$A81&amp;"*"&amp;$B81,SavingsCalcs!$B$5:$M$148,F$8,FALSE)*$C$3+VLOOKUP("*"&amp;$D81&amp;"_2688"&amp;$A81&amp;"*"&amp;$B81,SavingsCalcs!$B$5:$M$148,F$8,FALSE)*$C$4,VLOOKUP("*"&amp;$D81&amp;"_5000"&amp;$A81&amp;"*"&amp;$B81,SavingsCalcs!$B$5:$M$148,F$8,FALSE))</f>
        <v>4148.3847787312352</v>
      </c>
      <c r="G81" s="247">
        <f>IF($C81="nwproto",VLOOKUP("*"&amp;$D81&amp;"_1568"&amp;$A81&amp;"*"&amp;$B81,SavingsCalcs!$B$5:$M$148,G$8,FALSE)*$C$2+VLOOKUP("*"&amp;$D81&amp;"_2200"&amp;$A81&amp;"*"&amp;$B81,SavingsCalcs!$B$5:$M$148,G$8,FALSE)*$C$3+VLOOKUP("*"&amp;$D81&amp;"_2688"&amp;$A81&amp;"*"&amp;$B81,SavingsCalcs!$B$5:$M$148,G$8,FALSE)*$C$4,VLOOKUP("*"&amp;$D81&amp;"_5000"&amp;$A81&amp;"*"&amp;$B81,SavingsCalcs!$B$5:$M$148,G$8,FALSE))</f>
        <v>381.6730038571427</v>
      </c>
      <c r="H81" s="247">
        <f>IF($C81="nwproto",VLOOKUP("*"&amp;$D81&amp;"_1568"&amp;$A81&amp;"*"&amp;$B81,SavingsCalcs!$B$5:$M$148,H$8,FALSE)*$C$2+VLOOKUP("*"&amp;$D81&amp;"_2200"&amp;$A81&amp;"*"&amp;$B81,SavingsCalcs!$B$5:$M$148,H$8,FALSE)*$C$3+VLOOKUP("*"&amp;$D81&amp;"_2688"&amp;$A81&amp;"*"&amp;$B81,SavingsCalcs!$B$5:$M$148,H$8,FALSE)*$C$4,VLOOKUP("*"&amp;$D81&amp;"_5000"&amp;$A81&amp;"*"&amp;$B81,SavingsCalcs!$B$5:$M$148,H$8,FALSE))</f>
        <v>2533.68478125</v>
      </c>
      <c r="I81" s="247">
        <f>IF($C81="nwproto",VLOOKUP("*"&amp;$D81&amp;"_1568"&amp;$A81&amp;"*"&amp;$B81,SavingsCalcs!$B$5:$M$148,I$8,FALSE)*$C$2+VLOOKUP("*"&amp;$D81&amp;"_2200"&amp;$A81&amp;"*"&amp;$B81,SavingsCalcs!$B$5:$M$148,I$8,FALSE)*$C$3+VLOOKUP("*"&amp;$D81&amp;"_2688"&amp;$A81&amp;"*"&amp;$B81,SavingsCalcs!$B$5:$M$148,I$8,FALSE)*$C$4,VLOOKUP("*"&amp;$D81&amp;"_5000"&amp;$A81&amp;"*"&amp;$B81,SavingsCalcs!$B$5:$M$148,I$8,FALSE))</f>
        <v>99.587710055462708</v>
      </c>
      <c r="J81" s="248">
        <f>IF($C81="nwproto",VLOOKUP("*"&amp;$D81&amp;"_1568"&amp;$A81&amp;"*"&amp;$B81,SavingsCalcs!$B$5:$M$148,J$8,FALSE)*$C$2+VLOOKUP("*"&amp;$D81&amp;"_2200"&amp;$A81&amp;"*"&amp;$B81,SavingsCalcs!$B$5:$M$148,J$8,FALSE)*$C$3+VLOOKUP("*"&amp;$D81&amp;"_2688"&amp;$A81&amp;"*"&amp;$B81,SavingsCalcs!$B$5:$M$148,J$8,FALSE)*$C$4,VLOOKUP("*"&amp;$D81&amp;"_5000"&amp;$A81&amp;"*"&amp;$B81,SavingsCalcs!$B$5:$M$148,J$8,FALSE))</f>
        <v>22392.255000000005</v>
      </c>
      <c r="K81" s="248">
        <f>IF($C81="nwproto",VLOOKUP("*"&amp;$D81&amp;"_1568"&amp;$A81&amp;"*"&amp;$B81,SavingsCalcs!$B$5:$M$148,K$8,FALSE)*$C$2+VLOOKUP("*"&amp;$D81&amp;"_2200"&amp;$A81&amp;"*"&amp;$B81,SavingsCalcs!$B$5:$M$148,K$8,FALSE)*$C$3+VLOOKUP("*"&amp;$D81&amp;"_2688"&amp;$A81&amp;"*"&amp;$B81,SavingsCalcs!$B$5:$M$148,K$8,FALSE)*$C$4,VLOOKUP("*"&amp;$D81&amp;"_5000"&amp;$A81&amp;"*"&amp;$B81,SavingsCalcs!$B$5:$M$148,K$8,FALSE))</f>
        <v>1000</v>
      </c>
      <c r="L81" s="248"/>
      <c r="M81" s="9" t="str">
        <f>SavingsCalcs!B76</f>
        <v>WxHZ3CZ3_5000e_40gshp_des0</v>
      </c>
      <c r="N81" s="9" t="str">
        <f t="shared" si="3"/>
        <v>e_&gt;4000HZ3CZ3des1</v>
      </c>
    </row>
    <row r="82" spans="1:14">
      <c r="A82" s="249"/>
      <c r="B82" s="249"/>
      <c r="C82" s="227"/>
      <c r="D82" s="227"/>
      <c r="E82" s="227"/>
      <c r="F82" s="250"/>
      <c r="G82" s="250"/>
      <c r="H82" s="250"/>
      <c r="I82" s="250"/>
      <c r="J82" s="230"/>
      <c r="K82" s="230"/>
      <c r="L82" s="230"/>
    </row>
    <row r="83" spans="1:14">
      <c r="A83" s="249"/>
      <c r="B83" s="249"/>
      <c r="C83" s="227"/>
      <c r="D83" s="227"/>
      <c r="E83" s="227"/>
      <c r="F83" s="250"/>
      <c r="G83" s="250"/>
      <c r="H83" s="250"/>
      <c r="I83" s="250"/>
      <c r="J83" s="230"/>
      <c r="K83" s="230"/>
      <c r="L83" s="230"/>
    </row>
    <row r="84" spans="1:14">
      <c r="A84" s="249"/>
      <c r="B84" s="249"/>
      <c r="C84" s="227"/>
      <c r="D84" s="227"/>
      <c r="E84" s="227"/>
      <c r="F84" s="250"/>
      <c r="G84" s="250"/>
      <c r="H84" s="250"/>
      <c r="I84" s="250"/>
      <c r="J84" s="230"/>
      <c r="K84" s="230"/>
      <c r="L84" s="230"/>
    </row>
    <row r="85" spans="1:14">
      <c r="A85" s="249"/>
      <c r="B85" s="249"/>
      <c r="C85" s="227"/>
      <c r="D85" s="227"/>
      <c r="E85" s="227"/>
      <c r="F85" s="250"/>
      <c r="G85" s="250"/>
      <c r="H85" s="250"/>
      <c r="I85" s="250"/>
      <c r="J85" s="230"/>
      <c r="K85" s="230"/>
      <c r="L85" s="230"/>
    </row>
    <row r="86" spans="1:14">
      <c r="A86" s="249"/>
      <c r="B86" s="249"/>
      <c r="C86" s="227"/>
      <c r="D86" s="227"/>
      <c r="E86" s="227"/>
      <c r="F86" s="250"/>
      <c r="G86" s="250"/>
      <c r="H86" s="250"/>
      <c r="I86" s="250"/>
      <c r="J86" s="230"/>
      <c r="K86" s="230"/>
      <c r="L86" s="230"/>
    </row>
    <row r="87" spans="1:14">
      <c r="A87" s="249"/>
      <c r="B87" s="249"/>
      <c r="C87" s="227"/>
      <c r="D87" s="227"/>
      <c r="E87" s="227"/>
      <c r="F87" s="250"/>
      <c r="G87" s="250"/>
      <c r="H87" s="250"/>
      <c r="I87" s="250"/>
      <c r="J87" s="230"/>
      <c r="K87" s="230"/>
      <c r="L87" s="230"/>
    </row>
    <row r="88" spans="1:14">
      <c r="A88" s="249"/>
      <c r="B88" s="249"/>
      <c r="C88" s="227"/>
      <c r="D88" s="227"/>
      <c r="E88" s="227"/>
      <c r="F88" s="250"/>
      <c r="G88" s="250"/>
      <c r="H88" s="250"/>
      <c r="I88" s="250"/>
      <c r="J88" s="230"/>
      <c r="K88" s="230"/>
      <c r="L88" s="230"/>
    </row>
    <row r="89" spans="1:14">
      <c r="A89" s="249"/>
      <c r="B89" s="249"/>
      <c r="C89" s="227"/>
      <c r="D89" s="227"/>
      <c r="E89" s="227"/>
      <c r="F89" s="250"/>
      <c r="G89" s="250"/>
      <c r="H89" s="250"/>
      <c r="I89" s="250"/>
      <c r="J89" s="230"/>
      <c r="K89" s="230"/>
      <c r="L89" s="230"/>
    </row>
    <row r="90" spans="1:14">
      <c r="A90" s="249"/>
      <c r="B90" s="249"/>
      <c r="C90" s="227"/>
      <c r="D90" s="227"/>
      <c r="E90" s="227"/>
      <c r="F90" s="250"/>
      <c r="G90" s="250"/>
      <c r="H90" s="250"/>
      <c r="I90" s="250"/>
      <c r="J90" s="230"/>
      <c r="K90" s="230"/>
      <c r="L90" s="230"/>
    </row>
    <row r="91" spans="1:14">
      <c r="A91" s="249"/>
      <c r="B91" s="249"/>
      <c r="C91" s="227"/>
      <c r="D91" s="227"/>
      <c r="E91" s="227"/>
      <c r="F91" s="250"/>
      <c r="G91" s="250"/>
      <c r="H91" s="250"/>
      <c r="I91" s="250"/>
      <c r="J91" s="230"/>
      <c r="K91" s="230"/>
      <c r="L91" s="230"/>
    </row>
    <row r="92" spans="1:14">
      <c r="A92" s="249"/>
      <c r="B92" s="249"/>
      <c r="C92" s="227"/>
      <c r="D92" s="227"/>
      <c r="E92" s="227"/>
      <c r="F92" s="250"/>
      <c r="G92" s="250"/>
      <c r="H92" s="250"/>
      <c r="I92" s="250"/>
      <c r="J92" s="230"/>
      <c r="K92" s="230"/>
      <c r="L92" s="230"/>
    </row>
    <row r="93" spans="1:14">
      <c r="A93" s="249"/>
      <c r="B93" s="249"/>
      <c r="C93" s="227"/>
      <c r="D93" s="227"/>
      <c r="E93" s="227"/>
      <c r="F93" s="250"/>
      <c r="G93" s="250"/>
      <c r="H93" s="250"/>
      <c r="I93" s="250"/>
      <c r="J93" s="230"/>
      <c r="K93" s="230"/>
      <c r="L93" s="230"/>
    </row>
    <row r="94" spans="1:14">
      <c r="A94" s="249"/>
      <c r="B94" s="249"/>
      <c r="C94" s="227"/>
      <c r="D94" s="227"/>
      <c r="E94" s="227"/>
      <c r="F94" s="250"/>
      <c r="G94" s="250"/>
      <c r="H94" s="250"/>
      <c r="I94" s="250"/>
      <c r="J94" s="230"/>
      <c r="K94" s="230"/>
      <c r="L94" s="230"/>
    </row>
    <row r="95" spans="1:14">
      <c r="A95" s="249"/>
      <c r="B95" s="249"/>
      <c r="C95" s="227"/>
      <c r="D95" s="227"/>
      <c r="E95" s="227"/>
      <c r="F95" s="250"/>
      <c r="G95" s="250"/>
      <c r="H95" s="250"/>
      <c r="I95" s="250"/>
      <c r="J95" s="230"/>
      <c r="K95" s="230"/>
      <c r="L95" s="230"/>
    </row>
    <row r="96" spans="1:14">
      <c r="A96" s="249"/>
      <c r="B96" s="249"/>
      <c r="C96" s="227"/>
      <c r="D96" s="227"/>
      <c r="E96" s="227"/>
      <c r="F96" s="250"/>
      <c r="G96" s="250"/>
      <c r="H96" s="250"/>
      <c r="I96" s="250"/>
      <c r="J96" s="230"/>
      <c r="K96" s="230"/>
      <c r="L96" s="230"/>
    </row>
    <row r="97" spans="1:12">
      <c r="A97" s="249"/>
      <c r="B97" s="249"/>
      <c r="C97" s="227"/>
      <c r="D97" s="227"/>
      <c r="E97" s="227"/>
      <c r="F97" s="250"/>
      <c r="G97" s="250"/>
      <c r="H97" s="250"/>
      <c r="I97" s="250"/>
      <c r="J97" s="230"/>
      <c r="K97" s="230"/>
      <c r="L97" s="230"/>
    </row>
    <row r="98" spans="1:12">
      <c r="A98" s="249"/>
      <c r="B98" s="249"/>
      <c r="C98" s="227"/>
      <c r="D98" s="227"/>
      <c r="E98" s="227"/>
      <c r="F98" s="250"/>
      <c r="G98" s="250"/>
      <c r="H98" s="250"/>
      <c r="I98" s="250"/>
      <c r="J98" s="230"/>
      <c r="K98" s="230"/>
      <c r="L98" s="230"/>
    </row>
    <row r="99" spans="1:12">
      <c r="A99" s="249"/>
      <c r="B99" s="249"/>
      <c r="C99" s="227"/>
      <c r="D99" s="227"/>
      <c r="E99" s="227"/>
      <c r="F99" s="250"/>
      <c r="G99" s="250"/>
      <c r="H99" s="250"/>
      <c r="I99" s="250"/>
      <c r="J99" s="230"/>
      <c r="K99" s="230"/>
      <c r="L99" s="230"/>
    </row>
    <row r="100" spans="1:12">
      <c r="A100" s="249"/>
      <c r="B100" s="249"/>
      <c r="C100" s="227"/>
      <c r="D100" s="227"/>
      <c r="E100" s="227"/>
      <c r="F100" s="250"/>
      <c r="G100" s="250"/>
      <c r="H100" s="250"/>
      <c r="I100" s="250"/>
      <c r="J100" s="230"/>
      <c r="K100" s="230"/>
      <c r="L100" s="230"/>
    </row>
    <row r="101" spans="1:12">
      <c r="A101" s="249"/>
      <c r="B101" s="249"/>
      <c r="C101" s="227"/>
      <c r="D101" s="227"/>
      <c r="E101" s="227"/>
      <c r="F101" s="250"/>
      <c r="G101" s="250"/>
      <c r="H101" s="250"/>
      <c r="I101" s="250"/>
      <c r="J101" s="230"/>
      <c r="K101" s="230"/>
      <c r="L101" s="230"/>
    </row>
    <row r="102" spans="1:12">
      <c r="A102" s="249"/>
      <c r="B102" s="249"/>
      <c r="C102" s="227"/>
      <c r="D102" s="227"/>
      <c r="E102" s="227"/>
      <c r="F102" s="250"/>
      <c r="G102" s="250"/>
      <c r="H102" s="250"/>
      <c r="I102" s="250"/>
      <c r="J102" s="230"/>
      <c r="K102" s="230"/>
      <c r="L102" s="230"/>
    </row>
    <row r="103" spans="1:12">
      <c r="A103" s="249"/>
      <c r="B103" s="249"/>
      <c r="C103" s="227"/>
      <c r="D103" s="227"/>
      <c r="E103" s="227"/>
      <c r="F103" s="250"/>
      <c r="G103" s="250"/>
      <c r="H103" s="250"/>
      <c r="I103" s="250"/>
      <c r="J103" s="230"/>
      <c r="K103" s="230"/>
      <c r="L103" s="230"/>
    </row>
    <row r="104" spans="1:12">
      <c r="A104" s="249"/>
      <c r="B104" s="249"/>
      <c r="C104" s="227"/>
      <c r="D104" s="227"/>
      <c r="E104" s="227"/>
      <c r="F104" s="250"/>
      <c r="G104" s="250"/>
      <c r="H104" s="250"/>
      <c r="I104" s="250"/>
      <c r="J104" s="230"/>
      <c r="K104" s="230"/>
      <c r="L104" s="230"/>
    </row>
    <row r="105" spans="1:12">
      <c r="A105" s="249"/>
      <c r="B105" s="249"/>
      <c r="C105" s="227"/>
      <c r="D105" s="227"/>
      <c r="E105" s="227"/>
      <c r="F105" s="250"/>
      <c r="G105" s="250"/>
      <c r="H105" s="250"/>
      <c r="I105" s="250"/>
      <c r="J105" s="230"/>
      <c r="K105" s="230"/>
      <c r="L105" s="230"/>
    </row>
    <row r="106" spans="1:12">
      <c r="A106" s="249"/>
      <c r="B106" s="249"/>
      <c r="C106" s="227"/>
      <c r="D106" s="227"/>
      <c r="E106" s="227"/>
      <c r="F106" s="250"/>
      <c r="G106" s="250"/>
      <c r="H106" s="250"/>
      <c r="I106" s="250"/>
      <c r="J106" s="230"/>
      <c r="K106" s="230"/>
      <c r="L106" s="230"/>
    </row>
    <row r="107" spans="1:12">
      <c r="A107" s="249"/>
      <c r="B107" s="249"/>
      <c r="C107" s="227"/>
      <c r="D107" s="227"/>
      <c r="E107" s="227"/>
      <c r="F107" s="250"/>
      <c r="G107" s="250"/>
      <c r="H107" s="250"/>
      <c r="I107" s="250"/>
      <c r="J107" s="230"/>
      <c r="K107" s="230"/>
      <c r="L107" s="230"/>
    </row>
    <row r="108" spans="1:12">
      <c r="A108" s="249"/>
      <c r="B108" s="249"/>
      <c r="C108" s="227"/>
      <c r="D108" s="227"/>
      <c r="E108" s="227"/>
      <c r="F108" s="250"/>
      <c r="G108" s="250"/>
      <c r="H108" s="250"/>
      <c r="I108" s="250"/>
      <c r="J108" s="230"/>
      <c r="K108" s="230"/>
      <c r="L108" s="230"/>
    </row>
    <row r="109" spans="1:12">
      <c r="A109" s="249"/>
      <c r="B109" s="249"/>
      <c r="C109" s="227"/>
      <c r="D109" s="227"/>
      <c r="E109" s="227"/>
      <c r="F109" s="250"/>
      <c r="G109" s="250"/>
      <c r="H109" s="250"/>
      <c r="I109" s="250"/>
      <c r="J109" s="230"/>
      <c r="K109" s="230"/>
      <c r="L109" s="230"/>
    </row>
    <row r="110" spans="1:12">
      <c r="A110" s="249"/>
      <c r="B110" s="249"/>
      <c r="C110" s="227"/>
      <c r="D110" s="227"/>
      <c r="E110" s="227"/>
      <c r="F110" s="250"/>
      <c r="G110" s="250"/>
      <c r="H110" s="250"/>
      <c r="I110" s="250"/>
      <c r="J110" s="230"/>
      <c r="K110" s="230"/>
      <c r="L110" s="230"/>
    </row>
    <row r="111" spans="1:12">
      <c r="A111" s="249"/>
      <c r="B111" s="249"/>
      <c r="C111" s="227"/>
      <c r="D111" s="227"/>
      <c r="E111" s="227"/>
      <c r="F111" s="250"/>
      <c r="G111" s="250"/>
      <c r="H111" s="250"/>
      <c r="I111" s="250"/>
      <c r="J111" s="230"/>
      <c r="K111" s="230"/>
      <c r="L111" s="230"/>
    </row>
    <row r="112" spans="1:12">
      <c r="A112" s="249"/>
      <c r="B112" s="249"/>
      <c r="C112" s="227"/>
      <c r="D112" s="227"/>
      <c r="E112" s="227"/>
      <c r="F112" s="250"/>
      <c r="G112" s="250"/>
      <c r="H112" s="250"/>
      <c r="I112" s="250"/>
      <c r="J112" s="230"/>
      <c r="K112" s="230"/>
      <c r="L112" s="230"/>
    </row>
    <row r="113" spans="1:12">
      <c r="A113" s="249"/>
      <c r="B113" s="249"/>
      <c r="C113" s="227"/>
      <c r="D113" s="227"/>
      <c r="E113" s="227"/>
      <c r="F113" s="250"/>
      <c r="G113" s="250"/>
      <c r="H113" s="250"/>
      <c r="I113" s="250"/>
      <c r="J113" s="230"/>
      <c r="K113" s="230"/>
      <c r="L113" s="230"/>
    </row>
    <row r="114" spans="1:12">
      <c r="A114" s="249"/>
      <c r="B114" s="249"/>
      <c r="C114" s="227"/>
      <c r="D114" s="227"/>
      <c r="E114" s="227"/>
      <c r="F114" s="250"/>
      <c r="G114" s="250"/>
      <c r="H114" s="250"/>
      <c r="I114" s="250"/>
      <c r="J114" s="230"/>
      <c r="K114" s="230"/>
      <c r="L114" s="230"/>
    </row>
    <row r="115" spans="1:12">
      <c r="A115" s="249"/>
      <c r="B115" s="249"/>
      <c r="C115" s="227"/>
      <c r="D115" s="227"/>
      <c r="E115" s="227"/>
      <c r="F115" s="250"/>
      <c r="G115" s="250"/>
      <c r="H115" s="250"/>
      <c r="I115" s="250"/>
      <c r="J115" s="230"/>
      <c r="K115" s="230"/>
      <c r="L115" s="230"/>
    </row>
    <row r="116" spans="1:12">
      <c r="A116" s="249"/>
      <c r="B116" s="249"/>
      <c r="C116" s="227"/>
      <c r="D116" s="227"/>
      <c r="E116" s="227"/>
      <c r="F116" s="250"/>
      <c r="G116" s="250"/>
      <c r="H116" s="250"/>
      <c r="I116" s="250"/>
      <c r="J116" s="230"/>
      <c r="K116" s="230"/>
      <c r="L116" s="230"/>
    </row>
    <row r="117" spans="1:12">
      <c r="A117" s="249"/>
      <c r="B117" s="249"/>
      <c r="C117" s="227"/>
      <c r="D117" s="227"/>
      <c r="E117" s="227"/>
      <c r="F117" s="250"/>
      <c r="G117" s="250"/>
      <c r="H117" s="250"/>
      <c r="I117" s="250"/>
      <c r="J117" s="230"/>
      <c r="K117" s="230"/>
      <c r="L117" s="230"/>
    </row>
    <row r="118" spans="1:12">
      <c r="A118" s="249"/>
      <c r="B118" s="249"/>
      <c r="C118" s="227"/>
      <c r="D118" s="227"/>
      <c r="E118" s="227"/>
      <c r="F118" s="250"/>
      <c r="G118" s="250"/>
      <c r="H118" s="250"/>
      <c r="I118" s="250"/>
      <c r="J118" s="230"/>
      <c r="K118" s="230"/>
      <c r="L118" s="230"/>
    </row>
    <row r="119" spans="1:12">
      <c r="A119" s="249"/>
      <c r="B119" s="249"/>
      <c r="C119" s="227"/>
      <c r="D119" s="227"/>
      <c r="E119" s="227"/>
      <c r="F119" s="250"/>
      <c r="G119" s="250"/>
      <c r="H119" s="250"/>
      <c r="I119" s="250"/>
      <c r="J119" s="230"/>
      <c r="K119" s="230"/>
      <c r="L119" s="230"/>
    </row>
    <row r="120" spans="1:12">
      <c r="A120" s="249"/>
      <c r="B120" s="249"/>
      <c r="C120" s="227"/>
      <c r="D120" s="227"/>
      <c r="E120" s="227"/>
      <c r="F120" s="250"/>
      <c r="G120" s="250"/>
      <c r="H120" s="250"/>
      <c r="I120" s="250"/>
      <c r="J120" s="230"/>
      <c r="K120" s="230"/>
      <c r="L120" s="230"/>
    </row>
    <row r="121" spans="1:12">
      <c r="A121" s="249"/>
      <c r="B121" s="249"/>
      <c r="C121" s="227"/>
      <c r="D121" s="227"/>
      <c r="E121" s="227"/>
      <c r="F121" s="250"/>
      <c r="G121" s="250"/>
      <c r="H121" s="250"/>
      <c r="I121" s="250"/>
      <c r="J121" s="230"/>
      <c r="K121" s="230"/>
      <c r="L121" s="230"/>
    </row>
    <row r="122" spans="1:12">
      <c r="A122" s="249"/>
      <c r="B122" s="249"/>
      <c r="C122" s="227"/>
      <c r="D122" s="227"/>
      <c r="E122" s="227"/>
      <c r="F122" s="250"/>
      <c r="G122" s="250"/>
      <c r="H122" s="250"/>
      <c r="I122" s="250"/>
      <c r="J122" s="230"/>
      <c r="K122" s="230"/>
      <c r="L122" s="230"/>
    </row>
    <row r="123" spans="1:12">
      <c r="A123" s="249"/>
      <c r="B123" s="249"/>
      <c r="C123" s="227"/>
      <c r="D123" s="227"/>
      <c r="E123" s="227"/>
      <c r="F123" s="250"/>
      <c r="G123" s="250"/>
      <c r="H123" s="250"/>
      <c r="I123" s="250"/>
      <c r="J123" s="230"/>
      <c r="K123" s="230"/>
      <c r="L123" s="230"/>
    </row>
    <row r="124" spans="1:12">
      <c r="A124" s="249"/>
      <c r="B124" s="249"/>
      <c r="C124" s="227"/>
      <c r="D124" s="227"/>
      <c r="E124" s="227"/>
      <c r="F124" s="250"/>
      <c r="G124" s="250"/>
      <c r="H124" s="250"/>
      <c r="I124" s="250"/>
      <c r="J124" s="230"/>
      <c r="K124" s="230"/>
      <c r="L124" s="230"/>
    </row>
    <row r="125" spans="1:12">
      <c r="A125" s="249"/>
      <c r="B125" s="249"/>
      <c r="C125" s="227"/>
      <c r="D125" s="227"/>
      <c r="E125" s="227"/>
      <c r="F125" s="250"/>
      <c r="G125" s="250"/>
      <c r="H125" s="250"/>
      <c r="I125" s="250"/>
      <c r="J125" s="230"/>
      <c r="K125" s="230"/>
      <c r="L125" s="230"/>
    </row>
    <row r="126" spans="1:12">
      <c r="A126" s="249"/>
      <c r="B126" s="249"/>
      <c r="C126" s="227"/>
      <c r="D126" s="227"/>
      <c r="E126" s="227"/>
      <c r="F126" s="250"/>
      <c r="G126" s="250"/>
      <c r="H126" s="250"/>
      <c r="I126" s="250"/>
      <c r="J126" s="230"/>
      <c r="K126" s="230"/>
      <c r="L126" s="230"/>
    </row>
    <row r="127" spans="1:12">
      <c r="A127" s="249"/>
      <c r="B127" s="249"/>
      <c r="C127" s="227"/>
      <c r="D127" s="227"/>
      <c r="E127" s="227"/>
      <c r="F127" s="250"/>
      <c r="G127" s="250"/>
      <c r="H127" s="250"/>
      <c r="I127" s="250"/>
      <c r="J127" s="230"/>
      <c r="K127" s="230"/>
      <c r="L127" s="230"/>
    </row>
    <row r="128" spans="1:12">
      <c r="A128" s="249"/>
      <c r="B128" s="249"/>
      <c r="C128" s="227"/>
      <c r="D128" s="227"/>
      <c r="E128" s="227"/>
      <c r="F128" s="250"/>
      <c r="G128" s="250"/>
      <c r="H128" s="250"/>
      <c r="I128" s="250"/>
      <c r="J128" s="230"/>
      <c r="K128" s="230"/>
      <c r="L128" s="230"/>
    </row>
    <row r="129" spans="1:12">
      <c r="A129" s="249"/>
      <c r="B129" s="249"/>
      <c r="C129" s="227"/>
      <c r="D129" s="227"/>
      <c r="E129" s="227"/>
      <c r="F129" s="250"/>
      <c r="G129" s="250"/>
      <c r="H129" s="250"/>
      <c r="I129" s="250"/>
      <c r="J129" s="230"/>
      <c r="K129" s="230"/>
      <c r="L129" s="230"/>
    </row>
    <row r="130" spans="1:12">
      <c r="A130" s="249"/>
      <c r="B130" s="249"/>
      <c r="C130" s="227"/>
      <c r="D130" s="227"/>
      <c r="E130" s="227"/>
      <c r="F130" s="250"/>
      <c r="G130" s="250"/>
      <c r="H130" s="250"/>
      <c r="I130" s="250"/>
      <c r="J130" s="230"/>
      <c r="K130" s="230"/>
      <c r="L130" s="230"/>
    </row>
    <row r="131" spans="1:12">
      <c r="A131" s="249"/>
      <c r="B131" s="249"/>
      <c r="C131" s="227"/>
      <c r="D131" s="227"/>
      <c r="E131" s="227"/>
      <c r="F131" s="250"/>
      <c r="G131" s="250"/>
      <c r="H131" s="250"/>
      <c r="I131" s="250"/>
      <c r="J131" s="230"/>
      <c r="K131" s="230"/>
      <c r="L131" s="230"/>
    </row>
    <row r="132" spans="1:12">
      <c r="A132" s="249"/>
      <c r="B132" s="249"/>
      <c r="C132" s="227"/>
      <c r="D132" s="227"/>
      <c r="E132" s="227"/>
      <c r="F132" s="250"/>
      <c r="G132" s="250"/>
      <c r="H132" s="250"/>
      <c r="I132" s="250"/>
      <c r="J132" s="230"/>
      <c r="K132" s="230"/>
      <c r="L132" s="230"/>
    </row>
    <row r="133" spans="1:12">
      <c r="A133" s="249"/>
      <c r="B133" s="249"/>
      <c r="C133" s="227"/>
      <c r="D133" s="227"/>
      <c r="E133" s="227"/>
      <c r="F133" s="250"/>
      <c r="G133" s="250"/>
      <c r="H133" s="250"/>
      <c r="I133" s="250"/>
      <c r="J133" s="230"/>
      <c r="K133" s="230"/>
      <c r="L133" s="230"/>
    </row>
    <row r="134" spans="1:12">
      <c r="A134" s="249"/>
      <c r="B134" s="249"/>
      <c r="C134" s="227"/>
      <c r="D134" s="227"/>
      <c r="E134" s="227"/>
      <c r="F134" s="250"/>
      <c r="G134" s="250"/>
      <c r="H134" s="250"/>
      <c r="I134" s="250"/>
      <c r="J134" s="230"/>
      <c r="K134" s="230"/>
      <c r="L134" s="230"/>
    </row>
    <row r="135" spans="1:12">
      <c r="A135" s="249"/>
      <c r="B135" s="249"/>
      <c r="C135" s="227"/>
      <c r="D135" s="227"/>
      <c r="E135" s="227"/>
      <c r="F135" s="250"/>
      <c r="G135" s="250"/>
      <c r="H135" s="250"/>
      <c r="I135" s="250"/>
      <c r="J135" s="230"/>
      <c r="K135" s="230"/>
      <c r="L135" s="230"/>
    </row>
    <row r="136" spans="1:12">
      <c r="A136" s="249"/>
      <c r="B136" s="249"/>
      <c r="C136" s="227"/>
      <c r="D136" s="227"/>
      <c r="E136" s="227"/>
      <c r="F136" s="250"/>
      <c r="G136" s="250"/>
      <c r="H136" s="250"/>
      <c r="I136" s="250"/>
      <c r="J136" s="230"/>
      <c r="K136" s="230"/>
      <c r="L136" s="230"/>
    </row>
    <row r="137" spans="1:12">
      <c r="A137" s="249"/>
      <c r="B137" s="249"/>
      <c r="C137" s="227"/>
      <c r="D137" s="227"/>
      <c r="E137" s="227"/>
      <c r="F137" s="250"/>
      <c r="G137" s="250"/>
      <c r="H137" s="250"/>
      <c r="I137" s="250"/>
      <c r="J137" s="230"/>
      <c r="K137" s="230"/>
      <c r="L137" s="230"/>
    </row>
    <row r="138" spans="1:12">
      <c r="A138" s="249"/>
      <c r="B138" s="249"/>
      <c r="C138" s="227"/>
      <c r="D138" s="227"/>
      <c r="E138" s="227"/>
      <c r="F138" s="250"/>
      <c r="G138" s="250"/>
      <c r="H138" s="250"/>
      <c r="I138" s="250"/>
      <c r="J138" s="230"/>
      <c r="K138" s="230"/>
      <c r="L138" s="230"/>
    </row>
    <row r="139" spans="1:12">
      <c r="A139" s="249"/>
      <c r="B139" s="249"/>
      <c r="C139" s="227"/>
      <c r="D139" s="227"/>
      <c r="E139" s="227"/>
      <c r="F139" s="250"/>
      <c r="G139" s="250"/>
      <c r="H139" s="250"/>
      <c r="I139" s="250"/>
      <c r="J139" s="230"/>
      <c r="K139" s="230"/>
      <c r="L139" s="230"/>
    </row>
    <row r="140" spans="1:12">
      <c r="A140" s="249"/>
      <c r="B140" s="249"/>
      <c r="C140" s="227"/>
      <c r="D140" s="227"/>
      <c r="E140" s="227"/>
      <c r="F140" s="250"/>
      <c r="G140" s="250"/>
      <c r="H140" s="250"/>
      <c r="I140" s="250"/>
      <c r="J140" s="230"/>
      <c r="K140" s="230"/>
      <c r="L140" s="230"/>
    </row>
    <row r="141" spans="1:12">
      <c r="A141" s="249"/>
      <c r="B141" s="249"/>
      <c r="C141" s="227"/>
      <c r="D141" s="227"/>
      <c r="E141" s="227"/>
      <c r="F141" s="250"/>
      <c r="G141" s="250"/>
      <c r="H141" s="250"/>
      <c r="I141" s="250"/>
      <c r="J141" s="230"/>
      <c r="K141" s="230"/>
      <c r="L141" s="230"/>
    </row>
    <row r="142" spans="1:12">
      <c r="A142" s="249"/>
      <c r="B142" s="249"/>
      <c r="C142" s="227"/>
      <c r="D142" s="227"/>
      <c r="E142" s="227"/>
      <c r="F142" s="250"/>
      <c r="G142" s="250"/>
      <c r="H142" s="250"/>
      <c r="I142" s="250"/>
      <c r="J142" s="230"/>
      <c r="K142" s="230"/>
      <c r="L142" s="230"/>
    </row>
    <row r="143" spans="1:12">
      <c r="A143" s="249"/>
      <c r="B143" s="249"/>
      <c r="C143" s="227"/>
      <c r="D143" s="227"/>
      <c r="E143" s="227"/>
      <c r="F143" s="250"/>
      <c r="G143" s="250"/>
      <c r="H143" s="250"/>
      <c r="I143" s="250"/>
      <c r="J143" s="230"/>
      <c r="K143" s="230"/>
      <c r="L143" s="230"/>
    </row>
    <row r="144" spans="1:12">
      <c r="A144" s="249"/>
      <c r="B144" s="249"/>
      <c r="C144" s="227"/>
      <c r="D144" s="227"/>
      <c r="E144" s="227"/>
      <c r="F144" s="250"/>
      <c r="G144" s="250"/>
      <c r="H144" s="250"/>
      <c r="I144" s="250"/>
      <c r="J144" s="230"/>
      <c r="K144" s="230"/>
      <c r="L144" s="230"/>
    </row>
    <row r="145" spans="1:12">
      <c r="A145" s="249"/>
      <c r="B145" s="249"/>
      <c r="C145" s="227"/>
      <c r="D145" s="227"/>
      <c r="E145" s="227"/>
      <c r="F145" s="250"/>
      <c r="G145" s="250"/>
      <c r="H145" s="250"/>
      <c r="I145" s="250"/>
      <c r="J145" s="230"/>
      <c r="K145" s="230"/>
      <c r="L145" s="230"/>
    </row>
    <row r="146" spans="1:12">
      <c r="A146" s="249"/>
      <c r="B146" s="249"/>
      <c r="C146" s="227"/>
      <c r="D146" s="227"/>
      <c r="E146" s="227"/>
      <c r="F146" s="250"/>
      <c r="G146" s="250"/>
      <c r="H146" s="250"/>
      <c r="I146" s="250"/>
      <c r="J146" s="230"/>
      <c r="K146" s="230"/>
      <c r="L146" s="230"/>
    </row>
    <row r="147" spans="1:12">
      <c r="A147" s="249"/>
      <c r="B147" s="249"/>
      <c r="C147" s="227"/>
      <c r="D147" s="227"/>
      <c r="E147" s="227"/>
      <c r="F147" s="250"/>
      <c r="G147" s="250"/>
      <c r="H147" s="250"/>
      <c r="I147" s="250"/>
      <c r="J147" s="230"/>
      <c r="K147" s="230"/>
      <c r="L147" s="230"/>
    </row>
    <row r="148" spans="1:12">
      <c r="A148" s="249"/>
      <c r="B148" s="249"/>
      <c r="C148" s="227"/>
      <c r="D148" s="227"/>
      <c r="E148" s="227"/>
      <c r="F148" s="250"/>
      <c r="G148" s="250"/>
      <c r="H148" s="250"/>
      <c r="I148" s="250"/>
      <c r="J148" s="230"/>
      <c r="K148" s="230"/>
      <c r="L148" s="230"/>
    </row>
    <row r="149" spans="1:12">
      <c r="A149" s="249"/>
      <c r="B149" s="249"/>
      <c r="C149" s="227"/>
      <c r="D149" s="227"/>
      <c r="E149" s="227"/>
      <c r="F149" s="250"/>
      <c r="G149" s="250"/>
      <c r="H149" s="250"/>
      <c r="I149" s="250"/>
      <c r="J149" s="230"/>
      <c r="K149" s="230"/>
      <c r="L149" s="230"/>
    </row>
    <row r="150" spans="1:12">
      <c r="A150" s="249"/>
      <c r="B150" s="249"/>
      <c r="C150" s="227"/>
      <c r="D150" s="227"/>
      <c r="E150" s="227"/>
      <c r="F150" s="250"/>
      <c r="G150" s="250"/>
      <c r="H150" s="250"/>
      <c r="I150" s="250"/>
      <c r="J150" s="230"/>
      <c r="K150" s="230"/>
      <c r="L150" s="230"/>
    </row>
    <row r="151" spans="1:12">
      <c r="A151" s="249"/>
      <c r="B151" s="249"/>
      <c r="C151" s="227"/>
      <c r="D151" s="227"/>
      <c r="E151" s="227"/>
      <c r="F151" s="250"/>
      <c r="G151" s="250"/>
      <c r="H151" s="250"/>
      <c r="I151" s="250"/>
      <c r="J151" s="230"/>
      <c r="K151" s="230"/>
      <c r="L151" s="230"/>
    </row>
    <row r="152" spans="1:12">
      <c r="A152" s="249"/>
      <c r="B152" s="249"/>
      <c r="C152" s="227"/>
      <c r="D152" s="227"/>
      <c r="E152" s="227"/>
      <c r="F152" s="250"/>
      <c r="G152" s="250"/>
      <c r="H152" s="250"/>
      <c r="I152" s="250"/>
      <c r="J152" s="230"/>
      <c r="K152" s="230"/>
      <c r="L152" s="230"/>
    </row>
    <row r="153" spans="1:12">
      <c r="A153" s="249"/>
      <c r="B153" s="249"/>
      <c r="C153" s="227"/>
      <c r="D153" s="227"/>
      <c r="E153" s="227"/>
      <c r="F153" s="250"/>
      <c r="G153" s="250"/>
      <c r="H153" s="250"/>
      <c r="I153" s="250"/>
      <c r="J153" s="230"/>
      <c r="K153" s="230"/>
      <c r="L153" s="230"/>
    </row>
    <row r="154" spans="1:12">
      <c r="A154" s="251"/>
      <c r="B154" s="251"/>
      <c r="C154" s="251"/>
      <c r="D154" s="251"/>
      <c r="E154" s="251"/>
      <c r="F154" s="252"/>
      <c r="G154" s="253"/>
      <c r="H154" s="253"/>
      <c r="I154" s="253"/>
      <c r="J154" s="254"/>
      <c r="K154" s="253"/>
      <c r="L154" s="253"/>
    </row>
    <row r="155" spans="1:12">
      <c r="A155" s="251"/>
      <c r="B155" s="251"/>
      <c r="C155" s="251"/>
      <c r="D155" s="251"/>
      <c r="E155" s="251"/>
      <c r="F155" s="252"/>
      <c r="G155" s="253"/>
      <c r="H155" s="253"/>
      <c r="I155" s="253"/>
      <c r="J155" s="254"/>
      <c r="K155" s="253"/>
      <c r="L155" s="253"/>
    </row>
    <row r="156" spans="1:12">
      <c r="A156" s="251"/>
      <c r="B156" s="251"/>
      <c r="C156" s="251"/>
      <c r="D156" s="251"/>
      <c r="E156" s="251"/>
      <c r="F156" s="252"/>
      <c r="G156" s="253"/>
      <c r="H156" s="253"/>
      <c r="I156" s="253"/>
      <c r="J156" s="254"/>
      <c r="K156" s="253"/>
      <c r="L156" s="253"/>
    </row>
    <row r="157" spans="1:12">
      <c r="A157" s="251"/>
      <c r="B157" s="251"/>
      <c r="C157" s="251"/>
      <c r="D157" s="251"/>
      <c r="E157" s="251"/>
      <c r="F157" s="252"/>
      <c r="G157" s="253"/>
      <c r="H157" s="253"/>
      <c r="I157" s="253"/>
      <c r="J157" s="254"/>
      <c r="K157" s="253"/>
      <c r="L157" s="253"/>
    </row>
    <row r="158" spans="1:12">
      <c r="A158" s="251"/>
      <c r="B158" s="251"/>
      <c r="C158" s="251"/>
      <c r="D158" s="251"/>
      <c r="E158" s="251"/>
      <c r="F158" s="252"/>
      <c r="G158" s="253"/>
      <c r="H158" s="253"/>
      <c r="I158" s="253"/>
      <c r="J158" s="254"/>
      <c r="K158" s="253"/>
      <c r="L158" s="253"/>
    </row>
    <row r="159" spans="1:12">
      <c r="A159" s="251"/>
      <c r="B159" s="251"/>
      <c r="C159" s="251"/>
      <c r="D159" s="251"/>
      <c r="E159" s="251"/>
      <c r="F159" s="252"/>
      <c r="G159" s="253"/>
      <c r="H159" s="253"/>
      <c r="I159" s="253"/>
      <c r="J159" s="254"/>
      <c r="K159" s="253"/>
      <c r="L159" s="253"/>
    </row>
    <row r="160" spans="1:12">
      <c r="A160" s="251"/>
      <c r="B160" s="251"/>
      <c r="C160" s="251"/>
      <c r="D160" s="251"/>
      <c r="E160" s="251"/>
      <c r="F160" s="252"/>
      <c r="G160" s="253"/>
      <c r="H160" s="253"/>
      <c r="I160" s="253"/>
      <c r="J160" s="254"/>
      <c r="K160" s="253"/>
      <c r="L160" s="253"/>
    </row>
    <row r="161" spans="1:12">
      <c r="A161" s="251"/>
      <c r="B161" s="251"/>
      <c r="C161" s="251"/>
      <c r="D161" s="251"/>
      <c r="E161" s="251"/>
      <c r="F161" s="252"/>
      <c r="G161" s="253"/>
      <c r="H161" s="253"/>
      <c r="I161" s="253"/>
      <c r="J161" s="254"/>
      <c r="K161" s="253"/>
      <c r="L161" s="253"/>
    </row>
    <row r="162" spans="1:12">
      <c r="A162" s="251"/>
      <c r="B162" s="251"/>
      <c r="C162" s="251"/>
      <c r="D162" s="251"/>
      <c r="E162" s="251"/>
      <c r="F162" s="252"/>
      <c r="G162" s="253"/>
      <c r="H162" s="253"/>
      <c r="I162" s="253"/>
      <c r="J162" s="254"/>
      <c r="K162" s="253"/>
      <c r="L162" s="253"/>
    </row>
    <row r="163" spans="1:12">
      <c r="A163" s="251"/>
      <c r="B163" s="251"/>
      <c r="C163" s="251"/>
      <c r="D163" s="251"/>
      <c r="E163" s="251"/>
      <c r="F163" s="252"/>
      <c r="G163" s="253"/>
      <c r="H163" s="253"/>
      <c r="I163" s="253"/>
      <c r="J163" s="254"/>
      <c r="K163" s="253"/>
      <c r="L163" s="253"/>
    </row>
    <row r="164" spans="1:12">
      <c r="A164" s="251"/>
      <c r="B164" s="251"/>
      <c r="C164" s="251"/>
      <c r="D164" s="251"/>
      <c r="E164" s="251"/>
      <c r="F164" s="252"/>
      <c r="G164" s="253"/>
      <c r="H164" s="253"/>
      <c r="I164" s="253"/>
      <c r="J164" s="254"/>
      <c r="K164" s="253"/>
      <c r="L164" s="253"/>
    </row>
    <row r="165" spans="1:12">
      <c r="A165" s="251"/>
      <c r="B165" s="251"/>
      <c r="C165" s="251"/>
      <c r="D165" s="251"/>
      <c r="E165" s="251"/>
      <c r="F165" s="252"/>
      <c r="G165" s="253"/>
      <c r="H165" s="253"/>
      <c r="I165" s="253"/>
      <c r="J165" s="254"/>
      <c r="K165" s="253"/>
      <c r="L165" s="253"/>
    </row>
    <row r="166" spans="1:12">
      <c r="A166" s="251"/>
      <c r="B166" s="251"/>
      <c r="C166" s="251"/>
      <c r="D166" s="251"/>
      <c r="E166" s="251"/>
      <c r="F166" s="252"/>
      <c r="G166" s="253"/>
      <c r="H166" s="253"/>
      <c r="I166" s="253"/>
      <c r="J166" s="254"/>
      <c r="K166" s="253"/>
      <c r="L166" s="253"/>
    </row>
    <row r="167" spans="1:12">
      <c r="A167" s="251"/>
      <c r="B167" s="251"/>
      <c r="C167" s="251"/>
      <c r="D167" s="251"/>
      <c r="E167" s="251"/>
      <c r="F167" s="252"/>
      <c r="G167" s="253"/>
      <c r="H167" s="253"/>
      <c r="I167" s="253"/>
      <c r="J167" s="254"/>
      <c r="K167" s="253"/>
      <c r="L167" s="253"/>
    </row>
    <row r="168" spans="1:12">
      <c r="A168" s="251"/>
      <c r="B168" s="251"/>
      <c r="C168" s="251"/>
      <c r="D168" s="251"/>
      <c r="E168" s="251"/>
      <c r="F168" s="252"/>
      <c r="G168" s="253"/>
      <c r="H168" s="253"/>
      <c r="I168" s="253"/>
      <c r="J168" s="254"/>
      <c r="K168" s="253"/>
      <c r="L168" s="253"/>
    </row>
    <row r="169" spans="1:12">
      <c r="A169" s="251"/>
      <c r="B169" s="251"/>
      <c r="C169" s="251"/>
      <c r="D169" s="251"/>
      <c r="E169" s="251"/>
      <c r="F169" s="252"/>
      <c r="G169" s="253"/>
      <c r="H169" s="253"/>
      <c r="I169" s="253"/>
      <c r="J169" s="254"/>
      <c r="K169" s="253"/>
      <c r="L169" s="253"/>
    </row>
    <row r="170" spans="1:12">
      <c r="A170" s="251"/>
      <c r="B170" s="251"/>
      <c r="C170" s="251"/>
      <c r="D170" s="251"/>
      <c r="E170" s="251"/>
      <c r="F170" s="252"/>
      <c r="G170" s="253"/>
      <c r="H170" s="253"/>
      <c r="I170" s="253"/>
      <c r="J170" s="254"/>
      <c r="K170" s="253"/>
      <c r="L170" s="253"/>
    </row>
    <row r="171" spans="1:12">
      <c r="A171" s="251"/>
      <c r="B171" s="251"/>
      <c r="C171" s="251"/>
      <c r="D171" s="251"/>
      <c r="E171" s="251"/>
      <c r="F171" s="252"/>
      <c r="G171" s="253"/>
      <c r="H171" s="253"/>
      <c r="I171" s="253"/>
      <c r="J171" s="254"/>
      <c r="K171" s="253"/>
      <c r="L171" s="253"/>
    </row>
    <row r="172" spans="1:12">
      <c r="A172" s="251"/>
      <c r="B172" s="251"/>
      <c r="C172" s="251"/>
      <c r="D172" s="251"/>
      <c r="E172" s="251"/>
      <c r="F172" s="252"/>
      <c r="G172" s="253"/>
      <c r="H172" s="253"/>
      <c r="I172" s="253"/>
      <c r="J172" s="254"/>
      <c r="K172" s="253"/>
      <c r="L172" s="253"/>
    </row>
    <row r="173" spans="1:12">
      <c r="A173" s="251"/>
      <c r="B173" s="251"/>
      <c r="C173" s="251"/>
      <c r="D173" s="251"/>
      <c r="E173" s="251"/>
      <c r="F173" s="252"/>
      <c r="G173" s="253"/>
      <c r="H173" s="253"/>
      <c r="I173" s="253"/>
      <c r="J173" s="254"/>
      <c r="K173" s="253"/>
      <c r="L173" s="253"/>
    </row>
    <row r="174" spans="1:12">
      <c r="A174" s="251"/>
      <c r="B174" s="251"/>
      <c r="C174" s="251"/>
      <c r="D174" s="251"/>
      <c r="E174" s="251"/>
      <c r="F174" s="252"/>
      <c r="G174" s="253"/>
      <c r="H174" s="253"/>
      <c r="I174" s="253"/>
      <c r="J174" s="254"/>
      <c r="K174" s="253"/>
      <c r="L174" s="253"/>
    </row>
    <row r="175" spans="1:12">
      <c r="A175" s="251"/>
      <c r="B175" s="251"/>
      <c r="C175" s="251"/>
      <c r="D175" s="251"/>
      <c r="E175" s="251"/>
      <c r="F175" s="252"/>
      <c r="G175" s="253"/>
      <c r="H175" s="253"/>
      <c r="I175" s="253"/>
      <c r="J175" s="254"/>
      <c r="K175" s="253"/>
      <c r="L175" s="253"/>
    </row>
    <row r="176" spans="1:12">
      <c r="A176" s="251"/>
      <c r="B176" s="251"/>
      <c r="C176" s="251"/>
      <c r="D176" s="251"/>
      <c r="E176" s="251"/>
      <c r="F176" s="252"/>
      <c r="G176" s="253"/>
      <c r="H176" s="253"/>
      <c r="I176" s="253"/>
      <c r="J176" s="254"/>
      <c r="K176" s="253"/>
      <c r="L176" s="253"/>
    </row>
    <row r="177" spans="1:12">
      <c r="A177" s="251"/>
      <c r="B177" s="251"/>
      <c r="C177" s="251"/>
      <c r="D177" s="251"/>
      <c r="E177" s="251"/>
      <c r="F177" s="252"/>
      <c r="G177" s="253"/>
      <c r="H177" s="253"/>
      <c r="I177" s="253"/>
      <c r="J177" s="254"/>
      <c r="K177" s="253"/>
      <c r="L177" s="253"/>
    </row>
    <row r="178" spans="1:12">
      <c r="A178" s="251"/>
      <c r="B178" s="251"/>
      <c r="C178" s="251"/>
      <c r="D178" s="251"/>
      <c r="E178" s="251"/>
      <c r="F178" s="252"/>
      <c r="G178" s="253"/>
      <c r="H178" s="253"/>
      <c r="I178" s="253"/>
      <c r="J178" s="254"/>
      <c r="K178" s="253"/>
      <c r="L178" s="253"/>
    </row>
    <row r="179" spans="1:12">
      <c r="A179" s="251"/>
      <c r="B179" s="251"/>
      <c r="C179" s="251"/>
      <c r="D179" s="251"/>
      <c r="E179" s="251"/>
      <c r="F179" s="252"/>
      <c r="G179" s="253"/>
      <c r="H179" s="253"/>
      <c r="I179" s="253"/>
      <c r="J179" s="254"/>
      <c r="K179" s="253"/>
      <c r="L179" s="253"/>
    </row>
    <row r="180" spans="1:12">
      <c r="A180" s="251"/>
      <c r="B180" s="251"/>
      <c r="C180" s="251"/>
      <c r="D180" s="251"/>
      <c r="E180" s="251"/>
      <c r="F180" s="252"/>
      <c r="G180" s="253"/>
      <c r="H180" s="253"/>
      <c r="I180" s="253"/>
      <c r="J180" s="254"/>
      <c r="K180" s="253"/>
      <c r="L180" s="253"/>
    </row>
    <row r="181" spans="1:12">
      <c r="A181" s="251"/>
      <c r="B181" s="251"/>
      <c r="C181" s="251"/>
      <c r="D181" s="251"/>
      <c r="E181" s="251"/>
      <c r="F181" s="252"/>
      <c r="G181" s="253"/>
      <c r="H181" s="253"/>
      <c r="I181" s="253"/>
      <c r="J181" s="254"/>
      <c r="K181" s="253"/>
      <c r="L181" s="253"/>
    </row>
    <row r="182" spans="1:12">
      <c r="A182" s="251"/>
      <c r="B182" s="251"/>
      <c r="C182" s="251"/>
      <c r="D182" s="251"/>
      <c r="E182" s="251"/>
      <c r="F182" s="252"/>
      <c r="G182" s="253"/>
      <c r="H182" s="253"/>
      <c r="I182" s="253"/>
      <c r="J182" s="254"/>
      <c r="K182" s="253"/>
      <c r="L182" s="253"/>
    </row>
    <row r="183" spans="1:12">
      <c r="A183" s="251"/>
      <c r="B183" s="251"/>
      <c r="C183" s="251"/>
      <c r="D183" s="251"/>
      <c r="E183" s="251"/>
      <c r="F183" s="252"/>
      <c r="G183" s="253"/>
      <c r="H183" s="253"/>
      <c r="I183" s="253"/>
      <c r="J183" s="254"/>
      <c r="K183" s="253"/>
      <c r="L183" s="253"/>
    </row>
    <row r="184" spans="1:12">
      <c r="A184" s="251"/>
      <c r="B184" s="251"/>
      <c r="C184" s="251"/>
      <c r="D184" s="251"/>
      <c r="E184" s="251"/>
      <c r="F184" s="252"/>
      <c r="G184" s="253"/>
      <c r="H184" s="253"/>
      <c r="I184" s="253"/>
      <c r="J184" s="254"/>
      <c r="K184" s="253"/>
      <c r="L184" s="253"/>
    </row>
    <row r="185" spans="1:12">
      <c r="A185" s="251"/>
      <c r="B185" s="251"/>
      <c r="C185" s="251"/>
      <c r="D185" s="251"/>
      <c r="E185" s="251"/>
      <c r="F185" s="252"/>
      <c r="G185" s="253"/>
      <c r="H185" s="253"/>
      <c r="I185" s="253"/>
      <c r="J185" s="254"/>
      <c r="K185" s="253"/>
      <c r="L185" s="253"/>
    </row>
    <row r="186" spans="1:12">
      <c r="A186" s="251"/>
      <c r="B186" s="251"/>
      <c r="C186" s="251"/>
      <c r="D186" s="251"/>
      <c r="E186" s="251"/>
      <c r="F186" s="252"/>
      <c r="G186" s="253"/>
      <c r="H186" s="253"/>
      <c r="I186" s="253"/>
      <c r="J186" s="254"/>
      <c r="K186" s="253"/>
      <c r="L186" s="253"/>
    </row>
    <row r="187" spans="1:12">
      <c r="A187" s="251"/>
      <c r="B187" s="251"/>
      <c r="C187" s="251"/>
      <c r="D187" s="251"/>
      <c r="E187" s="251"/>
      <c r="F187" s="252"/>
      <c r="G187" s="253"/>
      <c r="H187" s="253"/>
      <c r="I187" s="253"/>
      <c r="J187" s="254"/>
      <c r="K187" s="253"/>
      <c r="L187" s="253"/>
    </row>
    <row r="188" spans="1:12">
      <c r="A188" s="251"/>
      <c r="B188" s="251"/>
      <c r="C188" s="251"/>
      <c r="D188" s="251"/>
      <c r="E188" s="251"/>
      <c r="F188" s="252"/>
      <c r="G188" s="253"/>
      <c r="H188" s="253"/>
      <c r="I188" s="253"/>
      <c r="J188" s="254"/>
      <c r="K188" s="253"/>
      <c r="L188" s="253"/>
    </row>
    <row r="189" spans="1:12">
      <c r="A189" s="251"/>
      <c r="B189" s="251"/>
      <c r="C189" s="251"/>
      <c r="D189" s="251"/>
      <c r="E189" s="251"/>
      <c r="F189" s="252"/>
      <c r="G189" s="253"/>
      <c r="H189" s="253"/>
      <c r="I189" s="253"/>
      <c r="J189" s="254"/>
      <c r="K189" s="253"/>
      <c r="L189" s="253"/>
    </row>
    <row r="190" spans="1:12">
      <c r="A190" s="251"/>
      <c r="B190" s="251"/>
      <c r="C190" s="251"/>
      <c r="D190" s="251"/>
      <c r="E190" s="251"/>
      <c r="F190" s="252"/>
      <c r="G190" s="253"/>
      <c r="H190" s="253"/>
      <c r="I190" s="253"/>
      <c r="J190" s="254"/>
      <c r="K190" s="253"/>
      <c r="L190" s="253"/>
    </row>
    <row r="191" spans="1:12">
      <c r="A191" s="251"/>
      <c r="B191" s="251"/>
      <c r="C191" s="251"/>
      <c r="D191" s="251"/>
      <c r="E191" s="251"/>
      <c r="F191" s="252"/>
      <c r="G191" s="253"/>
      <c r="H191" s="253"/>
      <c r="I191" s="253"/>
      <c r="J191" s="254"/>
      <c r="K191" s="253"/>
      <c r="L191" s="253"/>
    </row>
    <row r="192" spans="1:12">
      <c r="A192" s="251"/>
      <c r="B192" s="251"/>
      <c r="C192" s="251"/>
      <c r="D192" s="251"/>
      <c r="E192" s="251"/>
      <c r="F192" s="252"/>
      <c r="G192" s="253"/>
      <c r="H192" s="253"/>
      <c r="I192" s="253"/>
      <c r="J192" s="254"/>
      <c r="K192" s="253"/>
      <c r="L192" s="253"/>
    </row>
    <row r="193" spans="1:12">
      <c r="A193" s="251"/>
      <c r="B193" s="251"/>
      <c r="C193" s="251"/>
      <c r="D193" s="251"/>
      <c r="E193" s="251"/>
      <c r="F193" s="252"/>
      <c r="G193" s="253"/>
      <c r="H193" s="253"/>
      <c r="I193" s="253"/>
      <c r="J193" s="254"/>
      <c r="K193" s="253"/>
      <c r="L193" s="253"/>
    </row>
    <row r="194" spans="1:12">
      <c r="A194" s="251"/>
      <c r="B194" s="251"/>
      <c r="C194" s="251"/>
      <c r="D194" s="251"/>
      <c r="E194" s="251"/>
      <c r="F194" s="252"/>
      <c r="G194" s="253"/>
      <c r="H194" s="253"/>
      <c r="I194" s="253"/>
      <c r="J194" s="254"/>
      <c r="K194" s="253"/>
      <c r="L194" s="253"/>
    </row>
    <row r="195" spans="1:12">
      <c r="A195" s="251"/>
      <c r="B195" s="251"/>
      <c r="C195" s="251"/>
      <c r="D195" s="251"/>
      <c r="E195" s="251"/>
      <c r="F195" s="252"/>
      <c r="G195" s="253"/>
      <c r="H195" s="253"/>
      <c r="I195" s="253"/>
      <c r="J195" s="254"/>
      <c r="K195" s="253"/>
      <c r="L195" s="253"/>
    </row>
    <row r="196" spans="1:12">
      <c r="A196" s="251"/>
      <c r="B196" s="251"/>
      <c r="C196" s="251"/>
      <c r="D196" s="251"/>
      <c r="E196" s="251"/>
      <c r="F196" s="252"/>
      <c r="G196" s="253"/>
      <c r="H196" s="253"/>
      <c r="I196" s="253"/>
      <c r="J196" s="254"/>
      <c r="K196" s="253"/>
      <c r="L196" s="253"/>
    </row>
    <row r="197" spans="1:12">
      <c r="A197" s="251"/>
      <c r="B197" s="251"/>
      <c r="C197" s="251"/>
      <c r="D197" s="251"/>
      <c r="E197" s="251"/>
      <c r="F197" s="252"/>
      <c r="G197" s="253"/>
      <c r="H197" s="253"/>
      <c r="I197" s="253"/>
      <c r="J197" s="254"/>
      <c r="K197" s="253"/>
      <c r="L197" s="253"/>
    </row>
    <row r="198" spans="1:12">
      <c r="A198" s="251"/>
      <c r="B198" s="251"/>
      <c r="C198" s="251"/>
      <c r="D198" s="251"/>
      <c r="E198" s="251"/>
      <c r="F198" s="252"/>
      <c r="G198" s="253"/>
      <c r="H198" s="253"/>
      <c r="I198" s="253"/>
      <c r="J198" s="254"/>
      <c r="K198" s="253"/>
      <c r="L198" s="253"/>
    </row>
    <row r="199" spans="1:12">
      <c r="A199" s="251"/>
      <c r="B199" s="251"/>
      <c r="C199" s="251"/>
      <c r="D199" s="251"/>
      <c r="E199" s="251"/>
      <c r="F199" s="252"/>
      <c r="G199" s="253"/>
      <c r="H199" s="253"/>
      <c r="I199" s="253"/>
      <c r="J199" s="254"/>
      <c r="K199" s="253"/>
      <c r="L199" s="253"/>
    </row>
    <row r="200" spans="1:12">
      <c r="A200" s="251"/>
      <c r="B200" s="251"/>
      <c r="C200" s="251"/>
      <c r="D200" s="251"/>
      <c r="E200" s="251"/>
      <c r="F200" s="252"/>
      <c r="G200" s="253"/>
      <c r="H200" s="253"/>
      <c r="I200" s="253"/>
      <c r="J200" s="254"/>
      <c r="K200" s="253"/>
      <c r="L200" s="253"/>
    </row>
    <row r="201" spans="1:12">
      <c r="A201" s="251"/>
      <c r="B201" s="251"/>
      <c r="C201" s="251"/>
      <c r="D201" s="251"/>
      <c r="E201" s="251"/>
      <c r="F201" s="252"/>
      <c r="G201" s="253"/>
      <c r="H201" s="253"/>
      <c r="I201" s="253"/>
      <c r="J201" s="254"/>
      <c r="K201" s="253"/>
      <c r="L201" s="253"/>
    </row>
    <row r="202" spans="1:12">
      <c r="A202" s="251"/>
      <c r="B202" s="251"/>
      <c r="C202" s="251"/>
      <c r="D202" s="251"/>
      <c r="E202" s="251"/>
      <c r="F202" s="252"/>
      <c r="G202" s="253"/>
      <c r="H202" s="253"/>
      <c r="I202" s="253"/>
      <c r="J202" s="254"/>
      <c r="K202" s="253"/>
      <c r="L202" s="253"/>
    </row>
    <row r="203" spans="1:12">
      <c r="A203" s="251"/>
      <c r="B203" s="251"/>
      <c r="C203" s="251"/>
      <c r="D203" s="251"/>
      <c r="E203" s="251"/>
      <c r="F203" s="252"/>
      <c r="G203" s="253"/>
      <c r="H203" s="253"/>
      <c r="I203" s="253"/>
      <c r="J203" s="254"/>
      <c r="K203" s="253"/>
      <c r="L203" s="253"/>
    </row>
    <row r="204" spans="1:12">
      <c r="A204" s="251"/>
      <c r="B204" s="251"/>
      <c r="C204" s="251"/>
      <c r="D204" s="251"/>
      <c r="E204" s="251"/>
      <c r="F204" s="252"/>
      <c r="G204" s="253"/>
      <c r="H204" s="253"/>
      <c r="I204" s="253"/>
      <c r="J204" s="254"/>
      <c r="K204" s="253"/>
      <c r="L204" s="253"/>
    </row>
    <row r="205" spans="1:12">
      <c r="A205" s="251"/>
      <c r="B205" s="251"/>
      <c r="C205" s="251"/>
      <c r="D205" s="251"/>
      <c r="E205" s="251"/>
      <c r="F205" s="252"/>
      <c r="G205" s="253"/>
      <c r="H205" s="253"/>
      <c r="I205" s="253"/>
      <c r="J205" s="254"/>
      <c r="K205" s="253"/>
      <c r="L205" s="253"/>
    </row>
    <row r="206" spans="1:12">
      <c r="A206" s="251"/>
      <c r="B206" s="251"/>
      <c r="C206" s="251"/>
      <c r="D206" s="251"/>
      <c r="E206" s="251"/>
      <c r="F206" s="252"/>
      <c r="G206" s="253"/>
      <c r="H206" s="253"/>
      <c r="I206" s="253"/>
      <c r="J206" s="254"/>
      <c r="K206" s="253"/>
      <c r="L206" s="253"/>
    </row>
    <row r="207" spans="1:12">
      <c r="A207" s="251"/>
      <c r="B207" s="251"/>
      <c r="C207" s="251"/>
      <c r="D207" s="251"/>
      <c r="E207" s="251"/>
      <c r="F207" s="252"/>
      <c r="G207" s="253"/>
      <c r="H207" s="253"/>
      <c r="I207" s="253"/>
      <c r="J207" s="254"/>
      <c r="K207" s="253"/>
      <c r="L207" s="253"/>
    </row>
    <row r="208" spans="1:12">
      <c r="A208" s="251"/>
      <c r="B208" s="251"/>
      <c r="C208" s="251"/>
      <c r="D208" s="251"/>
      <c r="E208" s="251"/>
      <c r="F208" s="252"/>
      <c r="G208" s="253"/>
      <c r="H208" s="253"/>
      <c r="I208" s="253"/>
      <c r="J208" s="254"/>
      <c r="K208" s="253"/>
      <c r="L208" s="253"/>
    </row>
    <row r="209" spans="1:12">
      <c r="A209" s="251"/>
      <c r="B209" s="251"/>
      <c r="C209" s="251"/>
      <c r="D209" s="251"/>
      <c r="E209" s="251"/>
      <c r="F209" s="252"/>
      <c r="G209" s="253"/>
      <c r="H209" s="253"/>
      <c r="I209" s="253"/>
      <c r="J209" s="254"/>
      <c r="K209" s="253"/>
      <c r="L209" s="253"/>
    </row>
    <row r="210" spans="1:12">
      <c r="A210" s="251"/>
      <c r="B210" s="251"/>
      <c r="C210" s="251"/>
      <c r="D210" s="251"/>
      <c r="E210" s="251"/>
      <c r="F210" s="252"/>
      <c r="G210" s="253"/>
      <c r="H210" s="253"/>
      <c r="I210" s="253"/>
      <c r="J210" s="254"/>
      <c r="K210" s="253"/>
      <c r="L210" s="253"/>
    </row>
    <row r="211" spans="1:12">
      <c r="A211" s="251"/>
      <c r="B211" s="251"/>
      <c r="C211" s="251"/>
      <c r="D211" s="251"/>
      <c r="E211" s="251"/>
      <c r="F211" s="252"/>
      <c r="G211" s="253"/>
      <c r="H211" s="253"/>
      <c r="I211" s="253"/>
      <c r="J211" s="254"/>
      <c r="K211" s="253"/>
      <c r="L211" s="253"/>
    </row>
    <row r="212" spans="1:12">
      <c r="A212" s="251"/>
      <c r="B212" s="251"/>
      <c r="C212" s="251"/>
      <c r="D212" s="251"/>
      <c r="E212" s="251"/>
      <c r="F212" s="252"/>
      <c r="G212" s="253"/>
      <c r="H212" s="253"/>
      <c r="I212" s="253"/>
      <c r="J212" s="254"/>
      <c r="K212" s="253"/>
      <c r="L212" s="253"/>
    </row>
    <row r="213" spans="1:12">
      <c r="A213" s="251"/>
      <c r="B213" s="251"/>
      <c r="C213" s="251"/>
      <c r="D213" s="251"/>
      <c r="E213" s="251"/>
      <c r="F213" s="252"/>
      <c r="G213" s="253"/>
      <c r="H213" s="253"/>
      <c r="I213" s="253"/>
      <c r="J213" s="254"/>
      <c r="K213" s="253"/>
      <c r="L213" s="253"/>
    </row>
    <row r="214" spans="1:12">
      <c r="A214" s="251"/>
      <c r="B214" s="251"/>
      <c r="C214" s="251"/>
      <c r="D214" s="251"/>
      <c r="E214" s="251"/>
      <c r="F214" s="252"/>
      <c r="G214" s="253"/>
      <c r="H214" s="253"/>
      <c r="I214" s="253"/>
      <c r="J214" s="254"/>
      <c r="K214" s="253"/>
      <c r="L214" s="253"/>
    </row>
    <row r="215" spans="1:12">
      <c r="A215" s="251"/>
      <c r="B215" s="251"/>
      <c r="C215" s="251"/>
      <c r="D215" s="251"/>
      <c r="E215" s="251"/>
      <c r="F215" s="252"/>
      <c r="G215" s="253"/>
      <c r="H215" s="253"/>
      <c r="I215" s="253"/>
      <c r="J215" s="254"/>
      <c r="K215" s="253"/>
      <c r="L215" s="253"/>
    </row>
    <row r="216" spans="1:12">
      <c r="A216" s="251"/>
      <c r="B216" s="251"/>
      <c r="C216" s="251"/>
      <c r="D216" s="251"/>
      <c r="E216" s="251"/>
      <c r="F216" s="252"/>
      <c r="G216" s="253"/>
      <c r="H216" s="253"/>
      <c r="I216" s="253"/>
      <c r="J216" s="254"/>
      <c r="K216" s="253"/>
      <c r="L216" s="253"/>
    </row>
    <row r="217" spans="1:12">
      <c r="A217" s="251"/>
      <c r="B217" s="251"/>
      <c r="C217" s="251"/>
      <c r="D217" s="251"/>
      <c r="E217" s="251"/>
      <c r="F217" s="252"/>
      <c r="G217" s="253"/>
      <c r="H217" s="253"/>
      <c r="I217" s="253"/>
      <c r="J217" s="254"/>
      <c r="K217" s="253"/>
      <c r="L217" s="253"/>
    </row>
    <row r="218" spans="1:12">
      <c r="A218" s="251"/>
      <c r="B218" s="251"/>
      <c r="C218" s="251"/>
      <c r="D218" s="251"/>
      <c r="E218" s="251"/>
      <c r="F218" s="252"/>
      <c r="G218" s="253"/>
      <c r="H218" s="253"/>
      <c r="I218" s="253"/>
      <c r="J218" s="254"/>
      <c r="K218" s="253"/>
      <c r="L218" s="253"/>
    </row>
    <row r="219" spans="1:12">
      <c r="A219" s="251"/>
      <c r="B219" s="251"/>
      <c r="C219" s="251"/>
      <c r="D219" s="251"/>
      <c r="E219" s="251"/>
      <c r="F219" s="252"/>
      <c r="G219" s="253"/>
      <c r="H219" s="253"/>
      <c r="I219" s="253"/>
      <c r="J219" s="254"/>
      <c r="K219" s="253"/>
      <c r="L219" s="253"/>
    </row>
    <row r="220" spans="1:12">
      <c r="A220" s="251"/>
      <c r="B220" s="251"/>
      <c r="C220" s="251"/>
      <c r="D220" s="251"/>
      <c r="E220" s="251"/>
      <c r="F220" s="252"/>
      <c r="G220" s="253"/>
      <c r="H220" s="253"/>
      <c r="I220" s="253"/>
      <c r="J220" s="254"/>
      <c r="K220" s="253"/>
      <c r="L220" s="253"/>
    </row>
    <row r="221" spans="1:12">
      <c r="A221" s="251"/>
      <c r="B221" s="251"/>
      <c r="C221" s="251"/>
      <c r="D221" s="251"/>
      <c r="E221" s="251"/>
      <c r="F221" s="252"/>
      <c r="G221" s="253"/>
      <c r="H221" s="253"/>
      <c r="I221" s="253"/>
      <c r="J221" s="254"/>
      <c r="K221" s="253"/>
      <c r="L221" s="253"/>
    </row>
    <row r="222" spans="1:12">
      <c r="A222" s="251"/>
      <c r="B222" s="251"/>
      <c r="C222" s="251"/>
      <c r="D222" s="251"/>
      <c r="E222" s="251"/>
      <c r="F222" s="252"/>
      <c r="G222" s="253"/>
      <c r="H222" s="253"/>
      <c r="I222" s="253"/>
      <c r="J222" s="254"/>
      <c r="K222" s="253"/>
      <c r="L222" s="253"/>
    </row>
    <row r="223" spans="1:12">
      <c r="A223" s="251"/>
      <c r="B223" s="251"/>
      <c r="C223" s="251"/>
      <c r="D223" s="251"/>
      <c r="E223" s="251"/>
      <c r="F223" s="252"/>
      <c r="G223" s="253"/>
      <c r="H223" s="253"/>
      <c r="I223" s="253"/>
      <c r="J223" s="254"/>
      <c r="K223" s="253"/>
      <c r="L223" s="253"/>
    </row>
    <row r="224" spans="1:12">
      <c r="A224" s="251"/>
      <c r="B224" s="251"/>
      <c r="C224" s="251"/>
      <c r="D224" s="251"/>
      <c r="E224" s="251"/>
      <c r="F224" s="252"/>
      <c r="G224" s="253"/>
      <c r="H224" s="253"/>
      <c r="I224" s="253"/>
      <c r="J224" s="254"/>
      <c r="K224" s="253"/>
      <c r="L224" s="253"/>
    </row>
    <row r="225" spans="1:12">
      <c r="A225" s="251"/>
      <c r="B225" s="251"/>
      <c r="C225" s="251"/>
      <c r="D225" s="251"/>
      <c r="E225" s="251"/>
      <c r="F225" s="252"/>
      <c r="G225" s="253"/>
      <c r="H225" s="253"/>
      <c r="I225" s="253"/>
      <c r="J225" s="254"/>
      <c r="K225" s="253"/>
      <c r="L225" s="253"/>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13"/>
  <dimension ref="A1:R474"/>
  <sheetViews>
    <sheetView workbookViewId="0"/>
  </sheetViews>
  <sheetFormatPr defaultRowHeight="12.75"/>
  <cols>
    <col min="1" max="1" width="9.140625" style="9"/>
    <col min="2" max="2" width="35.28515625" style="9" customWidth="1"/>
    <col min="3" max="3" width="11.28515625" style="9" customWidth="1"/>
    <col min="4" max="5" width="10.5703125" style="9" customWidth="1"/>
    <col min="6" max="6" width="11.42578125" style="9" customWidth="1"/>
    <col min="7" max="8" width="9.85546875" style="9" customWidth="1"/>
    <col min="9" max="9" width="6" style="53" customWidth="1"/>
    <col min="10" max="10" width="11.5703125" style="9" customWidth="1"/>
    <col min="11" max="11" width="10.28515625" style="9" bestFit="1" customWidth="1"/>
    <col min="12" max="12" width="9.28515625" style="9" bestFit="1" customWidth="1"/>
    <col min="13" max="14" width="9.140625" style="9"/>
    <col min="15" max="15" width="18" style="9" bestFit="1" customWidth="1"/>
    <col min="16" max="16" width="32.85546875" style="9" customWidth="1"/>
    <col min="17" max="18" width="7.85546875" style="9" bestFit="1" customWidth="1"/>
    <col min="19" max="16384" width="9.140625" style="9"/>
  </cols>
  <sheetData>
    <row r="1" spans="1:18" ht="15.75" thickBot="1">
      <c r="A1" s="9" t="s">
        <v>1011</v>
      </c>
      <c r="G1" s="9" t="s">
        <v>1438</v>
      </c>
      <c r="H1" s="559">
        <v>8.1390946695386157E-2</v>
      </c>
      <c r="I1" s="9"/>
      <c r="K1" s="45" t="s">
        <v>747</v>
      </c>
    </row>
    <row r="2" spans="1:18" ht="13.5" thickBot="1">
      <c r="B2" s="9">
        <v>1</v>
      </c>
      <c r="C2" s="9">
        <v>2</v>
      </c>
      <c r="D2" s="9">
        <v>3</v>
      </c>
      <c r="E2" s="9">
        <v>4</v>
      </c>
      <c r="F2" s="9">
        <v>5</v>
      </c>
      <c r="G2" s="9">
        <v>6</v>
      </c>
      <c r="I2" s="9">
        <v>7</v>
      </c>
      <c r="J2" s="9">
        <v>9</v>
      </c>
      <c r="K2" s="9">
        <v>10</v>
      </c>
      <c r="L2" s="9">
        <v>11</v>
      </c>
      <c r="M2" s="9">
        <v>12</v>
      </c>
      <c r="Q2" s="408" t="s">
        <v>748</v>
      </c>
      <c r="R2" s="409"/>
    </row>
    <row r="3" spans="1:18">
      <c r="D3" s="39"/>
      <c r="E3" s="39"/>
      <c r="F3" s="39"/>
      <c r="I3" s="9"/>
      <c r="Q3" s="619" t="s">
        <v>749</v>
      </c>
      <c r="R3" s="620"/>
    </row>
    <row r="4" spans="1:18" s="45" customFormat="1" ht="13.5" thickBot="1">
      <c r="A4" s="45" t="s">
        <v>752</v>
      </c>
      <c r="B4" s="45" t="s">
        <v>753</v>
      </c>
      <c r="C4" s="45" t="s">
        <v>754</v>
      </c>
      <c r="D4" s="217" t="s">
        <v>755</v>
      </c>
      <c r="E4" s="217" t="s">
        <v>756</v>
      </c>
      <c r="F4" s="217" t="s">
        <v>757</v>
      </c>
      <c r="G4" s="217" t="s">
        <v>758</v>
      </c>
      <c r="H4" s="217" t="s">
        <v>1010</v>
      </c>
      <c r="I4" s="217"/>
      <c r="J4" s="45" t="s">
        <v>759</v>
      </c>
      <c r="M4" s="45" t="s">
        <v>760</v>
      </c>
      <c r="P4" s="45" t="s">
        <v>761</v>
      </c>
      <c r="Q4" s="218" t="s">
        <v>1171</v>
      </c>
      <c r="R4" s="219" t="s">
        <v>762</v>
      </c>
    </row>
    <row r="5" spans="1:18">
      <c r="A5" s="220" t="s">
        <v>227</v>
      </c>
      <c r="B5" s="9" t="s">
        <v>763</v>
      </c>
      <c r="C5" s="9" t="s">
        <v>764</v>
      </c>
      <c r="D5" s="39">
        <f>analysis!H79</f>
        <v>635.55649332988514</v>
      </c>
      <c r="E5" s="39">
        <f>analysis!I79</f>
        <v>27.353272857142883</v>
      </c>
      <c r="F5" s="39">
        <f>analysis!J79</f>
        <v>0</v>
      </c>
      <c r="G5" s="39">
        <f>SUM(D5:F5)</f>
        <v>662.90976618702803</v>
      </c>
      <c r="H5" s="39">
        <f>AdjustedOutput!V5*$H$1</f>
        <v>47.007976510048785</v>
      </c>
      <c r="I5" s="221"/>
      <c r="J5" s="222">
        <f>VLOOKUP($O5,$P$5:$Q$28,2,FALSE)</f>
        <v>3448.4089999999997</v>
      </c>
      <c r="K5" s="223"/>
      <c r="M5" s="223">
        <f t="shared" ref="M5:M36" si="0">IF(RIGHT(B5,1)="0",0,1000)</f>
        <v>0</v>
      </c>
      <c r="O5" s="9" t="str">
        <f>LEFT(B5,7)&amp;"1"&amp;MID(B5,9,7)</f>
        <v>NWHZ1CZ1_1568n_</v>
      </c>
      <c r="P5" s="9" t="s">
        <v>765</v>
      </c>
      <c r="Q5" s="224">
        <f>1.038*R5</f>
        <v>3448.4089999999997</v>
      </c>
      <c r="R5" s="225">
        <f>'HP sizes&amp;costs'!AP6</f>
        <v>3322.1666666666661</v>
      </c>
    </row>
    <row r="6" spans="1:18">
      <c r="A6" s="220" t="s">
        <v>227</v>
      </c>
      <c r="B6" s="9" t="s">
        <v>766</v>
      </c>
      <c r="C6" s="9" t="s">
        <v>767</v>
      </c>
      <c r="D6" s="39">
        <f>analysis!H80</f>
        <v>635.55649332988514</v>
      </c>
      <c r="E6" s="39">
        <f>analysis!I80</f>
        <v>90.281314321428567</v>
      </c>
      <c r="F6" s="39">
        <f>analysis!J80</f>
        <v>0</v>
      </c>
      <c r="G6" s="39">
        <f t="shared" ref="G6:G69" si="1">SUM(D6:F6)</f>
        <v>725.83780765131371</v>
      </c>
      <c r="H6" s="39">
        <f>AdjustedOutput!V6*$H$1</f>
        <v>47.007976510048785</v>
      </c>
      <c r="I6" s="221"/>
      <c r="J6" s="222">
        <f t="shared" ref="J6:J69" si="2">VLOOKUP($O6,$P$5:$Q$28,2,FALSE)</f>
        <v>3448.4089999999997</v>
      </c>
      <c r="K6" s="223"/>
      <c r="M6" s="223">
        <f t="shared" si="0"/>
        <v>0</v>
      </c>
      <c r="O6" s="9" t="str">
        <f t="shared" ref="O6:O69" si="3">LEFT(B6,7)&amp;"1"&amp;MID(B6,9,7)</f>
        <v>NWHZ1CZ1_1568n_</v>
      </c>
      <c r="P6" s="9" t="s">
        <v>768</v>
      </c>
      <c r="Q6" s="224">
        <f t="shared" ref="Q6:Q28" si="4">1.038*R6</f>
        <v>3486.6420000000003</v>
      </c>
      <c r="R6" s="225">
        <f>'HP sizes&amp;costs'!AP7</f>
        <v>3359</v>
      </c>
    </row>
    <row r="7" spans="1:18">
      <c r="A7" s="220" t="s">
        <v>227</v>
      </c>
      <c r="B7" s="9" t="s">
        <v>769</v>
      </c>
      <c r="C7" s="9" t="s">
        <v>770</v>
      </c>
      <c r="D7" s="39">
        <f>analysis!H81</f>
        <v>635.55649332988514</v>
      </c>
      <c r="E7" s="39">
        <f>analysis!I81</f>
        <v>193.9451857142858</v>
      </c>
      <c r="F7" s="39">
        <f>analysis!J81</f>
        <v>0</v>
      </c>
      <c r="G7" s="39">
        <f t="shared" si="1"/>
        <v>829.50167904417094</v>
      </c>
      <c r="H7" s="39">
        <f>AdjustedOutput!V7*$H$1</f>
        <v>47.007976510048785</v>
      </c>
      <c r="I7" s="221"/>
      <c r="J7" s="222">
        <f t="shared" si="2"/>
        <v>3448.4089999999997</v>
      </c>
      <c r="K7" s="223"/>
      <c r="M7" s="223">
        <f t="shared" si="0"/>
        <v>0</v>
      </c>
      <c r="O7" s="9" t="str">
        <f t="shared" si="3"/>
        <v>NWHZ1CZ1_1568n_</v>
      </c>
      <c r="P7" s="9" t="s">
        <v>771</v>
      </c>
      <c r="Q7" s="224">
        <f t="shared" si="4"/>
        <v>7001.8290000000006</v>
      </c>
      <c r="R7" s="225">
        <f>'HP sizes&amp;costs'!AP8</f>
        <v>6745.5</v>
      </c>
    </row>
    <row r="8" spans="1:18">
      <c r="A8" s="220" t="s">
        <v>227</v>
      </c>
      <c r="B8" s="9" t="s">
        <v>772</v>
      </c>
      <c r="C8" s="9" t="s">
        <v>764</v>
      </c>
      <c r="D8" s="39">
        <f>analysis!H82</f>
        <v>715.4474870658587</v>
      </c>
      <c r="E8" s="39">
        <f>analysis!I82</f>
        <v>27.119184535714282</v>
      </c>
      <c r="F8" s="39">
        <f>analysis!J82</f>
        <v>0</v>
      </c>
      <c r="G8" s="39">
        <f t="shared" si="1"/>
        <v>742.56667160157303</v>
      </c>
      <c r="H8" s="39">
        <f>AdjustedOutput!V8*$H$1</f>
        <v>52.661652112711288</v>
      </c>
      <c r="I8" s="221"/>
      <c r="J8" s="222">
        <f t="shared" si="2"/>
        <v>3486.6420000000003</v>
      </c>
      <c r="K8" s="223"/>
      <c r="M8" s="223">
        <f t="shared" si="0"/>
        <v>0</v>
      </c>
      <c r="O8" s="9" t="str">
        <f t="shared" si="3"/>
        <v>WxHZ1CZ1_1568e_</v>
      </c>
      <c r="P8" s="9" t="s">
        <v>773</v>
      </c>
      <c r="Q8" s="224">
        <f t="shared" si="4"/>
        <v>7073.7969999999987</v>
      </c>
      <c r="R8" s="225">
        <f>'HP sizes&amp;costs'!AP9</f>
        <v>6814.8333333333321</v>
      </c>
    </row>
    <row r="9" spans="1:18">
      <c r="A9" s="220" t="s">
        <v>227</v>
      </c>
      <c r="B9" s="9" t="s">
        <v>774</v>
      </c>
      <c r="C9" s="9" t="s">
        <v>767</v>
      </c>
      <c r="D9" s="39">
        <f>analysis!H83</f>
        <v>715.4474870658587</v>
      </c>
      <c r="E9" s="39">
        <f>analysis!I83</f>
        <v>91.034953892857175</v>
      </c>
      <c r="F9" s="39">
        <f>analysis!J83</f>
        <v>0</v>
      </c>
      <c r="G9" s="39">
        <f t="shared" si="1"/>
        <v>806.48244095871587</v>
      </c>
      <c r="H9" s="39">
        <f>AdjustedOutput!V9*$H$1</f>
        <v>52.661652112711288</v>
      </c>
      <c r="I9" s="221"/>
      <c r="J9" s="222">
        <f t="shared" si="2"/>
        <v>3486.6420000000003</v>
      </c>
      <c r="K9" s="223"/>
      <c r="M9" s="223">
        <f t="shared" si="0"/>
        <v>0</v>
      </c>
      <c r="O9" s="9" t="str">
        <f t="shared" si="3"/>
        <v>WxHZ1CZ1_1568e_</v>
      </c>
      <c r="P9" s="9" t="s">
        <v>775</v>
      </c>
      <c r="Q9" s="224">
        <f t="shared" si="4"/>
        <v>11184.969000000001</v>
      </c>
      <c r="R9" s="225">
        <f>'HP sizes&amp;costs'!AP10</f>
        <v>10775.5</v>
      </c>
    </row>
    <row r="10" spans="1:18">
      <c r="A10" s="220" t="s">
        <v>227</v>
      </c>
      <c r="B10" s="9" t="s">
        <v>776</v>
      </c>
      <c r="C10" s="9" t="s">
        <v>770</v>
      </c>
      <c r="D10" s="39">
        <f>analysis!H84</f>
        <v>715.4474870658587</v>
      </c>
      <c r="E10" s="39">
        <f>analysis!I84</f>
        <v>198.12232553571425</v>
      </c>
      <c r="F10" s="39">
        <f>analysis!J84</f>
        <v>0</v>
      </c>
      <c r="G10" s="39">
        <f t="shared" si="1"/>
        <v>913.56981260157295</v>
      </c>
      <c r="H10" s="39">
        <f>AdjustedOutput!V10*$H$1</f>
        <v>52.661652112711288</v>
      </c>
      <c r="I10" s="221"/>
      <c r="J10" s="222">
        <f t="shared" si="2"/>
        <v>3486.6420000000003</v>
      </c>
      <c r="K10" s="223"/>
      <c r="M10" s="223">
        <f t="shared" si="0"/>
        <v>0</v>
      </c>
      <c r="O10" s="9" t="str">
        <f t="shared" si="3"/>
        <v>WxHZ1CZ1_1568e_</v>
      </c>
      <c r="P10" s="9" t="s">
        <v>777</v>
      </c>
      <c r="Q10" s="224">
        <f t="shared" si="4"/>
        <v>11363.764500000001</v>
      </c>
      <c r="R10" s="225">
        <f>'HP sizes&amp;costs'!AP11</f>
        <v>10947.75</v>
      </c>
    </row>
    <row r="11" spans="1:18">
      <c r="A11" s="220" t="s">
        <v>227</v>
      </c>
      <c r="B11" s="9" t="s">
        <v>778</v>
      </c>
      <c r="C11" s="9" t="s">
        <v>779</v>
      </c>
      <c r="D11" s="39">
        <f>analysis!H85</f>
        <v>1432.5334368660228</v>
      </c>
      <c r="E11" s="39">
        <f>analysis!I85</f>
        <v>27.353272857142883</v>
      </c>
      <c r="F11" s="39">
        <f>analysis!J85</f>
        <v>0</v>
      </c>
      <c r="G11" s="39">
        <f t="shared" si="1"/>
        <v>1459.8867097231657</v>
      </c>
      <c r="H11" s="39">
        <f>AdjustedOutput!V11*$H$1</f>
        <v>53.812004960635029</v>
      </c>
      <c r="I11" s="221"/>
      <c r="J11" s="222">
        <f t="shared" si="2"/>
        <v>7001.8290000000006</v>
      </c>
      <c r="K11" s="223"/>
      <c r="M11" s="223">
        <f t="shared" si="0"/>
        <v>0</v>
      </c>
      <c r="O11" s="9" t="str">
        <f t="shared" si="3"/>
        <v>NWHZ2CZ1_1568n_</v>
      </c>
      <c r="P11" s="9" t="s">
        <v>780</v>
      </c>
      <c r="Q11" s="224">
        <f t="shared" si="4"/>
        <v>4348.0955000000013</v>
      </c>
      <c r="R11" s="225">
        <f>'HP sizes&amp;costs'!AP12</f>
        <v>4188.9166666666679</v>
      </c>
    </row>
    <row r="12" spans="1:18">
      <c r="A12" s="220" t="s">
        <v>227</v>
      </c>
      <c r="B12" s="9" t="s">
        <v>781</v>
      </c>
      <c r="C12" s="9" t="s">
        <v>782</v>
      </c>
      <c r="D12" s="39">
        <f>analysis!H86</f>
        <v>1432.5334368660228</v>
      </c>
      <c r="E12" s="39">
        <f>analysis!I86</f>
        <v>90.281314321428567</v>
      </c>
      <c r="F12" s="39">
        <f>analysis!J86</f>
        <v>0</v>
      </c>
      <c r="G12" s="39">
        <f t="shared" si="1"/>
        <v>1522.8147511874513</v>
      </c>
      <c r="H12" s="39">
        <f>AdjustedOutput!V12*$H$1</f>
        <v>53.812004960635029</v>
      </c>
      <c r="I12" s="221"/>
      <c r="J12" s="222">
        <f t="shared" si="2"/>
        <v>7001.8290000000006</v>
      </c>
      <c r="K12" s="223"/>
      <c r="M12" s="223">
        <f t="shared" si="0"/>
        <v>0</v>
      </c>
      <c r="O12" s="9" t="str">
        <f t="shared" si="3"/>
        <v>NWHZ2CZ1_1568n_</v>
      </c>
      <c r="P12" s="9" t="s">
        <v>783</v>
      </c>
      <c r="Q12" s="224">
        <f t="shared" si="4"/>
        <v>5099.348</v>
      </c>
      <c r="R12" s="225">
        <f>'HP sizes&amp;costs'!AP13</f>
        <v>4912.6666666666661</v>
      </c>
    </row>
    <row r="13" spans="1:18">
      <c r="A13" s="220" t="s">
        <v>227</v>
      </c>
      <c r="B13" s="9" t="s">
        <v>784</v>
      </c>
      <c r="C13" s="9" t="s">
        <v>785</v>
      </c>
      <c r="D13" s="39">
        <f>analysis!H87</f>
        <v>1432.5334368660228</v>
      </c>
      <c r="E13" s="39">
        <f>analysis!I87</f>
        <v>193.9451857142858</v>
      </c>
      <c r="F13" s="39">
        <f>analysis!J87</f>
        <v>0</v>
      </c>
      <c r="G13" s="39">
        <f t="shared" si="1"/>
        <v>1626.4786225803086</v>
      </c>
      <c r="H13" s="39">
        <f>AdjustedOutput!V13*$H$1</f>
        <v>53.812004960635029</v>
      </c>
      <c r="I13" s="221"/>
      <c r="J13" s="222">
        <f t="shared" si="2"/>
        <v>7001.8290000000006</v>
      </c>
      <c r="K13" s="223"/>
      <c r="M13" s="223">
        <f t="shared" si="0"/>
        <v>0</v>
      </c>
      <c r="O13" s="9" t="str">
        <f t="shared" si="3"/>
        <v>NWHZ2CZ1_1568n_</v>
      </c>
      <c r="P13" s="9" t="s">
        <v>786</v>
      </c>
      <c r="Q13" s="224">
        <f t="shared" si="4"/>
        <v>8578.4645000000019</v>
      </c>
      <c r="R13" s="225">
        <f>'HP sizes&amp;costs'!AP14</f>
        <v>8264.4166666666679</v>
      </c>
    </row>
    <row r="14" spans="1:18">
      <c r="A14" s="220" t="s">
        <v>227</v>
      </c>
      <c r="B14" s="9" t="s">
        <v>787</v>
      </c>
      <c r="C14" s="9" t="s">
        <v>779</v>
      </c>
      <c r="D14" s="39">
        <f>analysis!H88</f>
        <v>1605.7880373830581</v>
      </c>
      <c r="E14" s="39">
        <f>analysis!I88</f>
        <v>27.119184535714282</v>
      </c>
      <c r="F14" s="39">
        <f>analysis!J88</f>
        <v>0</v>
      </c>
      <c r="G14" s="39">
        <f t="shared" si="1"/>
        <v>1632.9072219187724</v>
      </c>
      <c r="H14" s="39">
        <f>AdjustedOutput!V14*$H$1</f>
        <v>59.740419298845509</v>
      </c>
      <c r="I14" s="221"/>
      <c r="J14" s="222">
        <f t="shared" si="2"/>
        <v>7073.7969999999987</v>
      </c>
      <c r="K14" s="223"/>
      <c r="M14" s="223">
        <f t="shared" si="0"/>
        <v>0</v>
      </c>
      <c r="O14" s="9" t="str">
        <f t="shared" si="3"/>
        <v>WxHZ2CZ1_1568e_</v>
      </c>
      <c r="P14" s="9" t="s">
        <v>788</v>
      </c>
      <c r="Q14" s="224">
        <f t="shared" si="4"/>
        <v>10276.546</v>
      </c>
      <c r="R14" s="225">
        <f>'HP sizes&amp;costs'!AP15</f>
        <v>9900.3333333333339</v>
      </c>
    </row>
    <row r="15" spans="1:18">
      <c r="A15" s="220" t="s">
        <v>227</v>
      </c>
      <c r="B15" s="9" t="s">
        <v>789</v>
      </c>
      <c r="C15" s="9" t="s">
        <v>782</v>
      </c>
      <c r="D15" s="39">
        <f>analysis!H89</f>
        <v>1605.7880373830581</v>
      </c>
      <c r="E15" s="39">
        <f>analysis!I89</f>
        <v>91.034953892857175</v>
      </c>
      <c r="F15" s="39">
        <f>analysis!J89</f>
        <v>0</v>
      </c>
      <c r="G15" s="39">
        <f t="shared" si="1"/>
        <v>1696.8229912759152</v>
      </c>
      <c r="H15" s="39">
        <f>AdjustedOutput!V15*$H$1</f>
        <v>59.740419298845509</v>
      </c>
      <c r="I15" s="221"/>
      <c r="J15" s="222">
        <f t="shared" si="2"/>
        <v>7073.7969999999987</v>
      </c>
      <c r="K15" s="223"/>
      <c r="M15" s="223">
        <f t="shared" si="0"/>
        <v>0</v>
      </c>
      <c r="O15" s="9" t="str">
        <f t="shared" si="3"/>
        <v>WxHZ2CZ1_1568e_</v>
      </c>
      <c r="P15" s="9" t="s">
        <v>790</v>
      </c>
      <c r="Q15" s="224">
        <f t="shared" si="4"/>
        <v>13902.972</v>
      </c>
      <c r="R15" s="225">
        <f>'HP sizes&amp;costs'!AP16</f>
        <v>13394</v>
      </c>
    </row>
    <row r="16" spans="1:18">
      <c r="A16" s="220" t="s">
        <v>227</v>
      </c>
      <c r="B16" s="9" t="s">
        <v>791</v>
      </c>
      <c r="C16" s="9" t="s">
        <v>785</v>
      </c>
      <c r="D16" s="39">
        <f>analysis!H90</f>
        <v>1605.7880373830581</v>
      </c>
      <c r="E16" s="39">
        <f>analysis!I90</f>
        <v>198.12232553571425</v>
      </c>
      <c r="F16" s="39">
        <f>analysis!J90</f>
        <v>0</v>
      </c>
      <c r="G16" s="39">
        <f t="shared" si="1"/>
        <v>1803.9103629187723</v>
      </c>
      <c r="H16" s="39">
        <f>AdjustedOutput!V16*$H$1</f>
        <v>59.740419298845509</v>
      </c>
      <c r="I16" s="221"/>
      <c r="J16" s="222">
        <f t="shared" si="2"/>
        <v>7073.7969999999987</v>
      </c>
      <c r="K16" s="223"/>
      <c r="M16" s="223">
        <f t="shared" si="0"/>
        <v>0</v>
      </c>
      <c r="O16" s="9" t="str">
        <f t="shared" si="3"/>
        <v>WxHZ2CZ1_1568e_</v>
      </c>
      <c r="P16" s="9" t="s">
        <v>792</v>
      </c>
      <c r="Q16" s="224">
        <f t="shared" si="4"/>
        <v>16904.349000000002</v>
      </c>
      <c r="R16" s="225">
        <f>'HP sizes&amp;costs'!AP17</f>
        <v>16285.5</v>
      </c>
    </row>
    <row r="17" spans="1:18">
      <c r="A17" s="220" t="s">
        <v>227</v>
      </c>
      <c r="B17" s="9" t="s">
        <v>793</v>
      </c>
      <c r="C17" s="9" t="s">
        <v>794</v>
      </c>
      <c r="D17" s="39">
        <f>analysis!H91</f>
        <v>2019.0296758868699</v>
      </c>
      <c r="E17" s="39">
        <f>analysis!I91</f>
        <v>27.353272857142883</v>
      </c>
      <c r="F17" s="39">
        <f>analysis!J91</f>
        <v>0</v>
      </c>
      <c r="G17" s="39">
        <f t="shared" si="1"/>
        <v>2046.3829487440128</v>
      </c>
      <c r="H17" s="39">
        <f>AdjustedOutput!V17*$H$1</f>
        <v>63.353800687463767</v>
      </c>
      <c r="I17" s="221"/>
      <c r="J17" s="222">
        <f t="shared" si="2"/>
        <v>11184.969000000001</v>
      </c>
      <c r="K17" s="223"/>
      <c r="M17" s="223">
        <f t="shared" si="0"/>
        <v>0</v>
      </c>
      <c r="O17" s="9" t="str">
        <f t="shared" si="3"/>
        <v>NWHZ3CZ1_1568n_</v>
      </c>
      <c r="P17" s="9" t="s">
        <v>795</v>
      </c>
      <c r="Q17" s="224">
        <f t="shared" si="4"/>
        <v>4276.1275000000005</v>
      </c>
      <c r="R17" s="225">
        <f>'HP sizes&amp;costs'!AP18</f>
        <v>4119.5833333333339</v>
      </c>
    </row>
    <row r="18" spans="1:18">
      <c r="A18" s="220" t="s">
        <v>227</v>
      </c>
      <c r="B18" s="9" t="s">
        <v>796</v>
      </c>
      <c r="C18" s="9" t="s">
        <v>797</v>
      </c>
      <c r="D18" s="39">
        <f>analysis!H92</f>
        <v>2019.0296758868699</v>
      </c>
      <c r="E18" s="39">
        <f>analysis!I92</f>
        <v>90.281314321428567</v>
      </c>
      <c r="F18" s="39">
        <f>analysis!J92</f>
        <v>0</v>
      </c>
      <c r="G18" s="39">
        <f t="shared" si="1"/>
        <v>2109.3109902082983</v>
      </c>
      <c r="H18" s="39">
        <f>AdjustedOutput!V18*$H$1</f>
        <v>63.353800687463767</v>
      </c>
      <c r="I18" s="221"/>
      <c r="J18" s="222">
        <f t="shared" si="2"/>
        <v>11184.969000000001</v>
      </c>
      <c r="K18" s="223"/>
      <c r="M18" s="223">
        <f t="shared" si="0"/>
        <v>0</v>
      </c>
      <c r="O18" s="9" t="str">
        <f t="shared" si="3"/>
        <v>NWHZ3CZ1_1568n_</v>
      </c>
      <c r="P18" s="9" t="s">
        <v>798</v>
      </c>
      <c r="Q18" s="224">
        <f t="shared" si="4"/>
        <v>4350.3444999999992</v>
      </c>
      <c r="R18" s="225">
        <f>'HP sizes&amp;costs'!AP19</f>
        <v>4191.0833333333321</v>
      </c>
    </row>
    <row r="19" spans="1:18">
      <c r="A19" s="220" t="s">
        <v>227</v>
      </c>
      <c r="B19" s="9" t="s">
        <v>799</v>
      </c>
      <c r="C19" s="9" t="s">
        <v>800</v>
      </c>
      <c r="D19" s="39">
        <f>analysis!H93</f>
        <v>2019.0296758868699</v>
      </c>
      <c r="E19" s="39">
        <f>analysis!I93</f>
        <v>193.9451857142858</v>
      </c>
      <c r="F19" s="39">
        <f>analysis!J93</f>
        <v>0</v>
      </c>
      <c r="G19" s="39">
        <f t="shared" si="1"/>
        <v>2212.9748616011557</v>
      </c>
      <c r="H19" s="39">
        <f>AdjustedOutput!V19*$H$1</f>
        <v>63.353800687463767</v>
      </c>
      <c r="I19" s="221"/>
      <c r="J19" s="222">
        <f t="shared" si="2"/>
        <v>11184.969000000001</v>
      </c>
      <c r="K19" s="223"/>
      <c r="M19" s="223">
        <f t="shared" si="0"/>
        <v>0</v>
      </c>
      <c r="O19" s="9" t="str">
        <f t="shared" si="3"/>
        <v>NWHZ3CZ1_1568n_</v>
      </c>
      <c r="P19" s="9" t="s">
        <v>801</v>
      </c>
      <c r="Q19" s="224">
        <f t="shared" si="4"/>
        <v>8439.0265000000036</v>
      </c>
      <c r="R19" s="225">
        <f>'HP sizes&amp;costs'!AP20</f>
        <v>8130.0833333333358</v>
      </c>
    </row>
    <row r="20" spans="1:18">
      <c r="A20" s="220" t="s">
        <v>227</v>
      </c>
      <c r="B20" s="9" t="s">
        <v>802</v>
      </c>
      <c r="C20" s="9" t="s">
        <v>794</v>
      </c>
      <c r="D20" s="39">
        <f>analysis!H94</f>
        <v>2251.3094993042077</v>
      </c>
      <c r="E20" s="39">
        <f>analysis!I94</f>
        <v>27.119184535714282</v>
      </c>
      <c r="F20" s="39">
        <f>analysis!J94</f>
        <v>0</v>
      </c>
      <c r="G20" s="39">
        <f t="shared" si="1"/>
        <v>2278.4286838399221</v>
      </c>
      <c r="H20" s="39">
        <f>AdjustedOutput!V20*$H$1</f>
        <v>70.319769869522915</v>
      </c>
      <c r="I20" s="221"/>
      <c r="J20" s="222">
        <f t="shared" si="2"/>
        <v>11363.764500000001</v>
      </c>
      <c r="K20" s="223"/>
      <c r="M20" s="223">
        <f t="shared" si="0"/>
        <v>0</v>
      </c>
      <c r="O20" s="9" t="str">
        <f t="shared" si="3"/>
        <v>WxHZ3CZ1_1568e_</v>
      </c>
      <c r="P20" s="9" t="s">
        <v>803</v>
      </c>
      <c r="Q20" s="224">
        <f t="shared" si="4"/>
        <v>8569.4685000000009</v>
      </c>
      <c r="R20" s="225">
        <f>'HP sizes&amp;costs'!AP21</f>
        <v>8255.75</v>
      </c>
    </row>
    <row r="21" spans="1:18">
      <c r="A21" s="220" t="s">
        <v>227</v>
      </c>
      <c r="B21" s="9" t="s">
        <v>804</v>
      </c>
      <c r="C21" s="9" t="s">
        <v>797</v>
      </c>
      <c r="D21" s="39">
        <f>analysis!H95</f>
        <v>2251.3094993042077</v>
      </c>
      <c r="E21" s="39">
        <f>analysis!I95</f>
        <v>91.034953892857175</v>
      </c>
      <c r="F21" s="39">
        <f>analysis!J95</f>
        <v>0</v>
      </c>
      <c r="G21" s="39">
        <f t="shared" si="1"/>
        <v>2342.3444531970649</v>
      </c>
      <c r="H21" s="39">
        <f>AdjustedOutput!V21*$H$1</f>
        <v>70.319769869522915</v>
      </c>
      <c r="I21" s="221"/>
      <c r="J21" s="222">
        <f t="shared" si="2"/>
        <v>11363.764500000001</v>
      </c>
      <c r="K21" s="223"/>
      <c r="M21" s="223">
        <f t="shared" si="0"/>
        <v>0</v>
      </c>
      <c r="O21" s="9" t="str">
        <f t="shared" si="3"/>
        <v>WxHZ3CZ1_1568e_</v>
      </c>
      <c r="P21" s="9" t="s">
        <v>805</v>
      </c>
      <c r="Q21" s="224">
        <f t="shared" si="4"/>
        <v>13619.598</v>
      </c>
      <c r="R21" s="225">
        <f>'HP sizes&amp;costs'!AP22</f>
        <v>13121</v>
      </c>
    </row>
    <row r="22" spans="1:18">
      <c r="A22" s="220" t="s">
        <v>227</v>
      </c>
      <c r="B22" s="9" t="s">
        <v>806</v>
      </c>
      <c r="C22" s="9" t="s">
        <v>800</v>
      </c>
      <c r="D22" s="39">
        <f>analysis!H96</f>
        <v>2251.3094993042077</v>
      </c>
      <c r="E22" s="39">
        <f>analysis!I96</f>
        <v>198.12232553571425</v>
      </c>
      <c r="F22" s="39">
        <f>analysis!J96</f>
        <v>0</v>
      </c>
      <c r="G22" s="39">
        <f t="shared" si="1"/>
        <v>2449.4318248399222</v>
      </c>
      <c r="H22" s="39">
        <f>AdjustedOutput!V22*$H$1</f>
        <v>70.319769869522915</v>
      </c>
      <c r="I22" s="221"/>
      <c r="J22" s="222">
        <f t="shared" si="2"/>
        <v>11363.764500000001</v>
      </c>
      <c r="K22" s="223"/>
      <c r="M22" s="223">
        <f t="shared" si="0"/>
        <v>0</v>
      </c>
      <c r="O22" s="9" t="str">
        <f t="shared" si="3"/>
        <v>WxHZ3CZ1_1568e_</v>
      </c>
      <c r="P22" s="9" t="s">
        <v>807</v>
      </c>
      <c r="Q22" s="224">
        <f t="shared" si="4"/>
        <v>13929.960000000001</v>
      </c>
      <c r="R22" s="225">
        <f>'HP sizes&amp;costs'!AP23</f>
        <v>13420</v>
      </c>
    </row>
    <row r="23" spans="1:18">
      <c r="A23" s="220" t="s">
        <v>227</v>
      </c>
      <c r="B23" s="9" t="s">
        <v>808</v>
      </c>
      <c r="C23" s="9" t="s">
        <v>764</v>
      </c>
      <c r="D23" s="39">
        <f>analysis!H97</f>
        <v>1034.5443121852654</v>
      </c>
      <c r="E23" s="39">
        <f>analysis!I97</f>
        <v>45.550705214285699</v>
      </c>
      <c r="F23" s="39">
        <f>analysis!J97</f>
        <v>0</v>
      </c>
      <c r="G23" s="39">
        <f t="shared" si="1"/>
        <v>1080.0950173995511</v>
      </c>
      <c r="H23" s="39">
        <f>AdjustedOutput!V23*$H$1</f>
        <v>68.275835470213408</v>
      </c>
      <c r="I23" s="221"/>
      <c r="J23" s="222">
        <f t="shared" si="2"/>
        <v>4348.0955000000013</v>
      </c>
      <c r="K23" s="223"/>
      <c r="M23" s="223">
        <f t="shared" si="0"/>
        <v>0</v>
      </c>
      <c r="O23" s="9" t="str">
        <f t="shared" si="3"/>
        <v>NWHZ1CZ1_2200n_</v>
      </c>
      <c r="P23" s="9" t="s">
        <v>809</v>
      </c>
      <c r="Q23" s="224">
        <f t="shared" si="4"/>
        <v>6009.2415000000001</v>
      </c>
      <c r="R23" s="225">
        <f>'HP sizes&amp;costs'!AP24</f>
        <v>5789.25</v>
      </c>
    </row>
    <row r="24" spans="1:18">
      <c r="A24" s="220" t="s">
        <v>227</v>
      </c>
      <c r="B24" s="9" t="s">
        <v>810</v>
      </c>
      <c r="C24" s="9" t="s">
        <v>767</v>
      </c>
      <c r="D24" s="39">
        <f>analysis!H98</f>
        <v>1034.5443121852654</v>
      </c>
      <c r="E24" s="39">
        <f>analysis!I98</f>
        <v>135.93796699999996</v>
      </c>
      <c r="F24" s="39">
        <f>analysis!J98</f>
        <v>0</v>
      </c>
      <c r="G24" s="39">
        <f t="shared" si="1"/>
        <v>1170.4822791852653</v>
      </c>
      <c r="H24" s="39">
        <f>AdjustedOutput!V24*$H$1</f>
        <v>68.275835470213408</v>
      </c>
      <c r="I24" s="221"/>
      <c r="J24" s="222">
        <f t="shared" si="2"/>
        <v>4348.0955000000013</v>
      </c>
      <c r="K24" s="223"/>
      <c r="M24" s="223">
        <f t="shared" si="0"/>
        <v>0</v>
      </c>
      <c r="O24" s="9" t="str">
        <f t="shared" si="3"/>
        <v>NWHZ1CZ1_2200n_</v>
      </c>
      <c r="P24" s="9" t="s">
        <v>811</v>
      </c>
      <c r="Q24" s="224">
        <f t="shared" si="4"/>
        <v>6948.3720000000003</v>
      </c>
      <c r="R24" s="225">
        <f>'HP sizes&amp;costs'!AP25</f>
        <v>6694</v>
      </c>
    </row>
    <row r="25" spans="1:18">
      <c r="A25" s="220" t="s">
        <v>227</v>
      </c>
      <c r="B25" s="9" t="s">
        <v>812</v>
      </c>
      <c r="C25" s="9" t="s">
        <v>770</v>
      </c>
      <c r="D25" s="39">
        <f>analysis!H99</f>
        <v>1034.5443121852654</v>
      </c>
      <c r="E25" s="39">
        <f>analysis!I99</f>
        <v>281.70456335714289</v>
      </c>
      <c r="F25" s="39">
        <f>analysis!J99</f>
        <v>0</v>
      </c>
      <c r="G25" s="39">
        <f t="shared" si="1"/>
        <v>1316.2488755424083</v>
      </c>
      <c r="H25" s="39">
        <f>AdjustedOutput!V25*$H$1</f>
        <v>68.275835470213408</v>
      </c>
      <c r="I25" s="221"/>
      <c r="J25" s="222">
        <f t="shared" si="2"/>
        <v>4348.0955000000013</v>
      </c>
      <c r="K25" s="223"/>
      <c r="M25" s="223">
        <f t="shared" si="0"/>
        <v>0</v>
      </c>
      <c r="O25" s="9" t="str">
        <f t="shared" si="3"/>
        <v>NWHZ1CZ1_2200n_</v>
      </c>
      <c r="P25" s="9" t="s">
        <v>813</v>
      </c>
      <c r="Q25" s="224">
        <f t="shared" si="4"/>
        <v>11942.103499999997</v>
      </c>
      <c r="R25" s="225">
        <f>'HP sizes&amp;costs'!AP26</f>
        <v>11504.916666666664</v>
      </c>
    </row>
    <row r="26" spans="1:18">
      <c r="A26" s="220" t="s">
        <v>227</v>
      </c>
      <c r="B26" s="9" t="s">
        <v>814</v>
      </c>
      <c r="C26" s="9" t="s">
        <v>764</v>
      </c>
      <c r="D26" s="39">
        <f>analysis!H100</f>
        <v>1150.1594007451995</v>
      </c>
      <c r="E26" s="39">
        <f>analysis!I100</f>
        <v>48.067089714285714</v>
      </c>
      <c r="F26" s="39">
        <f>analysis!J100</f>
        <v>0</v>
      </c>
      <c r="G26" s="39">
        <f t="shared" si="1"/>
        <v>1198.2264904594851</v>
      </c>
      <c r="H26" s="39">
        <f>AdjustedOutput!V26*$H$1</f>
        <v>78.794768205690275</v>
      </c>
      <c r="I26" s="221"/>
      <c r="J26" s="222">
        <f t="shared" si="2"/>
        <v>5099.348</v>
      </c>
      <c r="K26" s="223"/>
      <c r="M26" s="223">
        <f t="shared" si="0"/>
        <v>0</v>
      </c>
      <c r="O26" s="9" t="str">
        <f t="shared" si="3"/>
        <v>WxHZ1CZ1_2200e_</v>
      </c>
      <c r="P26" s="9" t="s">
        <v>815</v>
      </c>
      <c r="Q26" s="224">
        <f t="shared" si="4"/>
        <v>13713.364000000003</v>
      </c>
      <c r="R26" s="225">
        <f>'HP sizes&amp;costs'!AP27</f>
        <v>13211.333333333336</v>
      </c>
    </row>
    <row r="27" spans="1:18">
      <c r="A27" s="220" t="s">
        <v>227</v>
      </c>
      <c r="B27" s="9" t="s">
        <v>816</v>
      </c>
      <c r="C27" s="9" t="s">
        <v>767</v>
      </c>
      <c r="D27" s="39">
        <f>analysis!H101</f>
        <v>1150.1594007451995</v>
      </c>
      <c r="E27" s="39">
        <f>analysis!I101</f>
        <v>146.07521400000007</v>
      </c>
      <c r="F27" s="39">
        <f>analysis!J101</f>
        <v>0</v>
      </c>
      <c r="G27" s="39">
        <f t="shared" si="1"/>
        <v>1296.2346147451995</v>
      </c>
      <c r="H27" s="39">
        <f>AdjustedOutput!V27*$H$1</f>
        <v>78.794768205690275</v>
      </c>
      <c r="I27" s="221"/>
      <c r="J27" s="222">
        <f t="shared" si="2"/>
        <v>5099.348</v>
      </c>
      <c r="K27" s="223"/>
      <c r="M27" s="223">
        <f t="shared" si="0"/>
        <v>0</v>
      </c>
      <c r="O27" s="9" t="str">
        <f t="shared" si="3"/>
        <v>WxHZ1CZ1_2200e_</v>
      </c>
      <c r="P27" s="9" t="s">
        <v>817</v>
      </c>
      <c r="Q27" s="224">
        <f t="shared" si="4"/>
        <v>19560.591</v>
      </c>
      <c r="R27" s="225">
        <f>'HP sizes&amp;costs'!AP28</f>
        <v>18844.5</v>
      </c>
    </row>
    <row r="28" spans="1:18">
      <c r="A28" s="220" t="s">
        <v>227</v>
      </c>
      <c r="B28" s="9" t="s">
        <v>818</v>
      </c>
      <c r="C28" s="9" t="s">
        <v>770</v>
      </c>
      <c r="D28" s="39">
        <f>analysis!H102</f>
        <v>1150.1594007451995</v>
      </c>
      <c r="E28" s="39">
        <f>analysis!I102</f>
        <v>306.69597482142854</v>
      </c>
      <c r="F28" s="39">
        <f>analysis!J102</f>
        <v>0</v>
      </c>
      <c r="G28" s="39">
        <f t="shared" si="1"/>
        <v>1456.855375566628</v>
      </c>
      <c r="H28" s="39">
        <f>AdjustedOutput!V28*$H$1</f>
        <v>78.794768205690275</v>
      </c>
      <c r="I28" s="221"/>
      <c r="J28" s="222">
        <f t="shared" si="2"/>
        <v>5099.348</v>
      </c>
      <c r="K28" s="223"/>
      <c r="M28" s="223">
        <f t="shared" si="0"/>
        <v>0</v>
      </c>
      <c r="O28" s="9" t="str">
        <f t="shared" si="3"/>
        <v>WxHZ1CZ1_2200e_</v>
      </c>
      <c r="P28" s="9" t="s">
        <v>819</v>
      </c>
      <c r="Q28" s="224">
        <f t="shared" si="4"/>
        <v>22392.255000000005</v>
      </c>
      <c r="R28" s="225">
        <f>'HP sizes&amp;costs'!AP29</f>
        <v>21572.500000000004</v>
      </c>
    </row>
    <row r="29" spans="1:18">
      <c r="A29" s="220" t="s">
        <v>227</v>
      </c>
      <c r="B29" s="9" t="s">
        <v>820</v>
      </c>
      <c r="C29" s="9" t="s">
        <v>779</v>
      </c>
      <c r="D29" s="39">
        <f>analysis!H103</f>
        <v>2261.7601454162304</v>
      </c>
      <c r="E29" s="39">
        <f>analysis!I103</f>
        <v>45.550705214285699</v>
      </c>
      <c r="F29" s="39">
        <f>analysis!J103</f>
        <v>0</v>
      </c>
      <c r="G29" s="39">
        <f t="shared" si="1"/>
        <v>2307.3108506305161</v>
      </c>
      <c r="H29" s="39">
        <f>AdjustedOutput!V29*$H$1</f>
        <v>80.010266727179612</v>
      </c>
      <c r="I29" s="221"/>
      <c r="J29" s="222">
        <f t="shared" si="2"/>
        <v>8578.4645000000019</v>
      </c>
      <c r="K29" s="223"/>
      <c r="M29" s="223">
        <f t="shared" si="0"/>
        <v>0</v>
      </c>
      <c r="O29" s="9" t="str">
        <f t="shared" si="3"/>
        <v>NWHZ2CZ1_2200n_</v>
      </c>
      <c r="Q29" s="226"/>
      <c r="R29" s="226"/>
    </row>
    <row r="30" spans="1:18">
      <c r="A30" s="220" t="s">
        <v>227</v>
      </c>
      <c r="B30" s="9" t="s">
        <v>821</v>
      </c>
      <c r="C30" s="9" t="s">
        <v>782</v>
      </c>
      <c r="D30" s="39">
        <f>analysis!H104</f>
        <v>2261.7601454162304</v>
      </c>
      <c r="E30" s="39">
        <f>analysis!I104</f>
        <v>135.93796699999996</v>
      </c>
      <c r="F30" s="39">
        <f>analysis!J104</f>
        <v>0</v>
      </c>
      <c r="G30" s="39">
        <f t="shared" si="1"/>
        <v>2397.6981124162303</v>
      </c>
      <c r="H30" s="39">
        <f>AdjustedOutput!V30*$H$1</f>
        <v>80.010266727179612</v>
      </c>
      <c r="I30" s="221"/>
      <c r="J30" s="222">
        <f t="shared" si="2"/>
        <v>8578.4645000000019</v>
      </c>
      <c r="K30" s="223"/>
      <c r="M30" s="223">
        <f t="shared" si="0"/>
        <v>0</v>
      </c>
      <c r="O30" s="9" t="str">
        <f t="shared" si="3"/>
        <v>NWHZ2CZ1_2200n_</v>
      </c>
      <c r="Q30" s="226"/>
      <c r="R30" s="226"/>
    </row>
    <row r="31" spans="1:18">
      <c r="A31" s="220" t="s">
        <v>227</v>
      </c>
      <c r="B31" s="9" t="s">
        <v>822</v>
      </c>
      <c r="C31" s="9" t="s">
        <v>785</v>
      </c>
      <c r="D31" s="39">
        <f>analysis!H105</f>
        <v>2261.7601454162304</v>
      </c>
      <c r="E31" s="39">
        <f>analysis!I105</f>
        <v>281.70456335714289</v>
      </c>
      <c r="F31" s="39">
        <f>analysis!J105</f>
        <v>0</v>
      </c>
      <c r="G31" s="39">
        <f t="shared" si="1"/>
        <v>2543.4647087733733</v>
      </c>
      <c r="H31" s="39">
        <f>AdjustedOutput!V31*$H$1</f>
        <v>80.010266727179612</v>
      </c>
      <c r="I31" s="221"/>
      <c r="J31" s="222">
        <f t="shared" si="2"/>
        <v>8578.4645000000019</v>
      </c>
      <c r="K31" s="223"/>
      <c r="M31" s="223">
        <f t="shared" si="0"/>
        <v>0</v>
      </c>
      <c r="O31" s="9" t="str">
        <f t="shared" si="3"/>
        <v>NWHZ2CZ1_2200n_</v>
      </c>
      <c r="Q31" s="226"/>
      <c r="R31" s="226"/>
    </row>
    <row r="32" spans="1:18">
      <c r="A32" s="220" t="s">
        <v>227</v>
      </c>
      <c r="B32" s="9" t="s">
        <v>823</v>
      </c>
      <c r="C32" s="9" t="s">
        <v>779</v>
      </c>
      <c r="D32" s="39">
        <f>analysis!H106</f>
        <v>2523.1850636332456</v>
      </c>
      <c r="E32" s="39">
        <f>analysis!I106</f>
        <v>48.067089714285714</v>
      </c>
      <c r="F32" s="39">
        <f>analysis!J106</f>
        <v>0</v>
      </c>
      <c r="G32" s="39">
        <f t="shared" si="1"/>
        <v>2571.2521533475315</v>
      </c>
      <c r="H32" s="39">
        <f>AdjustedOutput!V32*$H$1</f>
        <v>89.920238752592951</v>
      </c>
      <c r="I32" s="221"/>
      <c r="J32" s="222">
        <f t="shared" si="2"/>
        <v>10276.546</v>
      </c>
      <c r="K32" s="223"/>
      <c r="M32" s="223">
        <f t="shared" si="0"/>
        <v>0</v>
      </c>
      <c r="O32" s="9" t="str">
        <f t="shared" si="3"/>
        <v>WxHZ2CZ1_2200e_</v>
      </c>
      <c r="Q32" s="226"/>
      <c r="R32" s="226"/>
    </row>
    <row r="33" spans="1:18">
      <c r="A33" s="220" t="s">
        <v>227</v>
      </c>
      <c r="B33" s="9" t="s">
        <v>824</v>
      </c>
      <c r="C33" s="9" t="s">
        <v>782</v>
      </c>
      <c r="D33" s="39">
        <f>analysis!H107</f>
        <v>2523.1850636332456</v>
      </c>
      <c r="E33" s="39">
        <f>analysis!I107</f>
        <v>146.07521400000007</v>
      </c>
      <c r="F33" s="39">
        <f>analysis!J107</f>
        <v>0</v>
      </c>
      <c r="G33" s="39">
        <f t="shared" si="1"/>
        <v>2669.2602776332456</v>
      </c>
      <c r="H33" s="39">
        <f>AdjustedOutput!V33*$H$1</f>
        <v>89.920238752592951</v>
      </c>
      <c r="I33" s="221"/>
      <c r="J33" s="222">
        <f t="shared" si="2"/>
        <v>10276.546</v>
      </c>
      <c r="K33" s="223"/>
      <c r="M33" s="223">
        <f t="shared" si="0"/>
        <v>0</v>
      </c>
      <c r="O33" s="9" t="str">
        <f t="shared" si="3"/>
        <v>WxHZ2CZ1_2200e_</v>
      </c>
      <c r="Q33" s="226"/>
      <c r="R33" s="226"/>
    </row>
    <row r="34" spans="1:18">
      <c r="A34" s="220" t="s">
        <v>227</v>
      </c>
      <c r="B34" s="9" t="s">
        <v>825</v>
      </c>
      <c r="C34" s="9" t="s">
        <v>785</v>
      </c>
      <c r="D34" s="39">
        <f>analysis!H108</f>
        <v>2523.1850636332456</v>
      </c>
      <c r="E34" s="39">
        <f>analysis!I108</f>
        <v>306.69597482142854</v>
      </c>
      <c r="F34" s="39">
        <f>analysis!J108</f>
        <v>0</v>
      </c>
      <c r="G34" s="39">
        <f t="shared" si="1"/>
        <v>2829.8810384546741</v>
      </c>
      <c r="H34" s="39">
        <f>AdjustedOutput!V34*$H$1</f>
        <v>89.920238752592951</v>
      </c>
      <c r="I34" s="221"/>
      <c r="J34" s="222">
        <f t="shared" si="2"/>
        <v>10276.546</v>
      </c>
      <c r="K34" s="223"/>
      <c r="M34" s="223">
        <f t="shared" si="0"/>
        <v>0</v>
      </c>
      <c r="O34" s="9" t="str">
        <f t="shared" si="3"/>
        <v>WxHZ2CZ1_2200e_</v>
      </c>
      <c r="Q34" s="226"/>
      <c r="R34" s="226"/>
    </row>
    <row r="35" spans="1:18">
      <c r="A35" s="220" t="s">
        <v>227</v>
      </c>
      <c r="B35" s="9" t="s">
        <v>826</v>
      </c>
      <c r="C35" s="9" t="s">
        <v>794</v>
      </c>
      <c r="D35" s="39">
        <f>analysis!H109</f>
        <v>3118.7017942953025</v>
      </c>
      <c r="E35" s="39">
        <f>analysis!I109</f>
        <v>45.550705214285699</v>
      </c>
      <c r="F35" s="39">
        <f>analysis!J109</f>
        <v>0</v>
      </c>
      <c r="G35" s="39">
        <f t="shared" si="1"/>
        <v>3164.2524995095882</v>
      </c>
      <c r="H35" s="39">
        <f>AdjustedOutput!V35*$H$1</f>
        <v>94.786712868174646</v>
      </c>
      <c r="I35" s="221"/>
      <c r="J35" s="222">
        <f t="shared" si="2"/>
        <v>13902.972</v>
      </c>
      <c r="K35" s="223"/>
      <c r="M35" s="223">
        <f t="shared" si="0"/>
        <v>0</v>
      </c>
      <c r="O35" s="9" t="str">
        <f t="shared" si="3"/>
        <v>NWHZ3CZ1_2200n_</v>
      </c>
    </row>
    <row r="36" spans="1:18">
      <c r="A36" s="220" t="s">
        <v>227</v>
      </c>
      <c r="B36" s="9" t="s">
        <v>827</v>
      </c>
      <c r="C36" s="9" t="s">
        <v>797</v>
      </c>
      <c r="D36" s="39">
        <f>analysis!H110</f>
        <v>3118.7017942953025</v>
      </c>
      <c r="E36" s="39">
        <f>analysis!I110</f>
        <v>135.93796699999996</v>
      </c>
      <c r="F36" s="39">
        <f>analysis!J110</f>
        <v>0</v>
      </c>
      <c r="G36" s="39">
        <f t="shared" si="1"/>
        <v>3254.6397612953024</v>
      </c>
      <c r="H36" s="39">
        <f>AdjustedOutput!V36*$H$1</f>
        <v>94.786712868174646</v>
      </c>
      <c r="I36" s="221"/>
      <c r="J36" s="222">
        <f t="shared" si="2"/>
        <v>13902.972</v>
      </c>
      <c r="K36" s="223"/>
      <c r="M36" s="223">
        <f t="shared" si="0"/>
        <v>0</v>
      </c>
      <c r="O36" s="9" t="str">
        <f t="shared" si="3"/>
        <v>NWHZ3CZ1_2200n_</v>
      </c>
    </row>
    <row r="37" spans="1:18">
      <c r="A37" s="220" t="s">
        <v>227</v>
      </c>
      <c r="B37" s="9" t="s">
        <v>828</v>
      </c>
      <c r="C37" s="9" t="s">
        <v>800</v>
      </c>
      <c r="D37" s="39">
        <f>analysis!H111</f>
        <v>3118.7017942953025</v>
      </c>
      <c r="E37" s="39">
        <f>analysis!I111</f>
        <v>281.70456335714289</v>
      </c>
      <c r="F37" s="39">
        <f>analysis!J111</f>
        <v>0</v>
      </c>
      <c r="G37" s="39">
        <f t="shared" si="1"/>
        <v>3400.4063576524454</v>
      </c>
      <c r="H37" s="39">
        <f>AdjustedOutput!V37*$H$1</f>
        <v>94.786712868174646</v>
      </c>
      <c r="I37" s="221"/>
      <c r="J37" s="222">
        <f t="shared" si="2"/>
        <v>13902.972</v>
      </c>
      <c r="K37" s="223"/>
      <c r="M37" s="223">
        <f t="shared" ref="M37:M68" si="5">IF(RIGHT(B37,1)="0",0,1000)</f>
        <v>0</v>
      </c>
      <c r="O37" s="9" t="str">
        <f t="shared" si="3"/>
        <v>NWHZ3CZ1_2200n_</v>
      </c>
    </row>
    <row r="38" spans="1:18">
      <c r="A38" s="220" t="s">
        <v>227</v>
      </c>
      <c r="B38" s="9" t="s">
        <v>829</v>
      </c>
      <c r="C38" s="9" t="s">
        <v>794</v>
      </c>
      <c r="D38" s="39">
        <f>analysis!H112</f>
        <v>3498.9638531732326</v>
      </c>
      <c r="E38" s="39">
        <f>analysis!I112</f>
        <v>48.067089714285714</v>
      </c>
      <c r="F38" s="39">
        <f>analysis!J112</f>
        <v>0</v>
      </c>
      <c r="G38" s="39">
        <f t="shared" si="1"/>
        <v>3547.0309428875184</v>
      </c>
      <c r="H38" s="39">
        <f>AdjustedOutput!V38*$H$1</f>
        <v>105.83633394264301</v>
      </c>
      <c r="I38" s="221"/>
      <c r="J38" s="222">
        <f t="shared" si="2"/>
        <v>16904.349000000002</v>
      </c>
      <c r="K38" s="223"/>
      <c r="M38" s="223">
        <f t="shared" si="5"/>
        <v>0</v>
      </c>
      <c r="O38" s="9" t="str">
        <f t="shared" si="3"/>
        <v>WxHZ3CZ1_2200e_</v>
      </c>
    </row>
    <row r="39" spans="1:18">
      <c r="A39" s="220" t="s">
        <v>227</v>
      </c>
      <c r="B39" s="9" t="s">
        <v>830</v>
      </c>
      <c r="C39" s="9" t="s">
        <v>797</v>
      </c>
      <c r="D39" s="39">
        <f>analysis!H113</f>
        <v>3498.9638531732326</v>
      </c>
      <c r="E39" s="39">
        <f>analysis!I113</f>
        <v>146.07521400000007</v>
      </c>
      <c r="F39" s="39">
        <f>analysis!J113</f>
        <v>0</v>
      </c>
      <c r="G39" s="39">
        <f t="shared" si="1"/>
        <v>3645.0390671732325</v>
      </c>
      <c r="H39" s="39">
        <f>AdjustedOutput!V39*$H$1</f>
        <v>105.83633394264301</v>
      </c>
      <c r="I39" s="221"/>
      <c r="J39" s="222">
        <f t="shared" si="2"/>
        <v>16904.349000000002</v>
      </c>
      <c r="K39" s="223"/>
      <c r="M39" s="223">
        <f t="shared" si="5"/>
        <v>0</v>
      </c>
      <c r="O39" s="9" t="str">
        <f t="shared" si="3"/>
        <v>WxHZ3CZ1_2200e_</v>
      </c>
    </row>
    <row r="40" spans="1:18">
      <c r="A40" s="220" t="s">
        <v>227</v>
      </c>
      <c r="B40" s="9" t="s">
        <v>831</v>
      </c>
      <c r="C40" s="9" t="s">
        <v>800</v>
      </c>
      <c r="D40" s="39">
        <f>analysis!H114</f>
        <v>3498.9638531732326</v>
      </c>
      <c r="E40" s="39">
        <f>analysis!I114</f>
        <v>306.69597482142854</v>
      </c>
      <c r="F40" s="39">
        <f>analysis!J114</f>
        <v>0</v>
      </c>
      <c r="G40" s="39">
        <f t="shared" si="1"/>
        <v>3805.6598279946611</v>
      </c>
      <c r="H40" s="39">
        <f>AdjustedOutput!V40*$H$1</f>
        <v>105.83633394264301</v>
      </c>
      <c r="I40" s="221"/>
      <c r="J40" s="222">
        <f t="shared" si="2"/>
        <v>16904.349000000002</v>
      </c>
      <c r="K40" s="223"/>
      <c r="M40" s="223">
        <f t="shared" si="5"/>
        <v>0</v>
      </c>
      <c r="O40" s="9" t="str">
        <f t="shared" si="3"/>
        <v>WxHZ3CZ1_2200e_</v>
      </c>
    </row>
    <row r="41" spans="1:18">
      <c r="A41" s="220" t="s">
        <v>227</v>
      </c>
      <c r="B41" s="9" t="s">
        <v>832</v>
      </c>
      <c r="C41" s="9" t="s">
        <v>764</v>
      </c>
      <c r="D41" s="39">
        <f>analysis!H115</f>
        <v>708.78095571453059</v>
      </c>
      <c r="E41" s="39">
        <f>analysis!I115</f>
        <v>28.256861607142866</v>
      </c>
      <c r="F41" s="39">
        <f>analysis!J115</f>
        <v>0</v>
      </c>
      <c r="G41" s="39">
        <f t="shared" si="1"/>
        <v>737.0378173216734</v>
      </c>
      <c r="H41" s="39">
        <f>AdjustedOutput!V41*$H$1</f>
        <v>55.047939739815924</v>
      </c>
      <c r="I41" s="221"/>
      <c r="J41" s="222">
        <f t="shared" si="2"/>
        <v>4276.1275000000005</v>
      </c>
      <c r="K41" s="223"/>
      <c r="M41" s="223">
        <f t="shared" si="5"/>
        <v>0</v>
      </c>
      <c r="O41" s="9" t="str">
        <f t="shared" si="3"/>
        <v>NWHZ1CZ1_2688n_</v>
      </c>
    </row>
    <row r="42" spans="1:18">
      <c r="A42" s="220" t="s">
        <v>227</v>
      </c>
      <c r="B42" s="9" t="s">
        <v>833</v>
      </c>
      <c r="C42" s="9" t="s">
        <v>767</v>
      </c>
      <c r="D42" s="39">
        <f>analysis!H116</f>
        <v>708.78095571453059</v>
      </c>
      <c r="E42" s="39">
        <f>analysis!I116</f>
        <v>93.907917642857058</v>
      </c>
      <c r="F42" s="39">
        <f>analysis!J116</f>
        <v>0</v>
      </c>
      <c r="G42" s="39">
        <f t="shared" si="1"/>
        <v>802.68887335738759</v>
      </c>
      <c r="H42" s="39">
        <f>AdjustedOutput!V42*$H$1</f>
        <v>55.047939739815924</v>
      </c>
      <c r="I42" s="221"/>
      <c r="J42" s="222">
        <f t="shared" si="2"/>
        <v>4276.1275000000005</v>
      </c>
      <c r="K42" s="223"/>
      <c r="M42" s="223">
        <f t="shared" si="5"/>
        <v>0</v>
      </c>
      <c r="O42" s="9" t="str">
        <f t="shared" si="3"/>
        <v>NWHZ1CZ1_2688n_</v>
      </c>
    </row>
    <row r="43" spans="1:18">
      <c r="A43" s="220" t="s">
        <v>227</v>
      </c>
      <c r="B43" s="9" t="s">
        <v>834</v>
      </c>
      <c r="C43" s="9" t="s">
        <v>770</v>
      </c>
      <c r="D43" s="39">
        <f>analysis!H117</f>
        <v>708.78095571453059</v>
      </c>
      <c r="E43" s="39">
        <f>analysis!I117</f>
        <v>204.8789974642857</v>
      </c>
      <c r="F43" s="39">
        <f>analysis!J117</f>
        <v>0</v>
      </c>
      <c r="G43" s="39">
        <f t="shared" si="1"/>
        <v>913.65995317881629</v>
      </c>
      <c r="H43" s="39">
        <f>AdjustedOutput!V43*$H$1</f>
        <v>55.047939739815924</v>
      </c>
      <c r="I43" s="221"/>
      <c r="J43" s="222">
        <f t="shared" si="2"/>
        <v>4276.1275000000005</v>
      </c>
      <c r="K43" s="223"/>
      <c r="M43" s="223">
        <f t="shared" si="5"/>
        <v>0</v>
      </c>
      <c r="O43" s="9" t="str">
        <f t="shared" si="3"/>
        <v>NWHZ1CZ1_2688n_</v>
      </c>
    </row>
    <row r="44" spans="1:18">
      <c r="A44" s="220" t="s">
        <v>227</v>
      </c>
      <c r="B44" s="9" t="s">
        <v>835</v>
      </c>
      <c r="C44" s="9" t="s">
        <v>764</v>
      </c>
      <c r="D44" s="39">
        <f>analysis!H118</f>
        <v>782.54506817511992</v>
      </c>
      <c r="E44" s="39">
        <f>analysis!I118</f>
        <v>29.859277642857165</v>
      </c>
      <c r="F44" s="39">
        <f>analysis!J118</f>
        <v>0</v>
      </c>
      <c r="G44" s="39">
        <f t="shared" si="1"/>
        <v>812.40434581797706</v>
      </c>
      <c r="H44" s="39">
        <f>AdjustedOutput!V44*$H$1</f>
        <v>59.87864052675134</v>
      </c>
      <c r="I44" s="221"/>
      <c r="J44" s="222">
        <f t="shared" si="2"/>
        <v>4350.3444999999992</v>
      </c>
      <c r="K44" s="223"/>
      <c r="M44" s="223">
        <f t="shared" si="5"/>
        <v>0</v>
      </c>
      <c r="O44" s="9" t="str">
        <f t="shared" si="3"/>
        <v>WxHZ1CZ1_2688e_</v>
      </c>
    </row>
    <row r="45" spans="1:18">
      <c r="A45" s="220" t="s">
        <v>227</v>
      </c>
      <c r="B45" s="9" t="s">
        <v>836</v>
      </c>
      <c r="C45" s="9" t="s">
        <v>767</v>
      </c>
      <c r="D45" s="39">
        <f>analysis!H119</f>
        <v>782.54506817511992</v>
      </c>
      <c r="E45" s="39">
        <f>analysis!I119</f>
        <v>98.740977321428602</v>
      </c>
      <c r="F45" s="39">
        <f>analysis!J119</f>
        <v>0</v>
      </c>
      <c r="G45" s="39">
        <f t="shared" si="1"/>
        <v>881.28604549654847</v>
      </c>
      <c r="H45" s="39">
        <f>AdjustedOutput!V45*$H$1</f>
        <v>59.87864052675134</v>
      </c>
      <c r="I45" s="221"/>
      <c r="J45" s="222">
        <f t="shared" si="2"/>
        <v>4350.3444999999992</v>
      </c>
      <c r="K45" s="223"/>
      <c r="M45" s="223">
        <f t="shared" si="5"/>
        <v>0</v>
      </c>
      <c r="O45" s="9" t="str">
        <f t="shared" si="3"/>
        <v>WxHZ1CZ1_2688e_</v>
      </c>
    </row>
    <row r="46" spans="1:18">
      <c r="A46" s="220" t="s">
        <v>227</v>
      </c>
      <c r="B46" s="9" t="s">
        <v>837</v>
      </c>
      <c r="C46" s="9" t="s">
        <v>770</v>
      </c>
      <c r="D46" s="39">
        <f>analysis!H120</f>
        <v>782.54506817511992</v>
      </c>
      <c r="E46" s="39">
        <f>analysis!I120</f>
        <v>215.9451622142858</v>
      </c>
      <c r="F46" s="39">
        <f>analysis!J120</f>
        <v>0</v>
      </c>
      <c r="G46" s="39">
        <f t="shared" si="1"/>
        <v>998.49023038940572</v>
      </c>
      <c r="H46" s="39">
        <f>AdjustedOutput!V46*$H$1</f>
        <v>59.87864052675134</v>
      </c>
      <c r="I46" s="221"/>
      <c r="J46" s="222">
        <f t="shared" si="2"/>
        <v>4350.3444999999992</v>
      </c>
      <c r="K46" s="223"/>
      <c r="M46" s="223">
        <f t="shared" si="5"/>
        <v>0</v>
      </c>
      <c r="O46" s="9" t="str">
        <f t="shared" si="3"/>
        <v>WxHZ1CZ1_2688e_</v>
      </c>
    </row>
    <row r="47" spans="1:18">
      <c r="A47" s="220" t="s">
        <v>227</v>
      </c>
      <c r="B47" s="9" t="s">
        <v>838</v>
      </c>
      <c r="C47" s="9" t="s">
        <v>779</v>
      </c>
      <c r="D47" s="39">
        <f>analysis!H121</f>
        <v>1611.6580057644023</v>
      </c>
      <c r="E47" s="39">
        <f>analysis!I121</f>
        <v>28.256861607142866</v>
      </c>
      <c r="F47" s="39">
        <f>analysis!J121</f>
        <v>0</v>
      </c>
      <c r="G47" s="39">
        <f t="shared" si="1"/>
        <v>1639.9148673715451</v>
      </c>
      <c r="H47" s="39">
        <f>AdjustedOutput!V47*$H$1</f>
        <v>62.994511545196964</v>
      </c>
      <c r="I47" s="221"/>
      <c r="J47" s="222">
        <f t="shared" si="2"/>
        <v>8439.0265000000036</v>
      </c>
      <c r="K47" s="223"/>
      <c r="M47" s="223">
        <f t="shared" si="5"/>
        <v>0</v>
      </c>
      <c r="O47" s="9" t="str">
        <f t="shared" si="3"/>
        <v>NWHZ2CZ1_2688n_</v>
      </c>
    </row>
    <row r="48" spans="1:18">
      <c r="A48" s="220" t="s">
        <v>227</v>
      </c>
      <c r="B48" s="9" t="s">
        <v>839</v>
      </c>
      <c r="C48" s="9" t="s">
        <v>782</v>
      </c>
      <c r="D48" s="39">
        <f>analysis!H122</f>
        <v>1611.6580057644023</v>
      </c>
      <c r="E48" s="39">
        <f>analysis!I122</f>
        <v>93.907917642857058</v>
      </c>
      <c r="F48" s="39">
        <f>analysis!J122</f>
        <v>0</v>
      </c>
      <c r="G48" s="39">
        <f t="shared" si="1"/>
        <v>1705.5659234072593</v>
      </c>
      <c r="H48" s="39">
        <f>AdjustedOutput!V48*$H$1</f>
        <v>62.994511545196964</v>
      </c>
      <c r="I48" s="221"/>
      <c r="J48" s="222">
        <f t="shared" si="2"/>
        <v>8439.0265000000036</v>
      </c>
      <c r="K48" s="223"/>
      <c r="M48" s="223">
        <f t="shared" si="5"/>
        <v>0</v>
      </c>
      <c r="O48" s="9" t="str">
        <f t="shared" si="3"/>
        <v>NWHZ2CZ1_2688n_</v>
      </c>
    </row>
    <row r="49" spans="1:15">
      <c r="A49" s="220" t="s">
        <v>227</v>
      </c>
      <c r="B49" s="9" t="s">
        <v>840</v>
      </c>
      <c r="C49" s="9" t="s">
        <v>785</v>
      </c>
      <c r="D49" s="39">
        <f>analysis!H123</f>
        <v>1611.6580057644023</v>
      </c>
      <c r="E49" s="39">
        <f>analysis!I123</f>
        <v>204.8789974642857</v>
      </c>
      <c r="F49" s="39">
        <f>analysis!J123</f>
        <v>0</v>
      </c>
      <c r="G49" s="39">
        <f t="shared" si="1"/>
        <v>1816.537003228688</v>
      </c>
      <c r="H49" s="39">
        <f>AdjustedOutput!V49*$H$1</f>
        <v>62.994511545196964</v>
      </c>
      <c r="I49" s="221"/>
      <c r="J49" s="222">
        <f t="shared" si="2"/>
        <v>8439.0265000000036</v>
      </c>
      <c r="K49" s="223"/>
      <c r="M49" s="223">
        <f t="shared" si="5"/>
        <v>0</v>
      </c>
      <c r="O49" s="9" t="str">
        <f t="shared" si="3"/>
        <v>NWHZ2CZ1_2688n_</v>
      </c>
    </row>
    <row r="50" spans="1:15">
      <c r="A50" s="220" t="s">
        <v>227</v>
      </c>
      <c r="B50" s="9" t="s">
        <v>841</v>
      </c>
      <c r="C50" s="9" t="s">
        <v>779</v>
      </c>
      <c r="D50" s="39">
        <f>analysis!H124</f>
        <v>1768.4196818920273</v>
      </c>
      <c r="E50" s="39">
        <f>analysis!I124</f>
        <v>29.859277642857165</v>
      </c>
      <c r="F50" s="39">
        <f>analysis!J124</f>
        <v>0</v>
      </c>
      <c r="G50" s="39">
        <f t="shared" si="1"/>
        <v>1798.2789595348845</v>
      </c>
      <c r="H50" s="39">
        <f>AdjustedOutput!V50*$H$1</f>
        <v>68.088067692025618</v>
      </c>
      <c r="I50" s="221"/>
      <c r="J50" s="222">
        <f t="shared" si="2"/>
        <v>8569.4685000000009</v>
      </c>
      <c r="K50" s="223"/>
      <c r="M50" s="223">
        <f t="shared" si="5"/>
        <v>0</v>
      </c>
      <c r="O50" s="9" t="str">
        <f t="shared" si="3"/>
        <v>WxHZ2CZ1_2688e_</v>
      </c>
    </row>
    <row r="51" spans="1:15">
      <c r="A51" s="220" t="s">
        <v>227</v>
      </c>
      <c r="B51" s="9" t="s">
        <v>842</v>
      </c>
      <c r="C51" s="9" t="s">
        <v>782</v>
      </c>
      <c r="D51" s="39">
        <f>analysis!H125</f>
        <v>1768.4196818920273</v>
      </c>
      <c r="E51" s="39">
        <f>analysis!I125</f>
        <v>98.740977321428602</v>
      </c>
      <c r="F51" s="39">
        <f>analysis!J125</f>
        <v>0</v>
      </c>
      <c r="G51" s="39">
        <f t="shared" si="1"/>
        <v>1867.1606592134558</v>
      </c>
      <c r="H51" s="39">
        <f>AdjustedOutput!V51*$H$1</f>
        <v>68.088067692025618</v>
      </c>
      <c r="I51" s="221"/>
      <c r="J51" s="222">
        <f t="shared" si="2"/>
        <v>8569.4685000000009</v>
      </c>
      <c r="K51" s="223"/>
      <c r="M51" s="223">
        <f t="shared" si="5"/>
        <v>0</v>
      </c>
      <c r="O51" s="9" t="str">
        <f t="shared" si="3"/>
        <v>WxHZ2CZ1_2688e_</v>
      </c>
    </row>
    <row r="52" spans="1:15">
      <c r="A52" s="220" t="s">
        <v>227</v>
      </c>
      <c r="B52" s="9" t="s">
        <v>843</v>
      </c>
      <c r="C52" s="9" t="s">
        <v>785</v>
      </c>
      <c r="D52" s="39">
        <f>analysis!H126</f>
        <v>1768.4196818920273</v>
      </c>
      <c r="E52" s="39">
        <f>analysis!I126</f>
        <v>215.9451622142858</v>
      </c>
      <c r="F52" s="39">
        <f>analysis!J126</f>
        <v>0</v>
      </c>
      <c r="G52" s="39">
        <f t="shared" si="1"/>
        <v>1984.3648441063131</v>
      </c>
      <c r="H52" s="39">
        <f>AdjustedOutput!V52*$H$1</f>
        <v>68.088067692025618</v>
      </c>
      <c r="I52" s="221"/>
      <c r="J52" s="222">
        <f t="shared" si="2"/>
        <v>8569.4685000000009</v>
      </c>
      <c r="K52" s="223"/>
      <c r="M52" s="223">
        <f t="shared" si="5"/>
        <v>0</v>
      </c>
      <c r="O52" s="9" t="str">
        <f t="shared" si="3"/>
        <v>WxHZ2CZ1_2688e_</v>
      </c>
    </row>
    <row r="53" spans="1:15">
      <c r="A53" s="220" t="s">
        <v>227</v>
      </c>
      <c r="B53" s="9" t="s">
        <v>844</v>
      </c>
      <c r="C53" s="9" t="s">
        <v>794</v>
      </c>
      <c r="D53" s="39">
        <f>analysis!H127</f>
        <v>2308.7537342128944</v>
      </c>
      <c r="E53" s="39">
        <f>analysis!I127</f>
        <v>28.256861607142866</v>
      </c>
      <c r="F53" s="39">
        <f>analysis!J127</f>
        <v>0</v>
      </c>
      <c r="G53" s="39">
        <f t="shared" si="1"/>
        <v>2337.0105958200375</v>
      </c>
      <c r="H53" s="39">
        <f>AdjustedOutput!V53*$H$1</f>
        <v>74.745532120620283</v>
      </c>
      <c r="I53" s="221"/>
      <c r="J53" s="222">
        <f t="shared" si="2"/>
        <v>13619.598</v>
      </c>
      <c r="K53" s="223"/>
      <c r="M53" s="223">
        <f t="shared" si="5"/>
        <v>0</v>
      </c>
      <c r="O53" s="9" t="str">
        <f t="shared" si="3"/>
        <v>NWHZ3CZ1_2688n_</v>
      </c>
    </row>
    <row r="54" spans="1:15">
      <c r="A54" s="220" t="s">
        <v>227</v>
      </c>
      <c r="B54" s="9" t="s">
        <v>845</v>
      </c>
      <c r="C54" s="9" t="s">
        <v>797</v>
      </c>
      <c r="D54" s="39">
        <f>analysis!H128</f>
        <v>2308.7537342128944</v>
      </c>
      <c r="E54" s="39">
        <f>analysis!I128</f>
        <v>93.907917642857058</v>
      </c>
      <c r="F54" s="39">
        <f>analysis!J128</f>
        <v>0</v>
      </c>
      <c r="G54" s="39">
        <f t="shared" si="1"/>
        <v>2402.6616518557516</v>
      </c>
      <c r="H54" s="39">
        <f>AdjustedOutput!V54*$H$1</f>
        <v>74.745532120620283</v>
      </c>
      <c r="I54" s="221"/>
      <c r="J54" s="222">
        <f t="shared" si="2"/>
        <v>13619.598</v>
      </c>
      <c r="K54" s="223"/>
      <c r="M54" s="223">
        <f t="shared" si="5"/>
        <v>0</v>
      </c>
      <c r="O54" s="9" t="str">
        <f t="shared" si="3"/>
        <v>NWHZ3CZ1_2688n_</v>
      </c>
    </row>
    <row r="55" spans="1:15">
      <c r="A55" s="220" t="s">
        <v>227</v>
      </c>
      <c r="B55" s="9" t="s">
        <v>846</v>
      </c>
      <c r="C55" s="9" t="s">
        <v>800</v>
      </c>
      <c r="D55" s="39">
        <f>analysis!H129</f>
        <v>2308.7537342128944</v>
      </c>
      <c r="E55" s="39">
        <f>analysis!I129</f>
        <v>204.8789974642857</v>
      </c>
      <c r="F55" s="39">
        <f>analysis!J129</f>
        <v>0</v>
      </c>
      <c r="G55" s="39">
        <f t="shared" si="1"/>
        <v>2513.6327316771803</v>
      </c>
      <c r="H55" s="39">
        <f>AdjustedOutput!V55*$H$1</f>
        <v>74.745532120620283</v>
      </c>
      <c r="I55" s="221"/>
      <c r="J55" s="222">
        <f t="shared" si="2"/>
        <v>13619.598</v>
      </c>
      <c r="K55" s="223"/>
      <c r="M55" s="223">
        <f t="shared" si="5"/>
        <v>0</v>
      </c>
      <c r="O55" s="9" t="str">
        <f t="shared" si="3"/>
        <v>NWHZ3CZ1_2688n_</v>
      </c>
    </row>
    <row r="56" spans="1:15">
      <c r="A56" s="220" t="s">
        <v>227</v>
      </c>
      <c r="B56" s="9" t="s">
        <v>847</v>
      </c>
      <c r="C56" s="9" t="s">
        <v>794</v>
      </c>
      <c r="D56" s="39">
        <f>analysis!H130</f>
        <v>2527.1681105197031</v>
      </c>
      <c r="E56" s="39">
        <f>analysis!I130</f>
        <v>29.859277642857165</v>
      </c>
      <c r="F56" s="39">
        <f>analysis!J130</f>
        <v>0</v>
      </c>
      <c r="G56" s="39">
        <f t="shared" si="1"/>
        <v>2557.0273881625603</v>
      </c>
      <c r="H56" s="39">
        <f>AdjustedOutput!V56*$H$1</f>
        <v>80.821661304469856</v>
      </c>
      <c r="I56" s="221"/>
      <c r="J56" s="222">
        <f t="shared" si="2"/>
        <v>13929.960000000001</v>
      </c>
      <c r="K56" s="223"/>
      <c r="M56" s="223">
        <f t="shared" si="5"/>
        <v>0</v>
      </c>
      <c r="O56" s="9" t="str">
        <f t="shared" si="3"/>
        <v>WxHZ3CZ1_2688e_</v>
      </c>
    </row>
    <row r="57" spans="1:15">
      <c r="A57" s="220" t="s">
        <v>227</v>
      </c>
      <c r="B57" s="9" t="s">
        <v>848</v>
      </c>
      <c r="C57" s="9" t="s">
        <v>797</v>
      </c>
      <c r="D57" s="39">
        <f>analysis!H131</f>
        <v>2527.1681105197031</v>
      </c>
      <c r="E57" s="39">
        <f>analysis!I131</f>
        <v>98.740977321428602</v>
      </c>
      <c r="F57" s="39">
        <f>analysis!J131</f>
        <v>0</v>
      </c>
      <c r="G57" s="39">
        <f t="shared" si="1"/>
        <v>2625.9090878411316</v>
      </c>
      <c r="H57" s="39">
        <f>AdjustedOutput!V57*$H$1</f>
        <v>80.821661304469856</v>
      </c>
      <c r="I57" s="221"/>
      <c r="J57" s="222">
        <f t="shared" si="2"/>
        <v>13929.960000000001</v>
      </c>
      <c r="K57" s="223"/>
      <c r="M57" s="223">
        <f t="shared" si="5"/>
        <v>0</v>
      </c>
      <c r="O57" s="9" t="str">
        <f t="shared" si="3"/>
        <v>WxHZ3CZ1_2688e_</v>
      </c>
    </row>
    <row r="58" spans="1:15">
      <c r="A58" s="220" t="s">
        <v>227</v>
      </c>
      <c r="B58" s="9" t="s">
        <v>849</v>
      </c>
      <c r="C58" s="9" t="s">
        <v>800</v>
      </c>
      <c r="D58" s="39">
        <f>analysis!H132</f>
        <v>2527.1681105197031</v>
      </c>
      <c r="E58" s="39">
        <f>analysis!I132</f>
        <v>215.9451622142858</v>
      </c>
      <c r="F58" s="39">
        <f>analysis!J132</f>
        <v>0</v>
      </c>
      <c r="G58" s="39">
        <f t="shared" si="1"/>
        <v>2743.1132727339891</v>
      </c>
      <c r="H58" s="39">
        <f>AdjustedOutput!V58*$H$1</f>
        <v>80.821661304469856</v>
      </c>
      <c r="I58" s="221"/>
      <c r="J58" s="222">
        <f t="shared" si="2"/>
        <v>13929.960000000001</v>
      </c>
      <c r="K58" s="223"/>
      <c r="M58" s="223">
        <f t="shared" si="5"/>
        <v>0</v>
      </c>
      <c r="O58" s="9" t="str">
        <f t="shared" si="3"/>
        <v>WxHZ3CZ1_2688e_</v>
      </c>
    </row>
    <row r="59" spans="1:15">
      <c r="A59" s="220" t="s">
        <v>227</v>
      </c>
      <c r="B59" s="9" t="s">
        <v>850</v>
      </c>
      <c r="C59" s="9" t="s">
        <v>764</v>
      </c>
      <c r="D59" s="39">
        <f>analysis!H133</f>
        <v>1686.6827345536467</v>
      </c>
      <c r="E59" s="39">
        <f>analysis!I133</f>
        <v>58.658489142857093</v>
      </c>
      <c r="F59" s="39">
        <f>analysis!J133</f>
        <v>0</v>
      </c>
      <c r="G59" s="39">
        <f t="shared" si="1"/>
        <v>1745.3412236965037</v>
      </c>
      <c r="H59" s="39">
        <f>AdjustedOutput!V59*$H$1</f>
        <v>113.61945113722719</v>
      </c>
      <c r="I59" s="221"/>
      <c r="J59" s="222">
        <f t="shared" si="2"/>
        <v>6009.2415000000001</v>
      </c>
      <c r="K59" s="223"/>
      <c r="M59" s="223">
        <f t="shared" si="5"/>
        <v>0</v>
      </c>
      <c r="O59" s="9" t="str">
        <f t="shared" si="3"/>
        <v>NWHZ1CZ1_5000n_</v>
      </c>
    </row>
    <row r="60" spans="1:15">
      <c r="A60" s="220" t="s">
        <v>227</v>
      </c>
      <c r="B60" s="9" t="s">
        <v>851</v>
      </c>
      <c r="C60" s="9" t="s">
        <v>767</v>
      </c>
      <c r="D60" s="39">
        <f>analysis!H134</f>
        <v>1686.6827345536467</v>
      </c>
      <c r="E60" s="39">
        <f>analysis!I134</f>
        <v>172.75853796428567</v>
      </c>
      <c r="F60" s="39">
        <f>analysis!J134</f>
        <v>0</v>
      </c>
      <c r="G60" s="39">
        <f t="shared" si="1"/>
        <v>1859.4412725179322</v>
      </c>
      <c r="H60" s="39">
        <f>AdjustedOutput!V60*$H$1</f>
        <v>113.61945113722719</v>
      </c>
      <c r="I60" s="221"/>
      <c r="J60" s="222">
        <f t="shared" si="2"/>
        <v>6009.2415000000001</v>
      </c>
      <c r="K60" s="223"/>
      <c r="M60" s="223">
        <f t="shared" si="5"/>
        <v>0</v>
      </c>
      <c r="O60" s="9" t="str">
        <f t="shared" si="3"/>
        <v>NWHZ1CZ1_5000n_</v>
      </c>
    </row>
    <row r="61" spans="1:15">
      <c r="A61" s="220" t="s">
        <v>227</v>
      </c>
      <c r="B61" s="9" t="s">
        <v>852</v>
      </c>
      <c r="C61" s="9" t="s">
        <v>770</v>
      </c>
      <c r="D61" s="39">
        <f>analysis!H135</f>
        <v>1686.6827345536467</v>
      </c>
      <c r="E61" s="39">
        <f>analysis!I135</f>
        <v>361.56853514285717</v>
      </c>
      <c r="F61" s="39">
        <f>analysis!J135</f>
        <v>0</v>
      </c>
      <c r="G61" s="39">
        <f t="shared" si="1"/>
        <v>2048.2512696965041</v>
      </c>
      <c r="H61" s="39">
        <f>AdjustedOutput!V61*$H$1</f>
        <v>113.61945113722719</v>
      </c>
      <c r="I61" s="221"/>
      <c r="J61" s="222">
        <f t="shared" si="2"/>
        <v>6009.2415000000001</v>
      </c>
      <c r="K61" s="223"/>
      <c r="M61" s="223">
        <f t="shared" si="5"/>
        <v>0</v>
      </c>
      <c r="O61" s="9" t="str">
        <f t="shared" si="3"/>
        <v>NWHZ1CZ1_5000n_</v>
      </c>
    </row>
    <row r="62" spans="1:15">
      <c r="A62" s="220" t="s">
        <v>227</v>
      </c>
      <c r="B62" s="9" t="s">
        <v>853</v>
      </c>
      <c r="C62" s="9" t="s">
        <v>764</v>
      </c>
      <c r="D62" s="39">
        <f>analysis!H136</f>
        <v>1693.566363448037</v>
      </c>
      <c r="E62" s="39">
        <f>analysis!I136</f>
        <v>61.308651749999967</v>
      </c>
      <c r="F62" s="39">
        <f>analysis!J136</f>
        <v>0</v>
      </c>
      <c r="G62" s="39">
        <f t="shared" si="1"/>
        <v>1754.8750151980371</v>
      </c>
      <c r="H62" s="39">
        <f>AdjustedOutput!V62*$H$1</f>
        <v>118.40726694086749</v>
      </c>
      <c r="I62" s="221"/>
      <c r="J62" s="222">
        <f t="shared" si="2"/>
        <v>6948.3720000000003</v>
      </c>
      <c r="K62" s="223"/>
      <c r="M62" s="223">
        <f t="shared" si="5"/>
        <v>0</v>
      </c>
      <c r="O62" s="9" t="str">
        <f t="shared" si="3"/>
        <v>WxHZ1CZ1_5000e_</v>
      </c>
    </row>
    <row r="63" spans="1:15">
      <c r="A63" s="220" t="s">
        <v>227</v>
      </c>
      <c r="B63" s="9" t="s">
        <v>854</v>
      </c>
      <c r="C63" s="9" t="s">
        <v>767</v>
      </c>
      <c r="D63" s="39">
        <f>analysis!H137</f>
        <v>1693.566363448037</v>
      </c>
      <c r="E63" s="39">
        <f>analysis!I137</f>
        <v>181.72664803571422</v>
      </c>
      <c r="F63" s="39">
        <f>analysis!J137</f>
        <v>0</v>
      </c>
      <c r="G63" s="39">
        <f t="shared" si="1"/>
        <v>1875.2930114837513</v>
      </c>
      <c r="H63" s="39">
        <f>AdjustedOutput!V63*$H$1</f>
        <v>118.40726694086749</v>
      </c>
      <c r="I63" s="221"/>
      <c r="J63" s="222">
        <f t="shared" si="2"/>
        <v>6948.3720000000003</v>
      </c>
      <c r="K63" s="223"/>
      <c r="M63" s="223">
        <f t="shared" si="5"/>
        <v>0</v>
      </c>
      <c r="O63" s="9" t="str">
        <f t="shared" si="3"/>
        <v>WxHZ1CZ1_5000e_</v>
      </c>
    </row>
    <row r="64" spans="1:15">
      <c r="A64" s="220" t="s">
        <v>227</v>
      </c>
      <c r="B64" s="9" t="s">
        <v>855</v>
      </c>
      <c r="C64" s="9" t="s">
        <v>770</v>
      </c>
      <c r="D64" s="39">
        <f>analysis!H138</f>
        <v>1693.566363448037</v>
      </c>
      <c r="E64" s="39">
        <f>analysis!I138</f>
        <v>381.58264585714278</v>
      </c>
      <c r="F64" s="39">
        <f>analysis!J138</f>
        <v>0</v>
      </c>
      <c r="G64" s="39">
        <f t="shared" si="1"/>
        <v>2075.1490093051798</v>
      </c>
      <c r="H64" s="39">
        <f>AdjustedOutput!V64*$H$1</f>
        <v>118.40726694086749</v>
      </c>
      <c r="I64" s="221"/>
      <c r="J64" s="222">
        <f t="shared" si="2"/>
        <v>6948.3720000000003</v>
      </c>
      <c r="K64" s="223"/>
      <c r="M64" s="223">
        <f t="shared" si="5"/>
        <v>0</v>
      </c>
      <c r="O64" s="9" t="str">
        <f t="shared" si="3"/>
        <v>WxHZ1CZ1_5000e_</v>
      </c>
    </row>
    <row r="65" spans="1:15">
      <c r="A65" s="220" t="s">
        <v>227</v>
      </c>
      <c r="B65" s="9" t="s">
        <v>856</v>
      </c>
      <c r="C65" s="9" t="s">
        <v>779</v>
      </c>
      <c r="D65" s="39">
        <f>analysis!H139</f>
        <v>3629.7216043188091</v>
      </c>
      <c r="E65" s="39">
        <f>analysis!I139</f>
        <v>58.658489142857093</v>
      </c>
      <c r="F65" s="39">
        <f>analysis!J139</f>
        <v>0</v>
      </c>
      <c r="G65" s="39">
        <f t="shared" si="1"/>
        <v>3688.3800934616661</v>
      </c>
      <c r="H65" s="39">
        <f>AdjustedOutput!V65*$H$1</f>
        <v>131.46443030299892</v>
      </c>
      <c r="I65" s="221"/>
      <c r="J65" s="222">
        <f t="shared" si="2"/>
        <v>11942.103499999997</v>
      </c>
      <c r="K65" s="223"/>
      <c r="M65" s="223">
        <f t="shared" si="5"/>
        <v>0</v>
      </c>
      <c r="O65" s="9" t="str">
        <f t="shared" si="3"/>
        <v>NWHZ2CZ1_5000n_</v>
      </c>
    </row>
    <row r="66" spans="1:15">
      <c r="A66" s="220" t="s">
        <v>227</v>
      </c>
      <c r="B66" s="9" t="s">
        <v>857</v>
      </c>
      <c r="C66" s="9" t="s">
        <v>782</v>
      </c>
      <c r="D66" s="39">
        <f>analysis!H140</f>
        <v>3629.7216043188091</v>
      </c>
      <c r="E66" s="39">
        <f>analysis!I140</f>
        <v>172.75853796428567</v>
      </c>
      <c r="F66" s="39">
        <f>analysis!J140</f>
        <v>0</v>
      </c>
      <c r="G66" s="39">
        <f t="shared" si="1"/>
        <v>3802.4801422830947</v>
      </c>
      <c r="H66" s="39">
        <f>AdjustedOutput!V66*$H$1</f>
        <v>131.46443030299892</v>
      </c>
      <c r="I66" s="221"/>
      <c r="J66" s="222">
        <f t="shared" si="2"/>
        <v>11942.103499999997</v>
      </c>
      <c r="K66" s="223"/>
      <c r="M66" s="223">
        <f t="shared" si="5"/>
        <v>0</v>
      </c>
      <c r="O66" s="9" t="str">
        <f t="shared" si="3"/>
        <v>NWHZ2CZ1_5000n_</v>
      </c>
    </row>
    <row r="67" spans="1:15">
      <c r="A67" s="220" t="s">
        <v>227</v>
      </c>
      <c r="B67" s="9" t="s">
        <v>858</v>
      </c>
      <c r="C67" s="9" t="s">
        <v>785</v>
      </c>
      <c r="D67" s="39">
        <f>analysis!H141</f>
        <v>3629.7216043188091</v>
      </c>
      <c r="E67" s="39">
        <f>analysis!I141</f>
        <v>361.56853514285717</v>
      </c>
      <c r="F67" s="39">
        <f>analysis!J141</f>
        <v>0</v>
      </c>
      <c r="G67" s="39">
        <f t="shared" si="1"/>
        <v>3991.2901394616665</v>
      </c>
      <c r="H67" s="39">
        <f>AdjustedOutput!V67*$H$1</f>
        <v>131.46443030299892</v>
      </c>
      <c r="I67" s="221"/>
      <c r="J67" s="222">
        <f t="shared" si="2"/>
        <v>11942.103499999997</v>
      </c>
      <c r="K67" s="223"/>
      <c r="M67" s="223">
        <f t="shared" si="5"/>
        <v>0</v>
      </c>
      <c r="O67" s="9" t="str">
        <f t="shared" si="3"/>
        <v>NWHZ2CZ1_5000n_</v>
      </c>
    </row>
    <row r="68" spans="1:15">
      <c r="A68" s="220" t="s">
        <v>227</v>
      </c>
      <c r="B68" s="9" t="s">
        <v>859</v>
      </c>
      <c r="C68" s="9" t="s">
        <v>779</v>
      </c>
      <c r="D68" s="39">
        <f>analysis!H142</f>
        <v>3672.2917625412101</v>
      </c>
      <c r="E68" s="39">
        <f>analysis!I142</f>
        <v>61.308651749999967</v>
      </c>
      <c r="F68" s="39">
        <f>analysis!J142</f>
        <v>0</v>
      </c>
      <c r="G68" s="39">
        <f t="shared" si="1"/>
        <v>3733.6004142912102</v>
      </c>
      <c r="H68" s="39">
        <f>AdjustedOutput!V68*$H$1</f>
        <v>134.18552995192849</v>
      </c>
      <c r="I68" s="221"/>
      <c r="J68" s="222">
        <f t="shared" si="2"/>
        <v>13713.364000000003</v>
      </c>
      <c r="K68" s="223"/>
      <c r="M68" s="223">
        <f t="shared" si="5"/>
        <v>0</v>
      </c>
      <c r="O68" s="9" t="str">
        <f t="shared" si="3"/>
        <v>WxHZ2CZ1_5000e_</v>
      </c>
    </row>
    <row r="69" spans="1:15">
      <c r="A69" s="220" t="s">
        <v>227</v>
      </c>
      <c r="B69" s="9" t="s">
        <v>860</v>
      </c>
      <c r="C69" s="9" t="s">
        <v>782</v>
      </c>
      <c r="D69" s="39">
        <f>analysis!H143</f>
        <v>3672.2917625412101</v>
      </c>
      <c r="E69" s="39">
        <f>analysis!I143</f>
        <v>181.72664803571422</v>
      </c>
      <c r="F69" s="39">
        <f>analysis!J143</f>
        <v>0</v>
      </c>
      <c r="G69" s="39">
        <f t="shared" si="1"/>
        <v>3854.0184105769245</v>
      </c>
      <c r="H69" s="39">
        <f>AdjustedOutput!V69*$H$1</f>
        <v>134.18552995192849</v>
      </c>
      <c r="I69" s="221"/>
      <c r="J69" s="222">
        <f t="shared" si="2"/>
        <v>13713.364000000003</v>
      </c>
      <c r="K69" s="223"/>
      <c r="M69" s="223">
        <f t="shared" ref="M69:M100" si="6">IF(RIGHT(B69,1)="0",0,1000)</f>
        <v>0</v>
      </c>
      <c r="O69" s="9" t="str">
        <f t="shared" si="3"/>
        <v>WxHZ2CZ1_5000e_</v>
      </c>
    </row>
    <row r="70" spans="1:15">
      <c r="A70" s="220" t="s">
        <v>227</v>
      </c>
      <c r="B70" s="9" t="s">
        <v>861</v>
      </c>
      <c r="C70" s="9" t="s">
        <v>785</v>
      </c>
      <c r="D70" s="39">
        <f>analysis!H144</f>
        <v>3672.2917625412101</v>
      </c>
      <c r="E70" s="39">
        <f>analysis!I144</f>
        <v>381.58264585714278</v>
      </c>
      <c r="F70" s="39">
        <f>analysis!J144</f>
        <v>0</v>
      </c>
      <c r="G70" s="39">
        <f t="shared" ref="G70:G133" si="7">SUM(D70:F70)</f>
        <v>4053.8744083983529</v>
      </c>
      <c r="H70" s="39">
        <f>AdjustedOutput!V70*$H$1</f>
        <v>134.18552995192849</v>
      </c>
      <c r="I70" s="221"/>
      <c r="J70" s="222">
        <f t="shared" ref="J70:J133" si="8">VLOOKUP($O70,$P$5:$Q$28,2,FALSE)</f>
        <v>13713.364000000003</v>
      </c>
      <c r="K70" s="223"/>
      <c r="M70" s="223">
        <f t="shared" si="6"/>
        <v>0</v>
      </c>
      <c r="O70" s="9" t="str">
        <f t="shared" ref="O70:O133" si="9">LEFT(B70,7)&amp;"1"&amp;MID(B70,9,7)</f>
        <v>WxHZ2CZ1_5000e_</v>
      </c>
    </row>
    <row r="71" spans="1:15">
      <c r="A71" s="220" t="s">
        <v>227</v>
      </c>
      <c r="B71" s="9" t="s">
        <v>862</v>
      </c>
      <c r="C71" s="9" t="s">
        <v>794</v>
      </c>
      <c r="D71" s="39">
        <f>analysis!H145</f>
        <v>4952.1283628844976</v>
      </c>
      <c r="E71" s="39">
        <f>analysis!I145</f>
        <v>58.658489142857093</v>
      </c>
      <c r="F71" s="39">
        <f>analysis!J145</f>
        <v>0</v>
      </c>
      <c r="G71" s="39">
        <f t="shared" si="7"/>
        <v>5010.7868520273551</v>
      </c>
      <c r="H71" s="39">
        <f>AdjustedOutput!V71*$H$1</f>
        <v>156.52875830308164</v>
      </c>
      <c r="I71" s="221"/>
      <c r="J71" s="222">
        <f t="shared" si="8"/>
        <v>19560.591</v>
      </c>
      <c r="K71" s="223"/>
      <c r="M71" s="223">
        <f t="shared" si="6"/>
        <v>0</v>
      </c>
      <c r="O71" s="9" t="str">
        <f t="shared" si="9"/>
        <v>NWHZ3CZ1_5000n_</v>
      </c>
    </row>
    <row r="72" spans="1:15">
      <c r="A72" s="220" t="s">
        <v>227</v>
      </c>
      <c r="B72" s="9" t="s">
        <v>863</v>
      </c>
      <c r="C72" s="9" t="s">
        <v>797</v>
      </c>
      <c r="D72" s="39">
        <f>analysis!H146</f>
        <v>4952.1283628844976</v>
      </c>
      <c r="E72" s="39">
        <f>analysis!I146</f>
        <v>172.75853796428567</v>
      </c>
      <c r="F72" s="39">
        <f>analysis!J146</f>
        <v>0</v>
      </c>
      <c r="G72" s="39">
        <f t="shared" si="7"/>
        <v>5124.8869008487836</v>
      </c>
      <c r="H72" s="39">
        <f>AdjustedOutput!V72*$H$1</f>
        <v>156.52875830308164</v>
      </c>
      <c r="I72" s="221"/>
      <c r="J72" s="222">
        <f t="shared" si="8"/>
        <v>19560.591</v>
      </c>
      <c r="K72" s="223"/>
      <c r="M72" s="223">
        <f t="shared" si="6"/>
        <v>0</v>
      </c>
      <c r="O72" s="9" t="str">
        <f t="shared" si="9"/>
        <v>NWHZ3CZ1_5000n_</v>
      </c>
    </row>
    <row r="73" spans="1:15">
      <c r="A73" s="220" t="s">
        <v>227</v>
      </c>
      <c r="B73" s="9" t="s">
        <v>864</v>
      </c>
      <c r="C73" s="9" t="s">
        <v>800</v>
      </c>
      <c r="D73" s="39">
        <f>analysis!H147</f>
        <v>4952.1283628844976</v>
      </c>
      <c r="E73" s="39">
        <f>analysis!I147</f>
        <v>361.56853514285717</v>
      </c>
      <c r="F73" s="39">
        <f>analysis!J147</f>
        <v>0</v>
      </c>
      <c r="G73" s="39">
        <f t="shared" si="7"/>
        <v>5313.696898027355</v>
      </c>
      <c r="H73" s="39">
        <f>AdjustedOutput!V73*$H$1</f>
        <v>156.52875830308164</v>
      </c>
      <c r="I73" s="221"/>
      <c r="J73" s="222">
        <f t="shared" si="8"/>
        <v>19560.591</v>
      </c>
      <c r="K73" s="223"/>
      <c r="M73" s="223">
        <f t="shared" si="6"/>
        <v>0</v>
      </c>
      <c r="O73" s="9" t="str">
        <f t="shared" si="9"/>
        <v>NWHZ3CZ1_5000n_</v>
      </c>
    </row>
    <row r="74" spans="1:15">
      <c r="A74" s="220" t="s">
        <v>227</v>
      </c>
      <c r="B74" s="9" t="s">
        <v>865</v>
      </c>
      <c r="C74" s="9" t="s">
        <v>794</v>
      </c>
      <c r="D74" s="39">
        <f>analysis!H148</f>
        <v>5069.2275520225176</v>
      </c>
      <c r="E74" s="39">
        <f>analysis!I148</f>
        <v>61.308651749999967</v>
      </c>
      <c r="F74" s="39">
        <f>analysis!J148</f>
        <v>0</v>
      </c>
      <c r="G74" s="39">
        <f t="shared" si="7"/>
        <v>5130.5362037725172</v>
      </c>
      <c r="H74" s="39">
        <f>AdjustedOutput!V74*$H$1</f>
        <v>158.92676412845148</v>
      </c>
      <c r="I74" s="221"/>
      <c r="J74" s="222">
        <f t="shared" si="8"/>
        <v>22392.255000000005</v>
      </c>
      <c r="K74" s="223"/>
      <c r="M74" s="223">
        <f t="shared" si="6"/>
        <v>0</v>
      </c>
      <c r="O74" s="9" t="str">
        <f t="shared" si="9"/>
        <v>WxHZ3CZ1_5000e_</v>
      </c>
    </row>
    <row r="75" spans="1:15">
      <c r="A75" s="220" t="s">
        <v>227</v>
      </c>
      <c r="B75" s="9" t="s">
        <v>866</v>
      </c>
      <c r="C75" s="9" t="s">
        <v>797</v>
      </c>
      <c r="D75" s="39">
        <f>analysis!H149</f>
        <v>5069.2275520225176</v>
      </c>
      <c r="E75" s="39">
        <f>analysis!I149</f>
        <v>181.72664803571422</v>
      </c>
      <c r="F75" s="39">
        <f>analysis!J149</f>
        <v>0</v>
      </c>
      <c r="G75" s="39">
        <f t="shared" si="7"/>
        <v>5250.9542000582314</v>
      </c>
      <c r="H75" s="39">
        <f>AdjustedOutput!V75*$H$1</f>
        <v>158.92676412845148</v>
      </c>
      <c r="I75" s="221"/>
      <c r="J75" s="222">
        <f t="shared" si="8"/>
        <v>22392.255000000005</v>
      </c>
      <c r="K75" s="223"/>
      <c r="M75" s="223">
        <f t="shared" si="6"/>
        <v>0</v>
      </c>
      <c r="O75" s="9" t="str">
        <f t="shared" si="9"/>
        <v>WxHZ3CZ1_5000e_</v>
      </c>
    </row>
    <row r="76" spans="1:15">
      <c r="A76" s="220" t="s">
        <v>227</v>
      </c>
      <c r="B76" s="9" t="s">
        <v>867</v>
      </c>
      <c r="C76" s="9" t="s">
        <v>800</v>
      </c>
      <c r="D76" s="39">
        <f>analysis!H150</f>
        <v>5069.2275520225176</v>
      </c>
      <c r="E76" s="39">
        <f>analysis!I150</f>
        <v>381.58264585714278</v>
      </c>
      <c r="F76" s="39">
        <f>analysis!J150</f>
        <v>0</v>
      </c>
      <c r="G76" s="39">
        <f t="shared" si="7"/>
        <v>5450.8101978796603</v>
      </c>
      <c r="H76" s="39">
        <f>AdjustedOutput!V76*$H$1</f>
        <v>158.92676412845148</v>
      </c>
      <c r="I76" s="221"/>
      <c r="J76" s="222">
        <f t="shared" si="8"/>
        <v>22392.255000000005</v>
      </c>
      <c r="K76" s="223"/>
      <c r="M76" s="223">
        <f t="shared" si="6"/>
        <v>0</v>
      </c>
      <c r="O76" s="9" t="str">
        <f t="shared" si="9"/>
        <v>WxHZ3CZ1_5000e_</v>
      </c>
    </row>
    <row r="77" spans="1:15">
      <c r="A77" s="220" t="s">
        <v>227</v>
      </c>
      <c r="B77" s="9" t="s">
        <v>868</v>
      </c>
      <c r="C77" s="9" t="s">
        <v>764</v>
      </c>
      <c r="D77" s="39">
        <f>analysis!H151</f>
        <v>142.06813477414244</v>
      </c>
      <c r="E77" s="39">
        <f>analysis!I151</f>
        <v>27.313564857142865</v>
      </c>
      <c r="F77" s="39">
        <f>analysis!J151</f>
        <v>1382.7207517500001</v>
      </c>
      <c r="G77" s="39">
        <f t="shared" si="7"/>
        <v>1552.1024513812854</v>
      </c>
      <c r="H77" s="39">
        <f>AdjustedOutput!V77*$H$1</f>
        <v>37.244648273253972</v>
      </c>
      <c r="I77" s="221"/>
      <c r="J77" s="222">
        <f t="shared" si="8"/>
        <v>3448.4089999999997</v>
      </c>
      <c r="K77" s="223"/>
      <c r="M77" s="223">
        <f t="shared" si="6"/>
        <v>1000</v>
      </c>
      <c r="O77" s="9" t="str">
        <f t="shared" si="9"/>
        <v>NWHZ1CZ1_1568n_</v>
      </c>
    </row>
    <row r="78" spans="1:15">
      <c r="A78" s="220" t="s">
        <v>227</v>
      </c>
      <c r="B78" s="9" t="s">
        <v>869</v>
      </c>
      <c r="C78" s="9" t="s">
        <v>767</v>
      </c>
      <c r="D78" s="39">
        <f>analysis!H152</f>
        <v>142.06813477414244</v>
      </c>
      <c r="E78" s="39">
        <f>analysis!I152</f>
        <v>90.226618321428589</v>
      </c>
      <c r="F78" s="39">
        <f>analysis!J152</f>
        <v>1382.7207517500001</v>
      </c>
      <c r="G78" s="39">
        <f t="shared" si="7"/>
        <v>1615.0155048455711</v>
      </c>
      <c r="H78" s="39">
        <f>AdjustedOutput!V78*$H$1</f>
        <v>37.244648273253972</v>
      </c>
      <c r="I78" s="221"/>
      <c r="J78" s="222">
        <f t="shared" si="8"/>
        <v>3448.4089999999997</v>
      </c>
      <c r="K78" s="223"/>
      <c r="M78" s="223">
        <f t="shared" si="6"/>
        <v>1000</v>
      </c>
      <c r="O78" s="9" t="str">
        <f t="shared" si="9"/>
        <v>NWHZ1CZ1_1568n_</v>
      </c>
    </row>
    <row r="79" spans="1:15">
      <c r="A79" s="220" t="s">
        <v>227</v>
      </c>
      <c r="B79" s="9" t="s">
        <v>870</v>
      </c>
      <c r="C79" s="9" t="s">
        <v>770</v>
      </c>
      <c r="D79" s="39">
        <f>analysis!H153</f>
        <v>142.06813477414244</v>
      </c>
      <c r="E79" s="39">
        <f>analysis!I153</f>
        <v>193.88889471428581</v>
      </c>
      <c r="F79" s="39">
        <f>analysis!J153</f>
        <v>1382.7207517500001</v>
      </c>
      <c r="G79" s="39">
        <f t="shared" si="7"/>
        <v>1718.6777812384285</v>
      </c>
      <c r="H79" s="39">
        <f>AdjustedOutput!V79*$H$1</f>
        <v>37.244648273253972</v>
      </c>
      <c r="I79" s="221"/>
      <c r="J79" s="222">
        <f t="shared" si="8"/>
        <v>3448.4089999999997</v>
      </c>
      <c r="K79" s="223"/>
      <c r="M79" s="223">
        <f t="shared" si="6"/>
        <v>1000</v>
      </c>
      <c r="O79" s="9" t="str">
        <f t="shared" si="9"/>
        <v>NWHZ1CZ1_1568n_</v>
      </c>
    </row>
    <row r="80" spans="1:15">
      <c r="A80" s="220" t="s">
        <v>227</v>
      </c>
      <c r="B80" s="9" t="s">
        <v>871</v>
      </c>
      <c r="C80" s="9" t="s">
        <v>764</v>
      </c>
      <c r="D80" s="39">
        <f>analysis!H154</f>
        <v>160.1644671574827</v>
      </c>
      <c r="E80" s="39">
        <f>analysis!I154</f>
        <v>27.072493535714273</v>
      </c>
      <c r="F80" s="39">
        <f>analysis!J154</f>
        <v>1556.3866710000002</v>
      </c>
      <c r="G80" s="39">
        <f t="shared" si="7"/>
        <v>1743.6236316931972</v>
      </c>
      <c r="H80" s="39">
        <f>AdjustedOutput!V80*$H$1</f>
        <v>41.67104982051135</v>
      </c>
      <c r="I80" s="221"/>
      <c r="J80" s="222">
        <f t="shared" si="8"/>
        <v>3486.6420000000003</v>
      </c>
      <c r="K80" s="223"/>
      <c r="M80" s="223">
        <f t="shared" si="6"/>
        <v>1000</v>
      </c>
      <c r="O80" s="9" t="str">
        <f t="shared" si="9"/>
        <v>WxHZ1CZ1_1568e_</v>
      </c>
    </row>
    <row r="81" spans="1:15">
      <c r="A81" s="220" t="s">
        <v>227</v>
      </c>
      <c r="B81" s="9" t="s">
        <v>872</v>
      </c>
      <c r="C81" s="9" t="s">
        <v>767</v>
      </c>
      <c r="D81" s="39">
        <f>analysis!H155</f>
        <v>160.1644671574827</v>
      </c>
      <c r="E81" s="39">
        <f>analysis!I155</f>
        <v>90.965009892857211</v>
      </c>
      <c r="F81" s="39">
        <f>analysis!J155</f>
        <v>1556.3866710000002</v>
      </c>
      <c r="G81" s="39">
        <f t="shared" si="7"/>
        <v>1807.5161480503402</v>
      </c>
      <c r="H81" s="39">
        <f>AdjustedOutput!V81*$H$1</f>
        <v>41.67104982051135</v>
      </c>
      <c r="I81" s="221"/>
      <c r="J81" s="222">
        <f t="shared" si="8"/>
        <v>3486.6420000000003</v>
      </c>
      <c r="K81" s="223"/>
      <c r="M81" s="223">
        <f t="shared" si="6"/>
        <v>1000</v>
      </c>
      <c r="O81" s="9" t="str">
        <f t="shared" si="9"/>
        <v>WxHZ1CZ1_1568e_</v>
      </c>
    </row>
    <row r="82" spans="1:15">
      <c r="A82" s="220" t="s">
        <v>227</v>
      </c>
      <c r="B82" s="9" t="s">
        <v>873</v>
      </c>
      <c r="C82" s="9" t="s">
        <v>770</v>
      </c>
      <c r="D82" s="39">
        <f>analysis!H156</f>
        <v>160.1644671574827</v>
      </c>
      <c r="E82" s="39">
        <f>analysis!I156</f>
        <v>198.05352253571425</v>
      </c>
      <c r="F82" s="39">
        <f>analysis!J156</f>
        <v>1556.3866710000002</v>
      </c>
      <c r="G82" s="39">
        <f t="shared" si="7"/>
        <v>1914.6046606931973</v>
      </c>
      <c r="H82" s="39">
        <f>AdjustedOutput!V82*$H$1</f>
        <v>41.67104982051135</v>
      </c>
      <c r="I82" s="221"/>
      <c r="J82" s="222">
        <f t="shared" si="8"/>
        <v>3486.6420000000003</v>
      </c>
      <c r="K82" s="223"/>
      <c r="M82" s="223">
        <f t="shared" si="6"/>
        <v>1000</v>
      </c>
      <c r="O82" s="9" t="str">
        <f t="shared" si="9"/>
        <v>WxHZ1CZ1_1568e_</v>
      </c>
    </row>
    <row r="83" spans="1:15">
      <c r="A83" s="220" t="s">
        <v>227</v>
      </c>
      <c r="B83" s="9" t="s">
        <v>874</v>
      </c>
      <c r="C83" s="9" t="s">
        <v>779</v>
      </c>
      <c r="D83" s="39">
        <f>analysis!H157</f>
        <v>741.3096471066965</v>
      </c>
      <c r="E83" s="39">
        <f>analysis!I157</f>
        <v>27.313564857142865</v>
      </c>
      <c r="F83" s="39">
        <f>analysis!J157</f>
        <v>1933.5492165000001</v>
      </c>
      <c r="G83" s="39">
        <f t="shared" si="7"/>
        <v>2702.1724284638394</v>
      </c>
      <c r="H83" s="39">
        <f>AdjustedOutput!V83*$H$1</f>
        <v>37.043142604546475</v>
      </c>
      <c r="I83" s="221"/>
      <c r="J83" s="222">
        <f t="shared" si="8"/>
        <v>7001.8290000000006</v>
      </c>
      <c r="K83" s="223"/>
      <c r="M83" s="223">
        <f t="shared" si="6"/>
        <v>1000</v>
      </c>
      <c r="O83" s="9" t="str">
        <f t="shared" si="9"/>
        <v>NWHZ2CZ1_1568n_</v>
      </c>
    </row>
    <row r="84" spans="1:15">
      <c r="A84" s="220" t="s">
        <v>227</v>
      </c>
      <c r="B84" s="9" t="s">
        <v>875</v>
      </c>
      <c r="C84" s="9" t="s">
        <v>782</v>
      </c>
      <c r="D84" s="39">
        <f>analysis!H158</f>
        <v>741.3096471066965</v>
      </c>
      <c r="E84" s="39">
        <f>analysis!I158</f>
        <v>90.226618321428589</v>
      </c>
      <c r="F84" s="39">
        <f>analysis!J158</f>
        <v>1933.5492165000001</v>
      </c>
      <c r="G84" s="39">
        <f t="shared" si="7"/>
        <v>2765.0854819281249</v>
      </c>
      <c r="H84" s="39">
        <f>AdjustedOutput!V84*$H$1</f>
        <v>37.043142604546475</v>
      </c>
      <c r="I84" s="221"/>
      <c r="J84" s="222">
        <f t="shared" si="8"/>
        <v>7001.8290000000006</v>
      </c>
      <c r="K84" s="223"/>
      <c r="M84" s="223">
        <f t="shared" si="6"/>
        <v>1000</v>
      </c>
      <c r="O84" s="9" t="str">
        <f t="shared" si="9"/>
        <v>NWHZ2CZ1_1568n_</v>
      </c>
    </row>
    <row r="85" spans="1:15">
      <c r="A85" s="220" t="s">
        <v>227</v>
      </c>
      <c r="B85" s="9" t="s">
        <v>876</v>
      </c>
      <c r="C85" s="9" t="s">
        <v>785</v>
      </c>
      <c r="D85" s="39">
        <f>analysis!H159</f>
        <v>741.3096471066965</v>
      </c>
      <c r="E85" s="39">
        <f>analysis!I159</f>
        <v>193.88889471428581</v>
      </c>
      <c r="F85" s="39">
        <f>analysis!J159</f>
        <v>1933.5492165000001</v>
      </c>
      <c r="G85" s="39">
        <f t="shared" si="7"/>
        <v>2868.7477583209825</v>
      </c>
      <c r="H85" s="39">
        <f>AdjustedOutput!V85*$H$1</f>
        <v>37.043142604546475</v>
      </c>
      <c r="I85" s="221"/>
      <c r="J85" s="222">
        <f t="shared" si="8"/>
        <v>7001.8290000000006</v>
      </c>
      <c r="K85" s="223"/>
      <c r="M85" s="223">
        <f t="shared" si="6"/>
        <v>1000</v>
      </c>
      <c r="O85" s="9" t="str">
        <f t="shared" si="9"/>
        <v>NWHZ2CZ1_1568n_</v>
      </c>
    </row>
    <row r="86" spans="1:15">
      <c r="A86" s="220" t="s">
        <v>227</v>
      </c>
      <c r="B86" s="9" t="s">
        <v>877</v>
      </c>
      <c r="C86" s="9" t="s">
        <v>779</v>
      </c>
      <c r="D86" s="39">
        <f>analysis!H160</f>
        <v>827.75869787710872</v>
      </c>
      <c r="E86" s="39">
        <f>analysis!I160</f>
        <v>27.072493535714273</v>
      </c>
      <c r="F86" s="39">
        <f>analysis!J160</f>
        <v>2151.3428954999999</v>
      </c>
      <c r="G86" s="39">
        <f t="shared" si="7"/>
        <v>3006.174086912823</v>
      </c>
      <c r="H86" s="39">
        <f>AdjustedOutput!V86*$H$1</f>
        <v>40.943483828467059</v>
      </c>
      <c r="I86" s="221"/>
      <c r="J86" s="222">
        <f t="shared" si="8"/>
        <v>7073.7969999999987</v>
      </c>
      <c r="K86" s="223"/>
      <c r="M86" s="223">
        <f t="shared" si="6"/>
        <v>1000</v>
      </c>
      <c r="O86" s="9" t="str">
        <f t="shared" si="9"/>
        <v>WxHZ2CZ1_1568e_</v>
      </c>
    </row>
    <row r="87" spans="1:15">
      <c r="A87" s="220" t="s">
        <v>227</v>
      </c>
      <c r="B87" s="9" t="s">
        <v>878</v>
      </c>
      <c r="C87" s="9" t="s">
        <v>782</v>
      </c>
      <c r="D87" s="39">
        <f>analysis!H161</f>
        <v>827.75869787710872</v>
      </c>
      <c r="E87" s="39">
        <f>analysis!I161</f>
        <v>90.965009892857211</v>
      </c>
      <c r="F87" s="39">
        <f>analysis!J161</f>
        <v>2151.3428954999999</v>
      </c>
      <c r="G87" s="39">
        <f t="shared" si="7"/>
        <v>3070.066603269966</v>
      </c>
      <c r="H87" s="39">
        <f>AdjustedOutput!V87*$H$1</f>
        <v>40.943483828467059</v>
      </c>
      <c r="I87" s="221"/>
      <c r="J87" s="222">
        <f t="shared" si="8"/>
        <v>7073.7969999999987</v>
      </c>
      <c r="K87" s="223"/>
      <c r="M87" s="223">
        <f t="shared" si="6"/>
        <v>1000</v>
      </c>
      <c r="O87" s="9" t="str">
        <f t="shared" si="9"/>
        <v>WxHZ2CZ1_1568e_</v>
      </c>
    </row>
    <row r="88" spans="1:15">
      <c r="A88" s="220" t="s">
        <v>227</v>
      </c>
      <c r="B88" s="9" t="s">
        <v>879</v>
      </c>
      <c r="C88" s="9" t="s">
        <v>785</v>
      </c>
      <c r="D88" s="39">
        <f>analysis!H162</f>
        <v>827.75869787710872</v>
      </c>
      <c r="E88" s="39">
        <f>analysis!I162</f>
        <v>198.05352253571425</v>
      </c>
      <c r="F88" s="39">
        <f>analysis!J162</f>
        <v>2151.3428954999999</v>
      </c>
      <c r="G88" s="39">
        <f t="shared" si="7"/>
        <v>3177.155115912823</v>
      </c>
      <c r="H88" s="39">
        <f>AdjustedOutput!V88*$H$1</f>
        <v>40.943483828467059</v>
      </c>
      <c r="I88" s="221"/>
      <c r="J88" s="222">
        <f t="shared" si="8"/>
        <v>7073.7969999999987</v>
      </c>
      <c r="K88" s="223"/>
      <c r="M88" s="223">
        <f t="shared" si="6"/>
        <v>1000</v>
      </c>
      <c r="O88" s="9" t="str">
        <f t="shared" si="9"/>
        <v>WxHZ2CZ1_1568e_</v>
      </c>
    </row>
    <row r="89" spans="1:15">
      <c r="A89" s="220" t="s">
        <v>227</v>
      </c>
      <c r="B89" s="9" t="s">
        <v>880</v>
      </c>
      <c r="C89" s="9" t="s">
        <v>794</v>
      </c>
      <c r="D89" s="39">
        <f>analysis!H163</f>
        <v>1227.2811095910693</v>
      </c>
      <c r="E89" s="39">
        <f>analysis!I163</f>
        <v>27.313564857142865</v>
      </c>
      <c r="F89" s="39">
        <f>analysis!J163</f>
        <v>2233.90935825</v>
      </c>
      <c r="G89" s="39">
        <f t="shared" si="7"/>
        <v>3488.5040326982121</v>
      </c>
      <c r="H89" s="39">
        <f>AdjustedOutput!V89*$H$1</f>
        <v>39.719566500320333</v>
      </c>
      <c r="I89" s="221"/>
      <c r="J89" s="222">
        <f t="shared" si="8"/>
        <v>11184.969000000001</v>
      </c>
      <c r="K89" s="223"/>
      <c r="M89" s="223">
        <f t="shared" si="6"/>
        <v>1000</v>
      </c>
      <c r="O89" s="9" t="str">
        <f t="shared" si="9"/>
        <v>NWHZ3CZ1_1568n_</v>
      </c>
    </row>
    <row r="90" spans="1:15">
      <c r="A90" s="220" t="s">
        <v>227</v>
      </c>
      <c r="B90" s="9" t="s">
        <v>881</v>
      </c>
      <c r="C90" s="9" t="s">
        <v>797</v>
      </c>
      <c r="D90" s="39">
        <f>analysis!H164</f>
        <v>1227.2811095910693</v>
      </c>
      <c r="E90" s="39">
        <f>analysis!I164</f>
        <v>90.226618321428589</v>
      </c>
      <c r="F90" s="39">
        <f>analysis!J164</f>
        <v>2233.90935825</v>
      </c>
      <c r="G90" s="39">
        <f t="shared" si="7"/>
        <v>3551.417086162498</v>
      </c>
      <c r="H90" s="39">
        <f>AdjustedOutput!V90*$H$1</f>
        <v>39.719566500320333</v>
      </c>
      <c r="I90" s="221"/>
      <c r="J90" s="222">
        <f t="shared" si="8"/>
        <v>11184.969000000001</v>
      </c>
      <c r="K90" s="223"/>
      <c r="M90" s="223">
        <f t="shared" si="6"/>
        <v>1000</v>
      </c>
      <c r="O90" s="9" t="str">
        <f t="shared" si="9"/>
        <v>NWHZ3CZ1_1568n_</v>
      </c>
    </row>
    <row r="91" spans="1:15">
      <c r="A91" s="220" t="s">
        <v>227</v>
      </c>
      <c r="B91" s="9" t="s">
        <v>882</v>
      </c>
      <c r="C91" s="9" t="s">
        <v>800</v>
      </c>
      <c r="D91" s="39">
        <f>analysis!H165</f>
        <v>1227.2811095910693</v>
      </c>
      <c r="E91" s="39">
        <f>analysis!I165</f>
        <v>193.88889471428581</v>
      </c>
      <c r="F91" s="39">
        <f>analysis!J165</f>
        <v>2233.90935825</v>
      </c>
      <c r="G91" s="39">
        <f t="shared" si="7"/>
        <v>3655.0793625553551</v>
      </c>
      <c r="H91" s="39">
        <f>AdjustedOutput!V91*$H$1</f>
        <v>39.719566500320333</v>
      </c>
      <c r="I91" s="221"/>
      <c r="J91" s="222">
        <f t="shared" si="8"/>
        <v>11184.969000000001</v>
      </c>
      <c r="K91" s="223"/>
      <c r="M91" s="223">
        <f t="shared" si="6"/>
        <v>1000</v>
      </c>
      <c r="O91" s="9" t="str">
        <f t="shared" si="9"/>
        <v>NWHZ3CZ1_1568n_</v>
      </c>
    </row>
    <row r="92" spans="1:15">
      <c r="A92" s="220" t="s">
        <v>227</v>
      </c>
      <c r="B92" s="9" t="s">
        <v>883</v>
      </c>
      <c r="C92" s="9" t="s">
        <v>794</v>
      </c>
      <c r="D92" s="39">
        <f>analysis!H166</f>
        <v>1362.2071427538667</v>
      </c>
      <c r="E92" s="39">
        <f>analysis!I166</f>
        <v>27.072493535714273</v>
      </c>
      <c r="F92" s="39">
        <f>analysis!J166</f>
        <v>2478.0619710000001</v>
      </c>
      <c r="G92" s="39">
        <f t="shared" si="7"/>
        <v>3867.3416072895811</v>
      </c>
      <c r="H92" s="39">
        <f>AdjustedOutput!V92*$H$1</f>
        <v>43.966528721185469</v>
      </c>
      <c r="I92" s="221"/>
      <c r="J92" s="222">
        <f t="shared" si="8"/>
        <v>11363.764500000001</v>
      </c>
      <c r="K92" s="223"/>
      <c r="M92" s="223">
        <f t="shared" si="6"/>
        <v>1000</v>
      </c>
      <c r="O92" s="9" t="str">
        <f t="shared" si="9"/>
        <v>WxHZ3CZ1_1568e_</v>
      </c>
    </row>
    <row r="93" spans="1:15">
      <c r="A93" s="220" t="s">
        <v>227</v>
      </c>
      <c r="B93" s="9" t="s">
        <v>884</v>
      </c>
      <c r="C93" s="9" t="s">
        <v>797</v>
      </c>
      <c r="D93" s="39">
        <f>analysis!H167</f>
        <v>1362.2071427538667</v>
      </c>
      <c r="E93" s="39">
        <f>analysis!I167</f>
        <v>90.965009892857211</v>
      </c>
      <c r="F93" s="39">
        <f>analysis!J167</f>
        <v>2478.0619710000001</v>
      </c>
      <c r="G93" s="39">
        <f t="shared" si="7"/>
        <v>3931.2341236467241</v>
      </c>
      <c r="H93" s="39">
        <f>AdjustedOutput!V93*$H$1</f>
        <v>43.966528721185469</v>
      </c>
      <c r="I93" s="221"/>
      <c r="J93" s="222">
        <f t="shared" si="8"/>
        <v>11363.764500000001</v>
      </c>
      <c r="K93" s="223"/>
      <c r="M93" s="223">
        <f t="shared" si="6"/>
        <v>1000</v>
      </c>
      <c r="O93" s="9" t="str">
        <f t="shared" si="9"/>
        <v>WxHZ3CZ1_1568e_</v>
      </c>
    </row>
    <row r="94" spans="1:15">
      <c r="A94" s="220" t="s">
        <v>227</v>
      </c>
      <c r="B94" s="9" t="s">
        <v>885</v>
      </c>
      <c r="C94" s="9" t="s">
        <v>800</v>
      </c>
      <c r="D94" s="39">
        <f>analysis!H168</f>
        <v>1362.2071427538667</v>
      </c>
      <c r="E94" s="39">
        <f>analysis!I168</f>
        <v>198.05352253571425</v>
      </c>
      <c r="F94" s="39">
        <f>analysis!J168</f>
        <v>2478.0619710000001</v>
      </c>
      <c r="G94" s="39">
        <f t="shared" si="7"/>
        <v>4038.3226362895812</v>
      </c>
      <c r="H94" s="39">
        <f>AdjustedOutput!V94*$H$1</f>
        <v>43.966528721185469</v>
      </c>
      <c r="I94" s="221"/>
      <c r="J94" s="222">
        <f t="shared" si="8"/>
        <v>11363.764500000001</v>
      </c>
      <c r="K94" s="223"/>
      <c r="M94" s="223">
        <f t="shared" si="6"/>
        <v>1000</v>
      </c>
      <c r="O94" s="9" t="str">
        <f t="shared" si="9"/>
        <v>WxHZ3CZ1_1568e_</v>
      </c>
    </row>
    <row r="95" spans="1:15">
      <c r="A95" s="220" t="s">
        <v>227</v>
      </c>
      <c r="B95" s="9" t="s">
        <v>886</v>
      </c>
      <c r="C95" s="9" t="s">
        <v>764</v>
      </c>
      <c r="D95" s="39">
        <f>analysis!H169</f>
        <v>465.64725735640832</v>
      </c>
      <c r="E95" s="39">
        <f>analysis!I169</f>
        <v>45.513779214285705</v>
      </c>
      <c r="F95" s="39">
        <f>analysis!J169</f>
        <v>1445.959077</v>
      </c>
      <c r="G95" s="39">
        <f t="shared" si="7"/>
        <v>1957.120113570694</v>
      </c>
      <c r="H95" s="39">
        <f>AdjustedOutput!V95*$H$1</f>
        <v>52.383313245393389</v>
      </c>
      <c r="I95" s="221"/>
      <c r="J95" s="222">
        <f t="shared" si="8"/>
        <v>4348.0955000000013</v>
      </c>
      <c r="K95" s="223"/>
      <c r="M95" s="223">
        <f t="shared" si="6"/>
        <v>1000</v>
      </c>
      <c r="O95" s="9" t="str">
        <f t="shared" si="9"/>
        <v>NWHZ1CZ1_2200n_</v>
      </c>
    </row>
    <row r="96" spans="1:15">
      <c r="A96" s="220" t="s">
        <v>227</v>
      </c>
      <c r="B96" s="9" t="s">
        <v>887</v>
      </c>
      <c r="C96" s="9" t="s">
        <v>767</v>
      </c>
      <c r="D96" s="39">
        <f>analysis!H170</f>
        <v>465.64725735640832</v>
      </c>
      <c r="E96" s="39">
        <f>analysis!I170</f>
        <v>135.86943099999996</v>
      </c>
      <c r="F96" s="39">
        <f>analysis!J170</f>
        <v>1445.959077</v>
      </c>
      <c r="G96" s="39">
        <f t="shared" si="7"/>
        <v>2047.4757653564084</v>
      </c>
      <c r="H96" s="39">
        <f>AdjustedOutput!V96*$H$1</f>
        <v>52.383313245393389</v>
      </c>
      <c r="I96" s="221"/>
      <c r="J96" s="222">
        <f t="shared" si="8"/>
        <v>4348.0955000000013</v>
      </c>
      <c r="K96" s="223"/>
      <c r="M96" s="223">
        <f t="shared" si="6"/>
        <v>1000</v>
      </c>
      <c r="O96" s="9" t="str">
        <f t="shared" si="9"/>
        <v>NWHZ1CZ1_2200n_</v>
      </c>
    </row>
    <row r="97" spans="1:15">
      <c r="A97" s="220" t="s">
        <v>227</v>
      </c>
      <c r="B97" s="9" t="s">
        <v>888</v>
      </c>
      <c r="C97" s="9" t="s">
        <v>770</v>
      </c>
      <c r="D97" s="39">
        <f>analysis!H171</f>
        <v>465.64725735640832</v>
      </c>
      <c r="E97" s="39">
        <f>analysis!I171</f>
        <v>281.64384435714283</v>
      </c>
      <c r="F97" s="39">
        <f>analysis!J171</f>
        <v>1445.959077</v>
      </c>
      <c r="G97" s="39">
        <f t="shared" si="7"/>
        <v>2193.2501787135511</v>
      </c>
      <c r="H97" s="39">
        <f>AdjustedOutput!V97*$H$1</f>
        <v>52.383313245393389</v>
      </c>
      <c r="I97" s="221"/>
      <c r="J97" s="222">
        <f t="shared" si="8"/>
        <v>4348.0955000000013</v>
      </c>
      <c r="K97" s="223"/>
      <c r="M97" s="223">
        <f t="shared" si="6"/>
        <v>1000</v>
      </c>
      <c r="O97" s="9" t="str">
        <f t="shared" si="9"/>
        <v>NWHZ1CZ1_2200n_</v>
      </c>
    </row>
    <row r="98" spans="1:15">
      <c r="A98" s="220" t="s">
        <v>227</v>
      </c>
      <c r="B98" s="9" t="s">
        <v>889</v>
      </c>
      <c r="C98" s="9" t="s">
        <v>764</v>
      </c>
      <c r="D98" s="39">
        <f>analysis!H172</f>
        <v>616.4406660378836</v>
      </c>
      <c r="E98" s="39">
        <f>analysis!I172</f>
        <v>48.024009714285683</v>
      </c>
      <c r="F98" s="39">
        <f>analysis!J172</f>
        <v>1432.30910475</v>
      </c>
      <c r="G98" s="39">
        <f t="shared" si="7"/>
        <v>2096.7737805021693</v>
      </c>
      <c r="H98" s="39">
        <f>AdjustedOutput!V98*$H$1</f>
        <v>61.126183474101339</v>
      </c>
      <c r="I98" s="221"/>
      <c r="J98" s="222">
        <f t="shared" si="8"/>
        <v>5099.348</v>
      </c>
      <c r="K98" s="223"/>
      <c r="M98" s="223">
        <f t="shared" si="6"/>
        <v>1000</v>
      </c>
      <c r="O98" s="9" t="str">
        <f t="shared" si="9"/>
        <v>WxHZ1CZ1_2200e_</v>
      </c>
    </row>
    <row r="99" spans="1:15">
      <c r="A99" s="220" t="s">
        <v>227</v>
      </c>
      <c r="B99" s="9" t="s">
        <v>890</v>
      </c>
      <c r="C99" s="9" t="s">
        <v>767</v>
      </c>
      <c r="D99" s="39">
        <f>analysis!H173</f>
        <v>616.4406660378836</v>
      </c>
      <c r="E99" s="39">
        <f>analysis!I173</f>
        <v>146.00140500000009</v>
      </c>
      <c r="F99" s="39">
        <f>analysis!J173</f>
        <v>1432.30910475</v>
      </c>
      <c r="G99" s="39">
        <f t="shared" si="7"/>
        <v>2194.7511757878838</v>
      </c>
      <c r="H99" s="39">
        <f>AdjustedOutput!V99*$H$1</f>
        <v>61.126183474101339</v>
      </c>
      <c r="I99" s="221"/>
      <c r="J99" s="222">
        <f t="shared" si="8"/>
        <v>5099.348</v>
      </c>
      <c r="K99" s="223"/>
      <c r="M99" s="223">
        <f t="shared" si="6"/>
        <v>1000</v>
      </c>
      <c r="O99" s="9" t="str">
        <f t="shared" si="9"/>
        <v>WxHZ1CZ1_2200e_</v>
      </c>
    </row>
    <row r="100" spans="1:15">
      <c r="A100" s="220" t="s">
        <v>227</v>
      </c>
      <c r="B100" s="9" t="s">
        <v>891</v>
      </c>
      <c r="C100" s="9" t="s">
        <v>770</v>
      </c>
      <c r="D100" s="39">
        <f>analysis!H174</f>
        <v>616.4406660378836</v>
      </c>
      <c r="E100" s="39">
        <f>analysis!I174</f>
        <v>306.62740882142862</v>
      </c>
      <c r="F100" s="39">
        <f>analysis!J174</f>
        <v>1432.30910475</v>
      </c>
      <c r="G100" s="39">
        <f t="shared" si="7"/>
        <v>2355.3771796093124</v>
      </c>
      <c r="H100" s="39">
        <f>AdjustedOutput!V100*$H$1</f>
        <v>61.126183474101339</v>
      </c>
      <c r="I100" s="221"/>
      <c r="J100" s="222">
        <f t="shared" si="8"/>
        <v>5099.348</v>
      </c>
      <c r="K100" s="223"/>
      <c r="M100" s="223">
        <f t="shared" si="6"/>
        <v>1000</v>
      </c>
      <c r="O100" s="9" t="str">
        <f t="shared" si="9"/>
        <v>WxHZ1CZ1_2200e_</v>
      </c>
    </row>
    <row r="101" spans="1:15">
      <c r="A101" s="220" t="s">
        <v>227</v>
      </c>
      <c r="B101" s="9" t="s">
        <v>892</v>
      </c>
      <c r="C101" s="9" t="s">
        <v>779</v>
      </c>
      <c r="D101" s="39">
        <f>analysis!H175</f>
        <v>1439.020025230504</v>
      </c>
      <c r="E101" s="39">
        <f>analysis!I175</f>
        <v>45.513779214285705</v>
      </c>
      <c r="F101" s="39">
        <f>analysis!J175</f>
        <v>2006.3340615000002</v>
      </c>
      <c r="G101" s="39">
        <f t="shared" si="7"/>
        <v>3490.8678659447896</v>
      </c>
      <c r="H101" s="39">
        <f>AdjustedOutput!V101*$H$1</f>
        <v>53.534693044274555</v>
      </c>
      <c r="I101" s="221"/>
      <c r="J101" s="222">
        <f t="shared" si="8"/>
        <v>8578.4645000000019</v>
      </c>
      <c r="K101" s="223"/>
      <c r="M101" s="223">
        <f t="shared" ref="M101:M132" si="10">IF(RIGHT(B101,1)="0",0,1000)</f>
        <v>1000</v>
      </c>
      <c r="O101" s="9" t="str">
        <f t="shared" si="9"/>
        <v>NWHZ2CZ1_2200n_</v>
      </c>
    </row>
    <row r="102" spans="1:15">
      <c r="A102" s="220" t="s">
        <v>227</v>
      </c>
      <c r="B102" s="9" t="s">
        <v>893</v>
      </c>
      <c r="C102" s="9" t="s">
        <v>782</v>
      </c>
      <c r="D102" s="39">
        <f>analysis!H176</f>
        <v>1439.020025230504</v>
      </c>
      <c r="E102" s="39">
        <f>analysis!I176</f>
        <v>135.86943099999996</v>
      </c>
      <c r="F102" s="39">
        <f>analysis!J176</f>
        <v>2006.3340615000002</v>
      </c>
      <c r="G102" s="39">
        <f t="shared" si="7"/>
        <v>3581.2235177305042</v>
      </c>
      <c r="H102" s="39">
        <f>AdjustedOutput!V102*$H$1</f>
        <v>53.534693044274555</v>
      </c>
      <c r="I102" s="221"/>
      <c r="J102" s="222">
        <f t="shared" si="8"/>
        <v>8578.4645000000019</v>
      </c>
      <c r="K102" s="223"/>
      <c r="M102" s="223">
        <f t="shared" si="10"/>
        <v>1000</v>
      </c>
      <c r="O102" s="9" t="str">
        <f t="shared" si="9"/>
        <v>NWHZ2CZ1_2200n_</v>
      </c>
    </row>
    <row r="103" spans="1:15">
      <c r="A103" s="220" t="s">
        <v>227</v>
      </c>
      <c r="B103" s="9" t="s">
        <v>894</v>
      </c>
      <c r="C103" s="9" t="s">
        <v>785</v>
      </c>
      <c r="D103" s="39">
        <f>analysis!H177</f>
        <v>1439.020025230504</v>
      </c>
      <c r="E103" s="39">
        <f>analysis!I177</f>
        <v>281.64384435714283</v>
      </c>
      <c r="F103" s="39">
        <f>analysis!J177</f>
        <v>2006.3340615000002</v>
      </c>
      <c r="G103" s="39">
        <f t="shared" si="7"/>
        <v>3726.997931087647</v>
      </c>
      <c r="H103" s="39">
        <f>AdjustedOutput!V103*$H$1</f>
        <v>53.534693044274555</v>
      </c>
      <c r="I103" s="221"/>
      <c r="J103" s="222">
        <f t="shared" si="8"/>
        <v>8578.4645000000019</v>
      </c>
      <c r="K103" s="223"/>
      <c r="M103" s="223">
        <f t="shared" si="10"/>
        <v>1000</v>
      </c>
      <c r="O103" s="9" t="str">
        <f t="shared" si="9"/>
        <v>NWHZ2CZ1_2200n_</v>
      </c>
    </row>
    <row r="104" spans="1:15">
      <c r="A104" s="220" t="s">
        <v>227</v>
      </c>
      <c r="B104" s="9" t="s">
        <v>895</v>
      </c>
      <c r="C104" s="9" t="s">
        <v>779</v>
      </c>
      <c r="D104" s="39">
        <f>analysis!H178</f>
        <v>1778.4299797791846</v>
      </c>
      <c r="E104" s="39">
        <f>analysis!I178</f>
        <v>48.024009714285683</v>
      </c>
      <c r="F104" s="39">
        <f>analysis!J178</f>
        <v>1982.1367694999999</v>
      </c>
      <c r="G104" s="39">
        <f t="shared" si="7"/>
        <v>3808.5907589934704</v>
      </c>
      <c r="H104" s="39">
        <f>AdjustedOutput!V104*$H$1</f>
        <v>60.384493238988185</v>
      </c>
      <c r="I104" s="221"/>
      <c r="J104" s="222">
        <f t="shared" si="8"/>
        <v>10276.546</v>
      </c>
      <c r="K104" s="223"/>
      <c r="M104" s="223">
        <f t="shared" si="10"/>
        <v>1000</v>
      </c>
      <c r="O104" s="9" t="str">
        <f t="shared" si="9"/>
        <v>WxHZ2CZ1_2200e_</v>
      </c>
    </row>
    <row r="105" spans="1:15">
      <c r="A105" s="220" t="s">
        <v>227</v>
      </c>
      <c r="B105" s="9" t="s">
        <v>896</v>
      </c>
      <c r="C105" s="9" t="s">
        <v>782</v>
      </c>
      <c r="D105" s="39">
        <f>analysis!H179</f>
        <v>1778.4299797791846</v>
      </c>
      <c r="E105" s="39">
        <f>analysis!I179</f>
        <v>146.00140500000009</v>
      </c>
      <c r="F105" s="39">
        <f>analysis!J179</f>
        <v>1982.1367694999999</v>
      </c>
      <c r="G105" s="39">
        <f t="shared" si="7"/>
        <v>3906.5681542791845</v>
      </c>
      <c r="H105" s="39">
        <f>AdjustedOutput!V105*$H$1</f>
        <v>60.384493238988185</v>
      </c>
      <c r="I105" s="221"/>
      <c r="J105" s="222">
        <f t="shared" si="8"/>
        <v>10276.546</v>
      </c>
      <c r="K105" s="223"/>
      <c r="M105" s="223">
        <f t="shared" si="10"/>
        <v>1000</v>
      </c>
      <c r="O105" s="9" t="str">
        <f t="shared" si="9"/>
        <v>WxHZ2CZ1_2200e_</v>
      </c>
    </row>
    <row r="106" spans="1:15">
      <c r="A106" s="220" t="s">
        <v>227</v>
      </c>
      <c r="B106" s="9" t="s">
        <v>897</v>
      </c>
      <c r="C106" s="9" t="s">
        <v>785</v>
      </c>
      <c r="D106" s="39">
        <f>analysis!H180</f>
        <v>1778.4299797791846</v>
      </c>
      <c r="E106" s="39">
        <f>analysis!I180</f>
        <v>306.62740882142862</v>
      </c>
      <c r="F106" s="39">
        <f>analysis!J180</f>
        <v>1982.1367694999999</v>
      </c>
      <c r="G106" s="39">
        <f t="shared" si="7"/>
        <v>4067.1941581006131</v>
      </c>
      <c r="H106" s="39">
        <f>AdjustedOutput!V106*$H$1</f>
        <v>60.384493238988185</v>
      </c>
      <c r="I106" s="221"/>
      <c r="J106" s="222">
        <f t="shared" si="8"/>
        <v>10276.546</v>
      </c>
      <c r="K106" s="223"/>
      <c r="M106" s="223">
        <f t="shared" si="10"/>
        <v>1000</v>
      </c>
      <c r="O106" s="9" t="str">
        <f t="shared" si="9"/>
        <v>WxHZ2CZ1_2200e_</v>
      </c>
    </row>
    <row r="107" spans="1:15">
      <c r="A107" s="220" t="s">
        <v>227</v>
      </c>
      <c r="B107" s="9" t="s">
        <v>898</v>
      </c>
      <c r="C107" s="9" t="s">
        <v>794</v>
      </c>
      <c r="D107" s="39">
        <f>analysis!H181</f>
        <v>2182.8319153537486</v>
      </c>
      <c r="E107" s="39">
        <f>analysis!I181</f>
        <v>45.513779214285705</v>
      </c>
      <c r="F107" s="39">
        <f>analysis!J181</f>
        <v>2288.7517177499999</v>
      </c>
      <c r="G107" s="39">
        <f t="shared" si="7"/>
        <v>4517.0974123180349</v>
      </c>
      <c r="H107" s="39">
        <f>AdjustedOutput!V107*$H$1</f>
        <v>58.280004003748047</v>
      </c>
      <c r="I107" s="221"/>
      <c r="J107" s="222">
        <f t="shared" si="8"/>
        <v>13902.972</v>
      </c>
      <c r="K107" s="223"/>
      <c r="M107" s="223">
        <f t="shared" si="10"/>
        <v>1000</v>
      </c>
      <c r="O107" s="9" t="str">
        <f t="shared" si="9"/>
        <v>NWHZ3CZ1_2200n_</v>
      </c>
    </row>
    <row r="108" spans="1:15">
      <c r="A108" s="220" t="s">
        <v>227</v>
      </c>
      <c r="B108" s="9" t="s">
        <v>899</v>
      </c>
      <c r="C108" s="9" t="s">
        <v>797</v>
      </c>
      <c r="D108" s="39">
        <f>analysis!H182</f>
        <v>2182.8319153537486</v>
      </c>
      <c r="E108" s="39">
        <f>analysis!I182</f>
        <v>135.86943099999996</v>
      </c>
      <c r="F108" s="39">
        <f>analysis!J182</f>
        <v>2288.7517177499999</v>
      </c>
      <c r="G108" s="39">
        <f t="shared" si="7"/>
        <v>4607.4530641037491</v>
      </c>
      <c r="H108" s="39">
        <f>AdjustedOutput!V108*$H$1</f>
        <v>58.280004003748047</v>
      </c>
      <c r="I108" s="221"/>
      <c r="J108" s="222">
        <f t="shared" si="8"/>
        <v>13902.972</v>
      </c>
      <c r="K108" s="223"/>
      <c r="M108" s="223">
        <f t="shared" si="10"/>
        <v>1000</v>
      </c>
      <c r="O108" s="9" t="str">
        <f t="shared" si="9"/>
        <v>NWHZ3CZ1_2200n_</v>
      </c>
    </row>
    <row r="109" spans="1:15">
      <c r="A109" s="220" t="s">
        <v>227</v>
      </c>
      <c r="B109" s="9" t="s">
        <v>900</v>
      </c>
      <c r="C109" s="9" t="s">
        <v>800</v>
      </c>
      <c r="D109" s="39">
        <f>analysis!H183</f>
        <v>2182.8319153537486</v>
      </c>
      <c r="E109" s="39">
        <f>analysis!I183</f>
        <v>281.64384435714283</v>
      </c>
      <c r="F109" s="39">
        <f>analysis!J183</f>
        <v>2288.7517177499999</v>
      </c>
      <c r="G109" s="39">
        <f t="shared" si="7"/>
        <v>4753.2274774608914</v>
      </c>
      <c r="H109" s="39">
        <f>AdjustedOutput!V109*$H$1</f>
        <v>58.280004003748047</v>
      </c>
      <c r="I109" s="221"/>
      <c r="J109" s="222">
        <f t="shared" si="8"/>
        <v>13902.972</v>
      </c>
      <c r="K109" s="223"/>
      <c r="M109" s="223">
        <f t="shared" si="10"/>
        <v>1000</v>
      </c>
      <c r="O109" s="9" t="str">
        <f t="shared" si="9"/>
        <v>NWHZ3CZ1_2200n_</v>
      </c>
    </row>
    <row r="110" spans="1:15">
      <c r="A110" s="220" t="s">
        <v>227</v>
      </c>
      <c r="B110" s="9" t="s">
        <v>901</v>
      </c>
      <c r="C110" s="9" t="s">
        <v>794</v>
      </c>
      <c r="D110" s="39">
        <f>analysis!H184</f>
        <v>2658.739762995092</v>
      </c>
      <c r="E110" s="39">
        <f>analysis!I184</f>
        <v>48.024009714285683</v>
      </c>
      <c r="F110" s="39">
        <f>analysis!J184</f>
        <v>2274.9661147500001</v>
      </c>
      <c r="G110" s="39">
        <f t="shared" si="7"/>
        <v>4981.729887459378</v>
      </c>
      <c r="H110" s="39">
        <f>AdjustedOutput!V110*$H$1</f>
        <v>64.878376709091427</v>
      </c>
      <c r="I110" s="221"/>
      <c r="J110" s="222">
        <f t="shared" si="8"/>
        <v>16904.349000000002</v>
      </c>
      <c r="K110" s="223"/>
      <c r="M110" s="223">
        <f t="shared" si="10"/>
        <v>1000</v>
      </c>
      <c r="O110" s="9" t="str">
        <f t="shared" si="9"/>
        <v>WxHZ3CZ1_2200e_</v>
      </c>
    </row>
    <row r="111" spans="1:15">
      <c r="A111" s="220" t="s">
        <v>227</v>
      </c>
      <c r="B111" s="9" t="s">
        <v>902</v>
      </c>
      <c r="C111" s="9" t="s">
        <v>797</v>
      </c>
      <c r="D111" s="39">
        <f>analysis!H185</f>
        <v>2658.739762995092</v>
      </c>
      <c r="E111" s="39">
        <f>analysis!I185</f>
        <v>146.00140500000009</v>
      </c>
      <c r="F111" s="39">
        <f>analysis!J185</f>
        <v>2274.9661147500001</v>
      </c>
      <c r="G111" s="39">
        <f t="shared" si="7"/>
        <v>5079.707282745092</v>
      </c>
      <c r="H111" s="39">
        <f>AdjustedOutput!V111*$H$1</f>
        <v>64.878376709091427</v>
      </c>
      <c r="I111" s="221"/>
      <c r="J111" s="222">
        <f t="shared" si="8"/>
        <v>16904.349000000002</v>
      </c>
      <c r="K111" s="223"/>
      <c r="M111" s="223">
        <f t="shared" si="10"/>
        <v>1000</v>
      </c>
      <c r="O111" s="9" t="str">
        <f t="shared" si="9"/>
        <v>WxHZ3CZ1_2200e_</v>
      </c>
    </row>
    <row r="112" spans="1:15">
      <c r="A112" s="220" t="s">
        <v>227</v>
      </c>
      <c r="B112" s="9" t="s">
        <v>903</v>
      </c>
      <c r="C112" s="9" t="s">
        <v>800</v>
      </c>
      <c r="D112" s="39">
        <f>analysis!H186</f>
        <v>2658.739762995092</v>
      </c>
      <c r="E112" s="39">
        <f>analysis!I186</f>
        <v>306.62740882142862</v>
      </c>
      <c r="F112" s="39">
        <f>analysis!J186</f>
        <v>2274.9661147500001</v>
      </c>
      <c r="G112" s="39">
        <f t="shared" si="7"/>
        <v>5240.3332865665207</v>
      </c>
      <c r="H112" s="39">
        <f>AdjustedOutput!V112*$H$1</f>
        <v>64.878376709091427</v>
      </c>
      <c r="I112" s="221"/>
      <c r="J112" s="222">
        <f t="shared" si="8"/>
        <v>16904.349000000002</v>
      </c>
      <c r="K112" s="223"/>
      <c r="M112" s="223">
        <f t="shared" si="10"/>
        <v>1000</v>
      </c>
      <c r="O112" s="9" t="str">
        <f t="shared" si="9"/>
        <v>WxHZ3CZ1_2200e_</v>
      </c>
    </row>
    <row r="113" spans="1:15">
      <c r="A113" s="220" t="s">
        <v>227</v>
      </c>
      <c r="B113" s="9" t="s">
        <v>904</v>
      </c>
      <c r="C113" s="9" t="s">
        <v>764</v>
      </c>
      <c r="D113" s="39">
        <f>analysis!H187</f>
        <v>275.57142943716053</v>
      </c>
      <c r="E113" s="39">
        <f>analysis!I187</f>
        <v>28.271226607142864</v>
      </c>
      <c r="F113" s="39">
        <f>analysis!J187</f>
        <v>1252.7593919999999</v>
      </c>
      <c r="G113" s="39">
        <f t="shared" si="7"/>
        <v>1556.6020480443033</v>
      </c>
      <c r="H113" s="39">
        <f>AdjustedOutput!V113*$H$1</f>
        <v>44.159747751762019</v>
      </c>
      <c r="I113" s="221"/>
      <c r="J113" s="222">
        <f t="shared" si="8"/>
        <v>4276.1275000000005</v>
      </c>
      <c r="K113" s="223"/>
      <c r="M113" s="223">
        <f t="shared" si="10"/>
        <v>1000</v>
      </c>
      <c r="O113" s="9" t="str">
        <f t="shared" si="9"/>
        <v>NWHZ1CZ1_2688n_</v>
      </c>
    </row>
    <row r="114" spans="1:15">
      <c r="A114" s="220" t="s">
        <v>227</v>
      </c>
      <c r="B114" s="9" t="s">
        <v>905</v>
      </c>
      <c r="C114" s="9" t="s">
        <v>767</v>
      </c>
      <c r="D114" s="39">
        <f>analysis!H188</f>
        <v>275.57142943716053</v>
      </c>
      <c r="E114" s="39">
        <f>analysis!I188</f>
        <v>93.923025642857056</v>
      </c>
      <c r="F114" s="39">
        <f>analysis!J188</f>
        <v>1252.7593919999999</v>
      </c>
      <c r="G114" s="39">
        <f t="shared" si="7"/>
        <v>1622.2538470800175</v>
      </c>
      <c r="H114" s="39">
        <f>AdjustedOutput!V114*$H$1</f>
        <v>44.159747751762019</v>
      </c>
      <c r="I114" s="221"/>
      <c r="J114" s="222">
        <f t="shared" si="8"/>
        <v>4276.1275000000005</v>
      </c>
      <c r="K114" s="223"/>
      <c r="M114" s="223">
        <f t="shared" si="10"/>
        <v>1000</v>
      </c>
      <c r="O114" s="9" t="str">
        <f t="shared" si="9"/>
        <v>NWHZ1CZ1_2688n_</v>
      </c>
    </row>
    <row r="115" spans="1:15">
      <c r="A115" s="220" t="s">
        <v>227</v>
      </c>
      <c r="B115" s="9" t="s">
        <v>906</v>
      </c>
      <c r="C115" s="9" t="s">
        <v>770</v>
      </c>
      <c r="D115" s="39">
        <f>analysis!H189</f>
        <v>275.57142943716053</v>
      </c>
      <c r="E115" s="39">
        <f>analysis!I189</f>
        <v>204.8935864642857</v>
      </c>
      <c r="F115" s="39">
        <f>analysis!J189</f>
        <v>1252.7593919999999</v>
      </c>
      <c r="G115" s="39">
        <f t="shared" si="7"/>
        <v>1733.2244079014463</v>
      </c>
      <c r="H115" s="39">
        <f>AdjustedOutput!V115*$H$1</f>
        <v>44.159747751762019</v>
      </c>
      <c r="I115" s="221"/>
      <c r="J115" s="222">
        <f t="shared" si="8"/>
        <v>4276.1275000000005</v>
      </c>
      <c r="K115" s="223"/>
      <c r="M115" s="223">
        <f t="shared" si="10"/>
        <v>1000</v>
      </c>
      <c r="O115" s="9" t="str">
        <f t="shared" si="9"/>
        <v>NWHZ1CZ1_2688n_</v>
      </c>
    </row>
    <row r="116" spans="1:15">
      <c r="A116" s="220" t="s">
        <v>227</v>
      </c>
      <c r="B116" s="9" t="s">
        <v>907</v>
      </c>
      <c r="C116" s="9" t="s">
        <v>764</v>
      </c>
      <c r="D116" s="39">
        <f>analysis!H190</f>
        <v>308.05790806569848</v>
      </c>
      <c r="E116" s="39">
        <f>analysis!I190</f>
        <v>29.88146364285717</v>
      </c>
      <c r="F116" s="39">
        <f>analysis!J190</f>
        <v>1380.16221</v>
      </c>
      <c r="G116" s="39">
        <f t="shared" si="7"/>
        <v>1718.1015817085556</v>
      </c>
      <c r="H116" s="39">
        <f>AdjustedOutput!V116*$H$1</f>
        <v>47.857294759911674</v>
      </c>
      <c r="I116" s="221"/>
      <c r="J116" s="222">
        <f t="shared" si="8"/>
        <v>4350.3444999999992</v>
      </c>
      <c r="K116" s="223"/>
      <c r="M116" s="223">
        <f t="shared" si="10"/>
        <v>1000</v>
      </c>
      <c r="O116" s="9" t="str">
        <f t="shared" si="9"/>
        <v>WxHZ1CZ1_2688e_</v>
      </c>
    </row>
    <row r="117" spans="1:15">
      <c r="A117" s="220" t="s">
        <v>227</v>
      </c>
      <c r="B117" s="9" t="s">
        <v>908</v>
      </c>
      <c r="C117" s="9" t="s">
        <v>767</v>
      </c>
      <c r="D117" s="39">
        <f>analysis!H191</f>
        <v>308.05790806569848</v>
      </c>
      <c r="E117" s="39">
        <f>analysis!I191</f>
        <v>98.762240321428635</v>
      </c>
      <c r="F117" s="39">
        <f>analysis!J191</f>
        <v>1380.16221</v>
      </c>
      <c r="G117" s="39">
        <f t="shared" si="7"/>
        <v>1786.9823583871271</v>
      </c>
      <c r="H117" s="39">
        <f>AdjustedOutput!V117*$H$1</f>
        <v>47.857294759911674</v>
      </c>
      <c r="I117" s="221"/>
      <c r="J117" s="222">
        <f t="shared" si="8"/>
        <v>4350.3444999999992</v>
      </c>
      <c r="K117" s="223"/>
      <c r="M117" s="223">
        <f t="shared" si="10"/>
        <v>1000</v>
      </c>
      <c r="O117" s="9" t="str">
        <f t="shared" si="9"/>
        <v>WxHZ1CZ1_2688e_</v>
      </c>
    </row>
    <row r="118" spans="1:15">
      <c r="A118" s="220" t="s">
        <v>227</v>
      </c>
      <c r="B118" s="9" t="s">
        <v>909</v>
      </c>
      <c r="C118" s="9" t="s">
        <v>770</v>
      </c>
      <c r="D118" s="39">
        <f>analysis!H192</f>
        <v>308.05790806569848</v>
      </c>
      <c r="E118" s="39">
        <f>analysis!I192</f>
        <v>215.96770821428572</v>
      </c>
      <c r="F118" s="39">
        <f>analysis!J192</f>
        <v>1380.16221</v>
      </c>
      <c r="G118" s="39">
        <f t="shared" si="7"/>
        <v>1904.1878262799842</v>
      </c>
      <c r="H118" s="39">
        <f>AdjustedOutput!V118*$H$1</f>
        <v>47.857294759911674</v>
      </c>
      <c r="I118" s="221"/>
      <c r="J118" s="222">
        <f t="shared" si="8"/>
        <v>4350.3444999999992</v>
      </c>
      <c r="K118" s="223"/>
      <c r="M118" s="223">
        <f t="shared" si="10"/>
        <v>1000</v>
      </c>
      <c r="O118" s="9" t="str">
        <f t="shared" si="9"/>
        <v>WxHZ1CZ1_2688e_</v>
      </c>
    </row>
    <row r="119" spans="1:15">
      <c r="A119" s="220" t="s">
        <v>227</v>
      </c>
      <c r="B119" s="9" t="s">
        <v>910</v>
      </c>
      <c r="C119" s="9" t="s">
        <v>779</v>
      </c>
      <c r="D119" s="39">
        <f>analysis!H193</f>
        <v>1008.8360612936358</v>
      </c>
      <c r="E119" s="39">
        <f>analysis!I193</f>
        <v>28.271226607142864</v>
      </c>
      <c r="F119" s="39">
        <f>analysis!J193</f>
        <v>1774.6605795</v>
      </c>
      <c r="G119" s="39">
        <f t="shared" si="7"/>
        <v>2811.7678674007784</v>
      </c>
      <c r="H119" s="39">
        <f>AdjustedOutput!V119*$H$1</f>
        <v>44.128863757682872</v>
      </c>
      <c r="I119" s="221"/>
      <c r="J119" s="222">
        <f t="shared" si="8"/>
        <v>8439.0265000000036</v>
      </c>
      <c r="K119" s="223"/>
      <c r="M119" s="223">
        <f t="shared" si="10"/>
        <v>1000</v>
      </c>
      <c r="O119" s="9" t="str">
        <f t="shared" si="9"/>
        <v>NWHZ2CZ1_2688n_</v>
      </c>
    </row>
    <row r="120" spans="1:15">
      <c r="A120" s="220" t="s">
        <v>227</v>
      </c>
      <c r="B120" s="9" t="s">
        <v>911</v>
      </c>
      <c r="C120" s="9" t="s">
        <v>782</v>
      </c>
      <c r="D120" s="39">
        <f>analysis!H194</f>
        <v>1008.8360612936358</v>
      </c>
      <c r="E120" s="39">
        <f>analysis!I194</f>
        <v>93.923025642857056</v>
      </c>
      <c r="F120" s="39">
        <f>analysis!J194</f>
        <v>1774.6605795</v>
      </c>
      <c r="G120" s="39">
        <f t="shared" si="7"/>
        <v>2877.4196664364927</v>
      </c>
      <c r="H120" s="39">
        <f>AdjustedOutput!V120*$H$1</f>
        <v>44.128863757682872</v>
      </c>
      <c r="I120" s="221"/>
      <c r="J120" s="222">
        <f t="shared" si="8"/>
        <v>8439.0265000000036</v>
      </c>
      <c r="K120" s="223"/>
      <c r="M120" s="223">
        <f t="shared" si="10"/>
        <v>1000</v>
      </c>
      <c r="O120" s="9" t="str">
        <f t="shared" si="9"/>
        <v>NWHZ2CZ1_2688n_</v>
      </c>
    </row>
    <row r="121" spans="1:15">
      <c r="A121" s="220" t="s">
        <v>227</v>
      </c>
      <c r="B121" s="9" t="s">
        <v>912</v>
      </c>
      <c r="C121" s="9" t="s">
        <v>785</v>
      </c>
      <c r="D121" s="39">
        <f>analysis!H195</f>
        <v>1008.8360612936358</v>
      </c>
      <c r="E121" s="39">
        <f>analysis!I195</f>
        <v>204.8935864642857</v>
      </c>
      <c r="F121" s="39">
        <f>analysis!J195</f>
        <v>1774.6605795</v>
      </c>
      <c r="G121" s="39">
        <f t="shared" si="7"/>
        <v>2988.3902272579217</v>
      </c>
      <c r="H121" s="39">
        <f>AdjustedOutput!V121*$H$1</f>
        <v>44.128863757682872</v>
      </c>
      <c r="I121" s="221"/>
      <c r="J121" s="222">
        <f t="shared" si="8"/>
        <v>8439.0265000000036</v>
      </c>
      <c r="K121" s="223"/>
      <c r="M121" s="223">
        <f t="shared" si="10"/>
        <v>1000</v>
      </c>
      <c r="O121" s="9" t="str">
        <f t="shared" si="9"/>
        <v>NWHZ2CZ1_2688n_</v>
      </c>
    </row>
    <row r="122" spans="1:15">
      <c r="A122" s="220" t="s">
        <v>227</v>
      </c>
      <c r="B122" s="9" t="s">
        <v>913</v>
      </c>
      <c r="C122" s="9" t="s">
        <v>779</v>
      </c>
      <c r="D122" s="39">
        <f>analysis!H196</f>
        <v>1107.1908453782962</v>
      </c>
      <c r="E122" s="39">
        <f>analysis!I196</f>
        <v>29.88146364285717</v>
      </c>
      <c r="F122" s="39">
        <f>analysis!J196</f>
        <v>1936.6684312500001</v>
      </c>
      <c r="G122" s="39">
        <f t="shared" si="7"/>
        <v>3073.7407402711533</v>
      </c>
      <c r="H122" s="39">
        <f>AdjustedOutput!V122*$H$1</f>
        <v>47.387408656575303</v>
      </c>
      <c r="I122" s="221"/>
      <c r="J122" s="222">
        <f t="shared" si="8"/>
        <v>8569.4685000000009</v>
      </c>
      <c r="K122" s="223"/>
      <c r="M122" s="223">
        <f t="shared" si="10"/>
        <v>1000</v>
      </c>
      <c r="O122" s="9" t="str">
        <f t="shared" si="9"/>
        <v>WxHZ2CZ1_2688e_</v>
      </c>
    </row>
    <row r="123" spans="1:15">
      <c r="A123" s="220" t="s">
        <v>227</v>
      </c>
      <c r="B123" s="9" t="s">
        <v>914</v>
      </c>
      <c r="C123" s="9" t="s">
        <v>782</v>
      </c>
      <c r="D123" s="39">
        <f>analysis!H197</f>
        <v>1107.1908453782962</v>
      </c>
      <c r="E123" s="39">
        <f>analysis!I197</f>
        <v>98.762240321428635</v>
      </c>
      <c r="F123" s="39">
        <f>analysis!J197</f>
        <v>1936.6684312500001</v>
      </c>
      <c r="G123" s="39">
        <f t="shared" si="7"/>
        <v>3142.621516949725</v>
      </c>
      <c r="H123" s="39">
        <f>AdjustedOutput!V123*$H$1</f>
        <v>47.387408656575303</v>
      </c>
      <c r="I123" s="221"/>
      <c r="J123" s="222">
        <f t="shared" si="8"/>
        <v>8569.4685000000009</v>
      </c>
      <c r="K123" s="223"/>
      <c r="M123" s="223">
        <f t="shared" si="10"/>
        <v>1000</v>
      </c>
      <c r="O123" s="9" t="str">
        <f t="shared" si="9"/>
        <v>WxHZ2CZ1_2688e_</v>
      </c>
    </row>
    <row r="124" spans="1:15">
      <c r="A124" s="220" t="s">
        <v>227</v>
      </c>
      <c r="B124" s="9" t="s">
        <v>915</v>
      </c>
      <c r="C124" s="9" t="s">
        <v>785</v>
      </c>
      <c r="D124" s="39">
        <f>analysis!H198</f>
        <v>1107.1908453782962</v>
      </c>
      <c r="E124" s="39">
        <f>analysis!I198</f>
        <v>215.96770821428572</v>
      </c>
      <c r="F124" s="39">
        <f>analysis!J198</f>
        <v>1936.6684312500001</v>
      </c>
      <c r="G124" s="39">
        <f t="shared" si="7"/>
        <v>3259.8269848425821</v>
      </c>
      <c r="H124" s="39">
        <f>AdjustedOutput!V124*$H$1</f>
        <v>47.387408656575303</v>
      </c>
      <c r="I124" s="221"/>
      <c r="J124" s="222">
        <f t="shared" si="8"/>
        <v>8569.4685000000009</v>
      </c>
      <c r="K124" s="223"/>
      <c r="M124" s="223">
        <f t="shared" si="10"/>
        <v>1000</v>
      </c>
      <c r="O124" s="9" t="str">
        <f t="shared" si="9"/>
        <v>WxHZ2CZ1_2688e_</v>
      </c>
    </row>
    <row r="125" spans="1:15">
      <c r="A125" s="220" t="s">
        <v>227</v>
      </c>
      <c r="B125" s="9" t="s">
        <v>916</v>
      </c>
      <c r="C125" s="9" t="s">
        <v>794</v>
      </c>
      <c r="D125" s="39">
        <f>analysis!H199</f>
        <v>1621.6116962802525</v>
      </c>
      <c r="E125" s="39">
        <f>analysis!I199</f>
        <v>28.271226607142864</v>
      </c>
      <c r="F125" s="39">
        <f>analysis!J199</f>
        <v>2073.9966795</v>
      </c>
      <c r="G125" s="39">
        <f t="shared" si="7"/>
        <v>3723.8796023873956</v>
      </c>
      <c r="H125" s="39">
        <f>AdjustedOutput!V125*$H$1</f>
        <v>47.71986375798901</v>
      </c>
      <c r="I125" s="221"/>
      <c r="J125" s="222">
        <f t="shared" si="8"/>
        <v>13619.598</v>
      </c>
      <c r="K125" s="223"/>
      <c r="M125" s="223">
        <f t="shared" si="10"/>
        <v>1000</v>
      </c>
      <c r="O125" s="9" t="str">
        <f t="shared" si="9"/>
        <v>NWHZ3CZ1_2688n_</v>
      </c>
    </row>
    <row r="126" spans="1:15">
      <c r="A126" s="220" t="s">
        <v>227</v>
      </c>
      <c r="B126" s="9" t="s">
        <v>917</v>
      </c>
      <c r="C126" s="9" t="s">
        <v>797</v>
      </c>
      <c r="D126" s="39">
        <f>analysis!H200</f>
        <v>1621.6116962802525</v>
      </c>
      <c r="E126" s="39">
        <f>analysis!I200</f>
        <v>93.923025642857056</v>
      </c>
      <c r="F126" s="39">
        <f>analysis!J200</f>
        <v>2073.9966795</v>
      </c>
      <c r="G126" s="39">
        <f t="shared" si="7"/>
        <v>3789.5314014231099</v>
      </c>
      <c r="H126" s="39">
        <f>AdjustedOutput!V126*$H$1</f>
        <v>47.71986375798901</v>
      </c>
      <c r="I126" s="221"/>
      <c r="J126" s="222">
        <f t="shared" si="8"/>
        <v>13619.598</v>
      </c>
      <c r="K126" s="223"/>
      <c r="M126" s="223">
        <f t="shared" si="10"/>
        <v>1000</v>
      </c>
      <c r="O126" s="9" t="str">
        <f t="shared" si="9"/>
        <v>NWHZ3CZ1_2688n_</v>
      </c>
    </row>
    <row r="127" spans="1:15">
      <c r="A127" s="220" t="s">
        <v>227</v>
      </c>
      <c r="B127" s="9" t="s">
        <v>918</v>
      </c>
      <c r="C127" s="9" t="s">
        <v>800</v>
      </c>
      <c r="D127" s="39">
        <f>analysis!H201</f>
        <v>1621.6116962802525</v>
      </c>
      <c r="E127" s="39">
        <f>analysis!I201</f>
        <v>204.8935864642857</v>
      </c>
      <c r="F127" s="39">
        <f>analysis!J201</f>
        <v>2073.9966795</v>
      </c>
      <c r="G127" s="39">
        <f t="shared" si="7"/>
        <v>3900.5019622445384</v>
      </c>
      <c r="H127" s="39">
        <f>AdjustedOutput!V127*$H$1</f>
        <v>47.71986375798901</v>
      </c>
      <c r="I127" s="221"/>
      <c r="J127" s="222">
        <f t="shared" si="8"/>
        <v>13619.598</v>
      </c>
      <c r="K127" s="223"/>
      <c r="M127" s="223">
        <f t="shared" si="10"/>
        <v>1000</v>
      </c>
      <c r="O127" s="9" t="str">
        <f t="shared" si="9"/>
        <v>NWHZ3CZ1_2688n_</v>
      </c>
    </row>
    <row r="128" spans="1:15">
      <c r="A128" s="220" t="s">
        <v>227</v>
      </c>
      <c r="B128" s="9" t="s">
        <v>919</v>
      </c>
      <c r="C128" s="9" t="s">
        <v>794</v>
      </c>
      <c r="D128" s="39">
        <f>analysis!H202</f>
        <v>1771.4179921946388</v>
      </c>
      <c r="E128" s="39">
        <f>analysis!I202</f>
        <v>29.88146364285717</v>
      </c>
      <c r="F128" s="39">
        <f>analysis!J202</f>
        <v>2254.0880677499999</v>
      </c>
      <c r="G128" s="39">
        <f t="shared" si="7"/>
        <v>4055.3875235874957</v>
      </c>
      <c r="H128" s="39">
        <f>AdjustedOutput!V128*$H$1</f>
        <v>51.239291284045223</v>
      </c>
      <c r="I128" s="221"/>
      <c r="J128" s="222">
        <f t="shared" si="8"/>
        <v>13929.960000000001</v>
      </c>
      <c r="K128" s="223"/>
      <c r="M128" s="223">
        <f t="shared" si="10"/>
        <v>1000</v>
      </c>
      <c r="O128" s="9" t="str">
        <f t="shared" si="9"/>
        <v>WxHZ3CZ1_2688e_</v>
      </c>
    </row>
    <row r="129" spans="1:15">
      <c r="A129" s="220" t="s">
        <v>227</v>
      </c>
      <c r="B129" s="9" t="s">
        <v>920</v>
      </c>
      <c r="C129" s="9" t="s">
        <v>797</v>
      </c>
      <c r="D129" s="39">
        <f>analysis!H203</f>
        <v>1771.4179921946388</v>
      </c>
      <c r="E129" s="39">
        <f>analysis!I203</f>
        <v>98.762240321428635</v>
      </c>
      <c r="F129" s="39">
        <f>analysis!J203</f>
        <v>2254.0880677499999</v>
      </c>
      <c r="G129" s="39">
        <f t="shared" si="7"/>
        <v>4124.2683002660669</v>
      </c>
      <c r="H129" s="39">
        <f>AdjustedOutput!V129*$H$1</f>
        <v>51.239291284045223</v>
      </c>
      <c r="I129" s="221"/>
      <c r="J129" s="222">
        <f t="shared" si="8"/>
        <v>13929.960000000001</v>
      </c>
      <c r="K129" s="223"/>
      <c r="M129" s="223">
        <f t="shared" si="10"/>
        <v>1000</v>
      </c>
      <c r="O129" s="9" t="str">
        <f t="shared" si="9"/>
        <v>WxHZ3CZ1_2688e_</v>
      </c>
    </row>
    <row r="130" spans="1:15">
      <c r="A130" s="220" t="s">
        <v>227</v>
      </c>
      <c r="B130" s="9" t="s">
        <v>921</v>
      </c>
      <c r="C130" s="9" t="s">
        <v>800</v>
      </c>
      <c r="D130" s="39">
        <f>analysis!H204</f>
        <v>1771.4179921946388</v>
      </c>
      <c r="E130" s="39">
        <f>analysis!I204</f>
        <v>215.96770821428572</v>
      </c>
      <c r="F130" s="39">
        <f>analysis!J204</f>
        <v>2254.0880677499999</v>
      </c>
      <c r="G130" s="39">
        <f t="shared" si="7"/>
        <v>4241.4737681589249</v>
      </c>
      <c r="H130" s="39">
        <f>AdjustedOutput!V130*$H$1</f>
        <v>51.239291284045223</v>
      </c>
      <c r="I130" s="221"/>
      <c r="J130" s="222">
        <f t="shared" si="8"/>
        <v>13929.960000000001</v>
      </c>
      <c r="K130" s="223"/>
      <c r="M130" s="223">
        <f t="shared" si="10"/>
        <v>1000</v>
      </c>
      <c r="O130" s="9" t="str">
        <f t="shared" si="9"/>
        <v>WxHZ3CZ1_2688e_</v>
      </c>
    </row>
    <row r="131" spans="1:15">
      <c r="A131" s="220" t="s">
        <v>227</v>
      </c>
      <c r="B131" s="9" t="s">
        <v>922</v>
      </c>
      <c r="C131" s="9" t="s">
        <v>764</v>
      </c>
      <c r="D131" s="39">
        <f>analysis!H205</f>
        <v>1068.7551114280368</v>
      </c>
      <c r="E131" s="39">
        <f>analysis!I205</f>
        <v>58.760069142857105</v>
      </c>
      <c r="F131" s="39">
        <f>analysis!J205</f>
        <v>1671.5937367499998</v>
      </c>
      <c r="G131" s="39">
        <f t="shared" si="7"/>
        <v>2799.1089173208939</v>
      </c>
      <c r="H131" s="39">
        <f>AdjustedOutput!V131*$H$1</f>
        <v>87.708871445872504</v>
      </c>
      <c r="I131" s="221"/>
      <c r="J131" s="222">
        <f t="shared" si="8"/>
        <v>6009.2415000000001</v>
      </c>
      <c r="K131" s="223"/>
      <c r="M131" s="223">
        <f t="shared" si="10"/>
        <v>1000</v>
      </c>
      <c r="O131" s="9" t="str">
        <f t="shared" si="9"/>
        <v>NWHZ1CZ1_5000n_</v>
      </c>
    </row>
    <row r="132" spans="1:15">
      <c r="A132" s="220" t="s">
        <v>227</v>
      </c>
      <c r="B132" s="9" t="s">
        <v>923</v>
      </c>
      <c r="C132" s="9" t="s">
        <v>767</v>
      </c>
      <c r="D132" s="39">
        <f>analysis!H206</f>
        <v>1068.7551114280368</v>
      </c>
      <c r="E132" s="39">
        <f>analysis!I206</f>
        <v>172.8650609642857</v>
      </c>
      <c r="F132" s="39">
        <f>analysis!J206</f>
        <v>1671.5937367499998</v>
      </c>
      <c r="G132" s="39">
        <f t="shared" si="7"/>
        <v>2913.2139091423223</v>
      </c>
      <c r="H132" s="39">
        <f>AdjustedOutput!V132*$H$1</f>
        <v>87.708871445872504</v>
      </c>
      <c r="I132" s="221"/>
      <c r="J132" s="222">
        <f t="shared" si="8"/>
        <v>6009.2415000000001</v>
      </c>
      <c r="K132" s="223"/>
      <c r="M132" s="223">
        <f t="shared" si="10"/>
        <v>1000</v>
      </c>
      <c r="O132" s="9" t="str">
        <f t="shared" si="9"/>
        <v>NWHZ1CZ1_5000n_</v>
      </c>
    </row>
    <row r="133" spans="1:15">
      <c r="A133" s="220" t="s">
        <v>227</v>
      </c>
      <c r="B133" s="9" t="s">
        <v>924</v>
      </c>
      <c r="C133" s="9" t="s">
        <v>770</v>
      </c>
      <c r="D133" s="39">
        <f>analysis!H207</f>
        <v>1068.7551114280368</v>
      </c>
      <c r="E133" s="39">
        <f>analysis!I207</f>
        <v>361.69300614285726</v>
      </c>
      <c r="F133" s="39">
        <f>analysis!J207</f>
        <v>1671.5937367499998</v>
      </c>
      <c r="G133" s="39">
        <f t="shared" si="7"/>
        <v>3102.0418543208939</v>
      </c>
      <c r="H133" s="39">
        <f>AdjustedOutput!V133*$H$1</f>
        <v>87.708871445872504</v>
      </c>
      <c r="I133" s="221"/>
      <c r="J133" s="222">
        <f t="shared" si="8"/>
        <v>6009.2415000000001</v>
      </c>
      <c r="K133" s="223"/>
      <c r="M133" s="223">
        <f t="shared" ref="M133:M148" si="11">IF(RIGHT(B133,1)="0",0,1000)</f>
        <v>1000</v>
      </c>
      <c r="O133" s="9" t="str">
        <f t="shared" si="9"/>
        <v>NWHZ1CZ1_5000n_</v>
      </c>
    </row>
    <row r="134" spans="1:15">
      <c r="A134" s="220" t="s">
        <v>227</v>
      </c>
      <c r="B134" s="9" t="s">
        <v>925</v>
      </c>
      <c r="C134" s="9" t="s">
        <v>764</v>
      </c>
      <c r="D134" s="39">
        <f>analysis!H208</f>
        <v>1132.4234015861102</v>
      </c>
      <c r="E134" s="39">
        <f>analysis!I208</f>
        <v>61.380484749999994</v>
      </c>
      <c r="F134" s="39">
        <f>analysis!J208</f>
        <v>1616.9923642499998</v>
      </c>
      <c r="G134" s="39">
        <f t="shared" ref="G134:G148" si="12">SUM(D134:F134)</f>
        <v>2810.7962505861101</v>
      </c>
      <c r="H134" s="39">
        <f>AdjustedOutput!V134*$H$1</f>
        <v>92.390941923862698</v>
      </c>
      <c r="I134" s="221"/>
      <c r="J134" s="222">
        <f t="shared" ref="J134:J148" si="13">VLOOKUP($O134,$P$5:$Q$28,2,FALSE)</f>
        <v>6948.3720000000003</v>
      </c>
      <c r="K134" s="223"/>
      <c r="M134" s="223">
        <f t="shared" si="11"/>
        <v>1000</v>
      </c>
      <c r="O134" s="9" t="str">
        <f t="shared" ref="O134:O148" si="14">LEFT(B134,7)&amp;"1"&amp;MID(B134,9,7)</f>
        <v>WxHZ1CZ1_5000e_</v>
      </c>
    </row>
    <row r="135" spans="1:15">
      <c r="A135" s="220" t="s">
        <v>227</v>
      </c>
      <c r="B135" s="9" t="s">
        <v>926</v>
      </c>
      <c r="C135" s="9" t="s">
        <v>767</v>
      </c>
      <c r="D135" s="39">
        <f>analysis!H209</f>
        <v>1132.4234015861102</v>
      </c>
      <c r="E135" s="39">
        <f>analysis!I209</f>
        <v>181.79869203571423</v>
      </c>
      <c r="F135" s="39">
        <f>analysis!J209</f>
        <v>1616.9923642499998</v>
      </c>
      <c r="G135" s="39">
        <f t="shared" si="12"/>
        <v>2931.2144578718244</v>
      </c>
      <c r="H135" s="39">
        <f>AdjustedOutput!V135*$H$1</f>
        <v>92.390941923862698</v>
      </c>
      <c r="I135" s="221"/>
      <c r="J135" s="222">
        <f t="shared" si="13"/>
        <v>6948.3720000000003</v>
      </c>
      <c r="K135" s="223"/>
      <c r="M135" s="223">
        <f t="shared" si="11"/>
        <v>1000</v>
      </c>
      <c r="O135" s="9" t="str">
        <f t="shared" si="14"/>
        <v>WxHZ1CZ1_5000e_</v>
      </c>
    </row>
    <row r="136" spans="1:15">
      <c r="A136" s="220" t="s">
        <v>227</v>
      </c>
      <c r="B136" s="9" t="s">
        <v>927</v>
      </c>
      <c r="C136" s="9" t="s">
        <v>770</v>
      </c>
      <c r="D136" s="39">
        <f>analysis!H210</f>
        <v>1132.4234015861102</v>
      </c>
      <c r="E136" s="39">
        <f>analysis!I210</f>
        <v>381.6730038571427</v>
      </c>
      <c r="F136" s="39">
        <f>analysis!J210</f>
        <v>1616.9923642499998</v>
      </c>
      <c r="G136" s="39">
        <f t="shared" si="12"/>
        <v>3131.0887696932527</v>
      </c>
      <c r="H136" s="39">
        <f>AdjustedOutput!V136*$H$1</f>
        <v>92.390941923862698</v>
      </c>
      <c r="I136" s="221"/>
      <c r="J136" s="222">
        <f t="shared" si="13"/>
        <v>6948.3720000000003</v>
      </c>
      <c r="K136" s="223"/>
      <c r="M136" s="223">
        <f t="shared" si="11"/>
        <v>1000</v>
      </c>
      <c r="O136" s="9" t="str">
        <f t="shared" si="14"/>
        <v>WxHZ1CZ1_5000e_</v>
      </c>
    </row>
    <row r="137" spans="1:15">
      <c r="A137" s="220" t="s">
        <v>227</v>
      </c>
      <c r="B137" s="9" t="s">
        <v>928</v>
      </c>
      <c r="C137" s="9" t="s">
        <v>779</v>
      </c>
      <c r="D137" s="39">
        <f>analysis!H211</f>
        <v>2715.5016994170273</v>
      </c>
      <c r="E137" s="39">
        <f>analysis!I211</f>
        <v>58.760069142857105</v>
      </c>
      <c r="F137" s="39">
        <f>analysis!J211</f>
        <v>2289.4819507500001</v>
      </c>
      <c r="G137" s="39">
        <f t="shared" si="12"/>
        <v>5063.7437193098849</v>
      </c>
      <c r="H137" s="39">
        <f>AdjustedOutput!V137*$H$1</f>
        <v>88.975856977337997</v>
      </c>
      <c r="I137" s="221"/>
      <c r="J137" s="222">
        <f t="shared" si="13"/>
        <v>11942.103499999997</v>
      </c>
      <c r="K137" s="223"/>
      <c r="M137" s="223">
        <f t="shared" si="11"/>
        <v>1000</v>
      </c>
      <c r="O137" s="9" t="str">
        <f t="shared" si="14"/>
        <v>NWHZ2CZ1_5000n_</v>
      </c>
    </row>
    <row r="138" spans="1:15">
      <c r="A138" s="220" t="s">
        <v>227</v>
      </c>
      <c r="B138" s="9" t="s">
        <v>929</v>
      </c>
      <c r="C138" s="9" t="s">
        <v>782</v>
      </c>
      <c r="D138" s="39">
        <f>analysis!H212</f>
        <v>2715.5016994170273</v>
      </c>
      <c r="E138" s="39">
        <f>analysis!I212</f>
        <v>172.8650609642857</v>
      </c>
      <c r="F138" s="39">
        <f>analysis!J212</f>
        <v>2289.4819507500001</v>
      </c>
      <c r="G138" s="39">
        <f t="shared" si="12"/>
        <v>5177.8487111313134</v>
      </c>
      <c r="H138" s="39">
        <f>AdjustedOutput!V138*$H$1</f>
        <v>88.975856977337997</v>
      </c>
      <c r="I138" s="221"/>
      <c r="J138" s="222">
        <f t="shared" si="13"/>
        <v>11942.103499999997</v>
      </c>
      <c r="K138" s="223"/>
      <c r="M138" s="223">
        <f t="shared" si="11"/>
        <v>1000</v>
      </c>
      <c r="O138" s="9" t="str">
        <f t="shared" si="14"/>
        <v>NWHZ2CZ1_5000n_</v>
      </c>
    </row>
    <row r="139" spans="1:15">
      <c r="A139" s="220" t="s">
        <v>227</v>
      </c>
      <c r="B139" s="9" t="s">
        <v>930</v>
      </c>
      <c r="C139" s="9" t="s">
        <v>785</v>
      </c>
      <c r="D139" s="39">
        <f>analysis!H213</f>
        <v>2715.5016994170273</v>
      </c>
      <c r="E139" s="39">
        <f>analysis!I213</f>
        <v>361.69300614285726</v>
      </c>
      <c r="F139" s="39">
        <f>analysis!J213</f>
        <v>2289.4819507500001</v>
      </c>
      <c r="G139" s="39">
        <f t="shared" si="12"/>
        <v>5366.6766563098845</v>
      </c>
      <c r="H139" s="39">
        <f>AdjustedOutput!V139*$H$1</f>
        <v>88.975856977337997</v>
      </c>
      <c r="I139" s="221"/>
      <c r="J139" s="222">
        <f t="shared" si="13"/>
        <v>11942.103499999997</v>
      </c>
      <c r="K139" s="223"/>
      <c r="M139" s="223">
        <f t="shared" si="11"/>
        <v>1000</v>
      </c>
      <c r="O139" s="9" t="str">
        <f t="shared" si="14"/>
        <v>NWHZ2CZ1_5000n_</v>
      </c>
    </row>
    <row r="140" spans="1:15">
      <c r="A140" s="220" t="s">
        <v>227</v>
      </c>
      <c r="B140" s="9" t="s">
        <v>931</v>
      </c>
      <c r="C140" s="9" t="s">
        <v>779</v>
      </c>
      <c r="D140" s="39">
        <f>analysis!H214</f>
        <v>2869.5671714844666</v>
      </c>
      <c r="E140" s="39">
        <f>analysis!I214</f>
        <v>61.380484749999994</v>
      </c>
      <c r="F140" s="39">
        <f>analysis!J214</f>
        <v>2215.71985425</v>
      </c>
      <c r="G140" s="39">
        <f t="shared" si="12"/>
        <v>5146.6675104844671</v>
      </c>
      <c r="H140" s="39">
        <f>AdjustedOutput!V140*$H$1</f>
        <v>91.198641469819933</v>
      </c>
      <c r="I140" s="221"/>
      <c r="J140" s="222">
        <f t="shared" si="13"/>
        <v>13713.364000000003</v>
      </c>
      <c r="K140" s="223"/>
      <c r="M140" s="223">
        <f t="shared" si="11"/>
        <v>1000</v>
      </c>
      <c r="O140" s="9" t="str">
        <f t="shared" si="14"/>
        <v>WxHZ2CZ1_5000e_</v>
      </c>
    </row>
    <row r="141" spans="1:15">
      <c r="A141" s="220" t="s">
        <v>227</v>
      </c>
      <c r="B141" s="9" t="s">
        <v>932</v>
      </c>
      <c r="C141" s="9" t="s">
        <v>782</v>
      </c>
      <c r="D141" s="39">
        <f>analysis!H215</f>
        <v>2869.5671714844666</v>
      </c>
      <c r="E141" s="39">
        <f>analysis!I215</f>
        <v>181.79869203571423</v>
      </c>
      <c r="F141" s="39">
        <f>analysis!J215</f>
        <v>2215.71985425</v>
      </c>
      <c r="G141" s="39">
        <f t="shared" si="12"/>
        <v>5267.085717770181</v>
      </c>
      <c r="H141" s="39">
        <f>AdjustedOutput!V141*$H$1</f>
        <v>91.198641469819933</v>
      </c>
      <c r="I141" s="221"/>
      <c r="J141" s="222">
        <f t="shared" si="13"/>
        <v>13713.364000000003</v>
      </c>
      <c r="K141" s="223"/>
      <c r="M141" s="223">
        <f t="shared" si="11"/>
        <v>1000</v>
      </c>
      <c r="O141" s="9" t="str">
        <f t="shared" si="14"/>
        <v>WxHZ2CZ1_5000e_</v>
      </c>
    </row>
    <row r="142" spans="1:15">
      <c r="A142" s="220" t="s">
        <v>227</v>
      </c>
      <c r="B142" s="9" t="s">
        <v>933</v>
      </c>
      <c r="C142" s="9" t="s">
        <v>785</v>
      </c>
      <c r="D142" s="39">
        <f>analysis!H216</f>
        <v>2869.5671714844666</v>
      </c>
      <c r="E142" s="39">
        <f>analysis!I216</f>
        <v>381.6730038571427</v>
      </c>
      <c r="F142" s="39">
        <f>analysis!J216</f>
        <v>2215.71985425</v>
      </c>
      <c r="G142" s="39">
        <f t="shared" si="12"/>
        <v>5466.9600295916098</v>
      </c>
      <c r="H142" s="39">
        <f>AdjustedOutput!V142*$H$1</f>
        <v>91.198641469819933</v>
      </c>
      <c r="I142" s="221"/>
      <c r="J142" s="222">
        <f t="shared" si="13"/>
        <v>13713.364000000003</v>
      </c>
      <c r="K142" s="223"/>
      <c r="M142" s="223">
        <f t="shared" si="11"/>
        <v>1000</v>
      </c>
      <c r="O142" s="9" t="str">
        <f t="shared" si="14"/>
        <v>WxHZ2CZ1_5000e_</v>
      </c>
    </row>
    <row r="143" spans="1:15">
      <c r="A143" s="220" t="s">
        <v>227</v>
      </c>
      <c r="B143" s="9" t="s">
        <v>934</v>
      </c>
      <c r="C143" s="9" t="s">
        <v>794</v>
      </c>
      <c r="D143" s="39">
        <f>analysis!H217</f>
        <v>3889.7038489031274</v>
      </c>
      <c r="E143" s="39">
        <f>analysis!I217</f>
        <v>58.760069142857105</v>
      </c>
      <c r="F143" s="39">
        <f>analysis!J217</f>
        <v>2602.316718</v>
      </c>
      <c r="G143" s="39">
        <f t="shared" si="12"/>
        <v>6550.7806360459845</v>
      </c>
      <c r="H143" s="39">
        <f>AdjustedOutput!V143*$H$1</f>
        <v>98.56043676179624</v>
      </c>
      <c r="I143" s="221"/>
      <c r="J143" s="222">
        <f t="shared" si="13"/>
        <v>19560.591</v>
      </c>
      <c r="K143" s="223"/>
      <c r="M143" s="223">
        <f t="shared" si="11"/>
        <v>1000</v>
      </c>
      <c r="O143" s="9" t="str">
        <f t="shared" si="14"/>
        <v>NWHZ3CZ1_5000n_</v>
      </c>
    </row>
    <row r="144" spans="1:15">
      <c r="A144" s="220" t="s">
        <v>227</v>
      </c>
      <c r="B144" s="9" t="s">
        <v>935</v>
      </c>
      <c r="C144" s="9" t="s">
        <v>797</v>
      </c>
      <c r="D144" s="39">
        <f>analysis!H218</f>
        <v>3889.7038489031274</v>
      </c>
      <c r="E144" s="39">
        <f>analysis!I218</f>
        <v>172.8650609642857</v>
      </c>
      <c r="F144" s="39">
        <f>analysis!J218</f>
        <v>2602.316718</v>
      </c>
      <c r="G144" s="39">
        <f t="shared" si="12"/>
        <v>6664.8856278674129</v>
      </c>
      <c r="H144" s="39">
        <f>AdjustedOutput!V144*$H$1</f>
        <v>98.56043676179624</v>
      </c>
      <c r="I144" s="221"/>
      <c r="J144" s="222">
        <f t="shared" si="13"/>
        <v>19560.591</v>
      </c>
      <c r="K144" s="223"/>
      <c r="M144" s="223">
        <f t="shared" si="11"/>
        <v>1000</v>
      </c>
      <c r="O144" s="9" t="str">
        <f t="shared" si="14"/>
        <v>NWHZ3CZ1_5000n_</v>
      </c>
    </row>
    <row r="145" spans="1:15">
      <c r="A145" s="220" t="s">
        <v>227</v>
      </c>
      <c r="B145" s="9" t="s">
        <v>936</v>
      </c>
      <c r="C145" s="9" t="s">
        <v>800</v>
      </c>
      <c r="D145" s="39">
        <f>analysis!H219</f>
        <v>3889.7038489031274</v>
      </c>
      <c r="E145" s="39">
        <f>analysis!I219</f>
        <v>361.69300614285726</v>
      </c>
      <c r="F145" s="39">
        <f>analysis!J219</f>
        <v>2602.316718</v>
      </c>
      <c r="G145" s="39">
        <f t="shared" si="12"/>
        <v>6853.713573045985</v>
      </c>
      <c r="H145" s="39">
        <f>AdjustedOutput!V145*$H$1</f>
        <v>98.56043676179624</v>
      </c>
      <c r="I145" s="221"/>
      <c r="J145" s="222">
        <f t="shared" si="13"/>
        <v>19560.591</v>
      </c>
      <c r="K145" s="223"/>
      <c r="M145" s="223">
        <f t="shared" si="11"/>
        <v>1000</v>
      </c>
      <c r="O145" s="9" t="str">
        <f t="shared" si="14"/>
        <v>NWHZ3CZ1_5000n_</v>
      </c>
    </row>
    <row r="146" spans="1:15">
      <c r="A146" s="220" t="s">
        <v>227</v>
      </c>
      <c r="B146" s="9" t="s">
        <v>937</v>
      </c>
      <c r="C146" s="9" t="s">
        <v>794</v>
      </c>
      <c r="D146" s="39">
        <f>analysis!H220</f>
        <v>4148.3847787312352</v>
      </c>
      <c r="E146" s="39">
        <f>analysis!I220</f>
        <v>61.380484749999994</v>
      </c>
      <c r="F146" s="39">
        <f>analysis!J220</f>
        <v>2533.68478125</v>
      </c>
      <c r="G146" s="39">
        <f t="shared" si="12"/>
        <v>6743.4500447312348</v>
      </c>
      <c r="H146" s="39">
        <f>AdjustedOutput!V146*$H$1</f>
        <v>99.587710055462708</v>
      </c>
      <c r="I146" s="221"/>
      <c r="J146" s="222">
        <f t="shared" si="13"/>
        <v>22392.255000000005</v>
      </c>
      <c r="K146" s="223"/>
      <c r="M146" s="223">
        <f t="shared" si="11"/>
        <v>1000</v>
      </c>
      <c r="O146" s="9" t="str">
        <f t="shared" si="14"/>
        <v>WxHZ3CZ1_5000e_</v>
      </c>
    </row>
    <row r="147" spans="1:15">
      <c r="A147" s="220" t="s">
        <v>227</v>
      </c>
      <c r="B147" s="9" t="s">
        <v>938</v>
      </c>
      <c r="C147" s="9" t="s">
        <v>797</v>
      </c>
      <c r="D147" s="39">
        <f>analysis!H221</f>
        <v>4148.3847787312352</v>
      </c>
      <c r="E147" s="39">
        <f>analysis!I221</f>
        <v>181.79869203571423</v>
      </c>
      <c r="F147" s="39">
        <f>analysis!J221</f>
        <v>2533.68478125</v>
      </c>
      <c r="G147" s="39">
        <f t="shared" si="12"/>
        <v>6863.8682520169496</v>
      </c>
      <c r="H147" s="39">
        <f>AdjustedOutput!V147*$H$1</f>
        <v>99.587710055462708</v>
      </c>
      <c r="I147" s="221"/>
      <c r="J147" s="222">
        <f t="shared" si="13"/>
        <v>22392.255000000005</v>
      </c>
      <c r="K147" s="223"/>
      <c r="M147" s="223">
        <f t="shared" si="11"/>
        <v>1000</v>
      </c>
      <c r="O147" s="9" t="str">
        <f t="shared" si="14"/>
        <v>WxHZ3CZ1_5000e_</v>
      </c>
    </row>
    <row r="148" spans="1:15">
      <c r="A148" s="220" t="s">
        <v>227</v>
      </c>
      <c r="B148" s="9" t="s">
        <v>939</v>
      </c>
      <c r="C148" s="9" t="s">
        <v>800</v>
      </c>
      <c r="D148" s="39">
        <f>analysis!H222</f>
        <v>4148.3847787312352</v>
      </c>
      <c r="E148" s="39">
        <f>analysis!I222</f>
        <v>381.6730038571427</v>
      </c>
      <c r="F148" s="39">
        <f>analysis!J222</f>
        <v>2533.68478125</v>
      </c>
      <c r="G148" s="39">
        <f t="shared" si="12"/>
        <v>7063.7425638383775</v>
      </c>
      <c r="H148" s="39">
        <f>AdjustedOutput!V148*$H$1</f>
        <v>99.587710055462708</v>
      </c>
      <c r="I148" s="221"/>
      <c r="J148" s="222">
        <f t="shared" si="13"/>
        <v>22392.255000000005</v>
      </c>
      <c r="K148" s="223"/>
      <c r="M148" s="223">
        <f t="shared" si="11"/>
        <v>1000</v>
      </c>
      <c r="O148" s="9" t="str">
        <f t="shared" si="14"/>
        <v>WxHZ3CZ1_5000e_</v>
      </c>
    </row>
    <row r="149" spans="1:15">
      <c r="A149" s="231"/>
      <c r="B149" s="231"/>
      <c r="C149" s="231"/>
      <c r="D149" s="232"/>
      <c r="E149" s="232"/>
      <c r="F149" s="231"/>
      <c r="G149" s="232"/>
      <c r="H149" s="232"/>
      <c r="I149" s="231"/>
      <c r="J149" s="233"/>
      <c r="K149" s="231"/>
      <c r="L149" s="231"/>
      <c r="M149" s="231"/>
      <c r="N149" s="231"/>
      <c r="O149" s="231"/>
    </row>
    <row r="150" spans="1:15">
      <c r="A150" s="231"/>
      <c r="B150" s="231"/>
      <c r="C150" s="231"/>
      <c r="D150" s="232"/>
      <c r="E150" s="232"/>
      <c r="F150" s="231"/>
      <c r="G150" s="232"/>
      <c r="H150" s="232"/>
      <c r="I150" s="231"/>
      <c r="J150" s="233"/>
      <c r="K150" s="231"/>
      <c r="L150" s="231"/>
      <c r="M150" s="231"/>
      <c r="N150" s="231"/>
      <c r="O150" s="231"/>
    </row>
    <row r="151" spans="1:15">
      <c r="A151" s="231"/>
      <c r="B151" s="231"/>
      <c r="C151" s="231"/>
      <c r="D151" s="232"/>
      <c r="E151" s="232"/>
      <c r="F151" s="231"/>
      <c r="G151" s="232"/>
      <c r="H151" s="232"/>
      <c r="I151" s="231"/>
      <c r="J151" s="233"/>
      <c r="K151" s="231"/>
      <c r="L151" s="231"/>
      <c r="M151" s="231"/>
      <c r="N151" s="231"/>
      <c r="O151" s="231"/>
    </row>
    <row r="152" spans="1:15">
      <c r="A152" s="231"/>
      <c r="B152" s="231"/>
      <c r="C152" s="231"/>
      <c r="D152" s="232"/>
      <c r="E152" s="232"/>
      <c r="F152" s="231"/>
      <c r="G152" s="232"/>
      <c r="H152" s="232"/>
      <c r="I152" s="231"/>
      <c r="J152" s="233"/>
      <c r="K152" s="231"/>
      <c r="L152" s="231"/>
      <c r="M152" s="231"/>
      <c r="N152" s="231"/>
      <c r="O152" s="231"/>
    </row>
    <row r="153" spans="1:15">
      <c r="A153" s="231"/>
      <c r="B153" s="231"/>
      <c r="C153" s="231"/>
      <c r="D153" s="232"/>
      <c r="E153" s="232"/>
      <c r="F153" s="231"/>
      <c r="G153" s="232"/>
      <c r="H153" s="232"/>
      <c r="I153" s="231"/>
      <c r="J153" s="233"/>
      <c r="K153" s="231"/>
      <c r="L153" s="231"/>
      <c r="M153" s="231"/>
      <c r="N153" s="231"/>
      <c r="O153" s="231"/>
    </row>
    <row r="154" spans="1:15">
      <c r="A154" s="231"/>
      <c r="B154" s="231"/>
      <c r="C154" s="231"/>
      <c r="D154" s="232"/>
      <c r="E154" s="232"/>
      <c r="F154" s="231"/>
      <c r="G154" s="232"/>
      <c r="H154" s="232"/>
      <c r="I154" s="231"/>
      <c r="J154" s="233"/>
      <c r="K154" s="231"/>
      <c r="L154" s="231"/>
      <c r="M154" s="231"/>
      <c r="N154" s="231"/>
      <c r="O154" s="231"/>
    </row>
    <row r="155" spans="1:15">
      <c r="A155" s="231"/>
      <c r="B155" s="231"/>
      <c r="C155" s="231"/>
      <c r="D155" s="232"/>
      <c r="E155" s="232"/>
      <c r="F155" s="231"/>
      <c r="G155" s="232"/>
      <c r="H155" s="232"/>
      <c r="I155" s="231"/>
      <c r="J155" s="233"/>
      <c r="K155" s="231"/>
      <c r="L155" s="231"/>
      <c r="M155" s="231"/>
      <c r="N155" s="231"/>
      <c r="O155" s="231"/>
    </row>
    <row r="156" spans="1:15">
      <c r="A156" s="231"/>
      <c r="B156" s="231"/>
      <c r="C156" s="231"/>
      <c r="D156" s="232"/>
      <c r="E156" s="232"/>
      <c r="F156" s="231"/>
      <c r="G156" s="232"/>
      <c r="H156" s="232"/>
      <c r="I156" s="231"/>
      <c r="J156" s="233"/>
      <c r="K156" s="231"/>
      <c r="L156" s="231"/>
      <c r="M156" s="231"/>
      <c r="N156" s="231"/>
      <c r="O156" s="231"/>
    </row>
    <row r="157" spans="1:15">
      <c r="A157" s="231"/>
      <c r="B157" s="231"/>
      <c r="C157" s="231"/>
      <c r="D157" s="232"/>
      <c r="E157" s="232"/>
      <c r="F157" s="231"/>
      <c r="G157" s="232"/>
      <c r="H157" s="232"/>
      <c r="I157" s="231"/>
      <c r="J157" s="233"/>
      <c r="K157" s="231"/>
      <c r="L157" s="231"/>
      <c r="M157" s="231"/>
      <c r="N157" s="231"/>
      <c r="O157" s="231"/>
    </row>
    <row r="158" spans="1:15">
      <c r="A158" s="231"/>
      <c r="B158" s="231"/>
      <c r="C158" s="231"/>
      <c r="D158" s="232"/>
      <c r="E158" s="232"/>
      <c r="F158" s="231"/>
      <c r="G158" s="232"/>
      <c r="H158" s="232"/>
      <c r="I158" s="231"/>
      <c r="J158" s="233"/>
      <c r="K158" s="231"/>
      <c r="L158" s="231"/>
      <c r="M158" s="231"/>
      <c r="N158" s="231"/>
      <c r="O158" s="231"/>
    </row>
    <row r="159" spans="1:15">
      <c r="A159" s="231"/>
      <c r="B159" s="231"/>
      <c r="C159" s="231"/>
      <c r="D159" s="232"/>
      <c r="E159" s="232"/>
      <c r="F159" s="231"/>
      <c r="G159" s="232"/>
      <c r="H159" s="232"/>
      <c r="I159" s="231"/>
      <c r="J159" s="233"/>
      <c r="K159" s="231"/>
      <c r="L159" s="231"/>
      <c r="M159" s="231"/>
      <c r="N159" s="231"/>
      <c r="O159" s="231"/>
    </row>
    <row r="160" spans="1:15">
      <c r="A160" s="231"/>
      <c r="B160" s="231"/>
      <c r="C160" s="231"/>
      <c r="D160" s="232"/>
      <c r="E160" s="232"/>
      <c r="F160" s="231"/>
      <c r="G160" s="232"/>
      <c r="H160" s="232"/>
      <c r="I160" s="231"/>
      <c r="J160" s="233"/>
      <c r="K160" s="231"/>
      <c r="L160" s="231"/>
      <c r="M160" s="231"/>
      <c r="N160" s="231"/>
      <c r="O160" s="231"/>
    </row>
    <row r="161" spans="1:15">
      <c r="A161" s="231"/>
      <c r="B161" s="231"/>
      <c r="C161" s="231"/>
      <c r="D161" s="232"/>
      <c r="E161" s="232"/>
      <c r="F161" s="231"/>
      <c r="G161" s="232"/>
      <c r="H161" s="232"/>
      <c r="I161" s="231"/>
      <c r="J161" s="233"/>
      <c r="K161" s="231"/>
      <c r="L161" s="231"/>
      <c r="M161" s="231"/>
      <c r="N161" s="231"/>
      <c r="O161" s="231"/>
    </row>
    <row r="162" spans="1:15">
      <c r="A162" s="231"/>
      <c r="B162" s="231"/>
      <c r="C162" s="231"/>
      <c r="D162" s="232"/>
      <c r="E162" s="232"/>
      <c r="F162" s="231"/>
      <c r="G162" s="232"/>
      <c r="H162" s="232"/>
      <c r="I162" s="231"/>
      <c r="J162" s="233"/>
      <c r="K162" s="231"/>
      <c r="L162" s="231"/>
      <c r="M162" s="231"/>
      <c r="N162" s="231"/>
      <c r="O162" s="231"/>
    </row>
    <row r="163" spans="1:15">
      <c r="A163" s="231"/>
      <c r="B163" s="231"/>
      <c r="C163" s="231"/>
      <c r="D163" s="232"/>
      <c r="E163" s="232"/>
      <c r="F163" s="231"/>
      <c r="G163" s="232"/>
      <c r="H163" s="232"/>
      <c r="I163" s="231"/>
      <c r="J163" s="233"/>
      <c r="K163" s="231"/>
      <c r="L163" s="231"/>
      <c r="M163" s="231"/>
      <c r="N163" s="231"/>
      <c r="O163" s="231"/>
    </row>
    <row r="164" spans="1:15">
      <c r="A164" s="231"/>
      <c r="B164" s="231"/>
      <c r="C164" s="231"/>
      <c r="D164" s="232"/>
      <c r="E164" s="232"/>
      <c r="F164" s="231"/>
      <c r="G164" s="232"/>
      <c r="H164" s="232"/>
      <c r="I164" s="231"/>
      <c r="J164" s="233"/>
      <c r="K164" s="231"/>
      <c r="L164" s="231"/>
      <c r="M164" s="231"/>
      <c r="N164" s="231"/>
      <c r="O164" s="231"/>
    </row>
    <row r="165" spans="1:15">
      <c r="A165" s="231"/>
      <c r="B165" s="231"/>
      <c r="C165" s="231"/>
      <c r="D165" s="232"/>
      <c r="E165" s="232"/>
      <c r="F165" s="231"/>
      <c r="G165" s="232"/>
      <c r="H165" s="232"/>
      <c r="I165" s="231"/>
      <c r="J165" s="233"/>
      <c r="K165" s="231"/>
      <c r="L165" s="231"/>
      <c r="M165" s="231"/>
      <c r="N165" s="231"/>
      <c r="O165" s="231"/>
    </row>
    <row r="166" spans="1:15">
      <c r="A166" s="231"/>
      <c r="B166" s="231"/>
      <c r="C166" s="231"/>
      <c r="D166" s="232"/>
      <c r="E166" s="232"/>
      <c r="F166" s="231"/>
      <c r="G166" s="232"/>
      <c r="H166" s="232"/>
      <c r="I166" s="231"/>
      <c r="J166" s="233"/>
      <c r="K166" s="231"/>
      <c r="L166" s="231"/>
      <c r="M166" s="231"/>
      <c r="N166" s="231"/>
      <c r="O166" s="231"/>
    </row>
    <row r="167" spans="1:15">
      <c r="A167" s="231"/>
      <c r="B167" s="231"/>
      <c r="C167" s="231"/>
      <c r="D167" s="232"/>
      <c r="E167" s="232"/>
      <c r="F167" s="231"/>
      <c r="G167" s="232"/>
      <c r="H167" s="232"/>
      <c r="I167" s="231"/>
      <c r="J167" s="233"/>
      <c r="K167" s="231"/>
      <c r="L167" s="231"/>
      <c r="M167" s="231"/>
      <c r="N167" s="231"/>
      <c r="O167" s="231"/>
    </row>
    <row r="168" spans="1:15">
      <c r="A168" s="231"/>
      <c r="B168" s="231"/>
      <c r="C168" s="231"/>
      <c r="D168" s="232"/>
      <c r="E168" s="232"/>
      <c r="F168" s="231"/>
      <c r="G168" s="232"/>
      <c r="H168" s="232"/>
      <c r="I168" s="231"/>
      <c r="J168" s="233"/>
      <c r="K168" s="231"/>
      <c r="L168" s="231"/>
      <c r="M168" s="231"/>
      <c r="N168" s="231"/>
      <c r="O168" s="231"/>
    </row>
    <row r="169" spans="1:15">
      <c r="A169" s="231"/>
      <c r="B169" s="231"/>
      <c r="C169" s="231"/>
      <c r="D169" s="232"/>
      <c r="E169" s="232"/>
      <c r="F169" s="231"/>
      <c r="G169" s="232"/>
      <c r="H169" s="232"/>
      <c r="I169" s="231"/>
      <c r="J169" s="233"/>
      <c r="K169" s="231"/>
      <c r="L169" s="231"/>
      <c r="M169" s="231"/>
      <c r="N169" s="231"/>
      <c r="O169" s="231"/>
    </row>
    <row r="170" spans="1:15">
      <c r="A170" s="231"/>
      <c r="B170" s="231"/>
      <c r="C170" s="231"/>
      <c r="D170" s="232"/>
      <c r="E170" s="232"/>
      <c r="F170" s="231"/>
      <c r="G170" s="232"/>
      <c r="H170" s="232"/>
      <c r="I170" s="231"/>
      <c r="J170" s="233"/>
      <c r="K170" s="231"/>
      <c r="L170" s="231"/>
      <c r="M170" s="231"/>
      <c r="N170" s="231"/>
      <c r="O170" s="231"/>
    </row>
    <row r="171" spans="1:15">
      <c r="A171" s="231"/>
      <c r="B171" s="231"/>
      <c r="C171" s="231"/>
      <c r="D171" s="232"/>
      <c r="E171" s="232"/>
      <c r="F171" s="231"/>
      <c r="G171" s="232"/>
      <c r="H171" s="232"/>
      <c r="I171" s="231"/>
      <c r="J171" s="233"/>
      <c r="K171" s="231"/>
      <c r="L171" s="231"/>
      <c r="M171" s="231"/>
      <c r="N171" s="231"/>
      <c r="O171" s="231"/>
    </row>
    <row r="172" spans="1:15">
      <c r="A172" s="231"/>
      <c r="B172" s="231"/>
      <c r="C172" s="231"/>
      <c r="D172" s="232"/>
      <c r="E172" s="232"/>
      <c r="F172" s="231"/>
      <c r="G172" s="232"/>
      <c r="H172" s="232"/>
      <c r="I172" s="231"/>
      <c r="J172" s="233"/>
      <c r="K172" s="231"/>
      <c r="L172" s="231"/>
      <c r="M172" s="231"/>
      <c r="N172" s="231"/>
      <c r="O172" s="231"/>
    </row>
    <row r="173" spans="1:15">
      <c r="A173" s="231"/>
      <c r="B173" s="231"/>
      <c r="C173" s="231"/>
      <c r="D173" s="232"/>
      <c r="E173" s="232"/>
      <c r="F173" s="231"/>
      <c r="G173" s="232"/>
      <c r="H173" s="232"/>
      <c r="I173" s="231"/>
      <c r="J173" s="233"/>
      <c r="K173" s="231"/>
      <c r="L173" s="231"/>
      <c r="M173" s="231"/>
      <c r="N173" s="231"/>
      <c r="O173" s="231"/>
    </row>
    <row r="174" spans="1:15">
      <c r="A174" s="231"/>
      <c r="B174" s="231"/>
      <c r="C174" s="231"/>
      <c r="D174" s="232"/>
      <c r="E174" s="232"/>
      <c r="F174" s="231"/>
      <c r="G174" s="232"/>
      <c r="H174" s="232"/>
      <c r="I174" s="231"/>
      <c r="J174" s="233"/>
      <c r="K174" s="231"/>
      <c r="L174" s="231"/>
      <c r="M174" s="231"/>
      <c r="N174" s="231"/>
      <c r="O174" s="231"/>
    </row>
    <row r="175" spans="1:15">
      <c r="A175" s="231"/>
      <c r="B175" s="231"/>
      <c r="C175" s="231"/>
      <c r="D175" s="232"/>
      <c r="E175" s="232"/>
      <c r="F175" s="231"/>
      <c r="G175" s="232"/>
      <c r="H175" s="232"/>
      <c r="I175" s="231"/>
      <c r="J175" s="233"/>
      <c r="K175" s="231"/>
      <c r="L175" s="231"/>
      <c r="M175" s="231"/>
      <c r="N175" s="231"/>
      <c r="O175" s="231"/>
    </row>
    <row r="176" spans="1:15">
      <c r="A176" s="231"/>
      <c r="B176" s="231"/>
      <c r="C176" s="231"/>
      <c r="D176" s="232"/>
      <c r="E176" s="232"/>
      <c r="F176" s="231"/>
      <c r="G176" s="232"/>
      <c r="H176" s="232"/>
      <c r="I176" s="231"/>
      <c r="J176" s="233"/>
      <c r="K176" s="231"/>
      <c r="L176" s="231"/>
      <c r="M176" s="231"/>
      <c r="N176" s="231"/>
      <c r="O176" s="231"/>
    </row>
    <row r="177" spans="1:15">
      <c r="A177" s="231"/>
      <c r="B177" s="231"/>
      <c r="C177" s="231"/>
      <c r="D177" s="232"/>
      <c r="E177" s="232"/>
      <c r="F177" s="231"/>
      <c r="G177" s="232"/>
      <c r="H177" s="232"/>
      <c r="I177" s="231"/>
      <c r="J177" s="233"/>
      <c r="K177" s="231"/>
      <c r="L177" s="231"/>
      <c r="M177" s="231"/>
      <c r="N177" s="231"/>
      <c r="O177" s="231"/>
    </row>
    <row r="178" spans="1:15">
      <c r="A178" s="231"/>
      <c r="B178" s="231"/>
      <c r="C178" s="231"/>
      <c r="D178" s="232"/>
      <c r="E178" s="232"/>
      <c r="F178" s="231"/>
      <c r="G178" s="232"/>
      <c r="H178" s="232"/>
      <c r="I178" s="231"/>
      <c r="J178" s="233"/>
      <c r="K178" s="231"/>
      <c r="L178" s="231"/>
      <c r="M178" s="231"/>
      <c r="N178" s="231"/>
      <c r="O178" s="231"/>
    </row>
    <row r="179" spans="1:15">
      <c r="A179" s="231"/>
      <c r="B179" s="231"/>
      <c r="C179" s="231"/>
      <c r="D179" s="232"/>
      <c r="E179" s="232"/>
      <c r="F179" s="231"/>
      <c r="G179" s="232"/>
      <c r="H179" s="232"/>
      <c r="I179" s="231"/>
      <c r="J179" s="233"/>
      <c r="K179" s="231"/>
      <c r="L179" s="231"/>
      <c r="M179" s="231"/>
      <c r="N179" s="231"/>
      <c r="O179" s="231"/>
    </row>
    <row r="180" spans="1:15">
      <c r="A180" s="231"/>
      <c r="B180" s="231"/>
      <c r="C180" s="231"/>
      <c r="D180" s="232"/>
      <c r="E180" s="232"/>
      <c r="F180" s="231"/>
      <c r="G180" s="232"/>
      <c r="H180" s="232"/>
      <c r="I180" s="231"/>
      <c r="J180" s="233"/>
      <c r="K180" s="231"/>
      <c r="L180" s="231"/>
      <c r="M180" s="231"/>
      <c r="N180" s="231"/>
      <c r="O180" s="231"/>
    </row>
    <row r="181" spans="1:15">
      <c r="A181" s="231"/>
      <c r="B181" s="231"/>
      <c r="C181" s="231"/>
      <c r="D181" s="232"/>
      <c r="E181" s="232"/>
      <c r="F181" s="231"/>
      <c r="G181" s="232"/>
      <c r="H181" s="232"/>
      <c r="I181" s="231"/>
      <c r="J181" s="233"/>
      <c r="K181" s="231"/>
      <c r="L181" s="231"/>
      <c r="M181" s="231"/>
      <c r="N181" s="231"/>
      <c r="O181" s="231"/>
    </row>
    <row r="182" spans="1:15">
      <c r="A182" s="231"/>
      <c r="B182" s="231"/>
      <c r="C182" s="231"/>
      <c r="D182" s="232"/>
      <c r="E182" s="232"/>
      <c r="F182" s="231"/>
      <c r="G182" s="232"/>
      <c r="H182" s="232"/>
      <c r="I182" s="231"/>
      <c r="J182" s="233"/>
      <c r="K182" s="231"/>
      <c r="L182" s="231"/>
      <c r="M182" s="231"/>
      <c r="N182" s="231"/>
      <c r="O182" s="231"/>
    </row>
    <row r="183" spans="1:15">
      <c r="A183" s="231"/>
      <c r="B183" s="231"/>
      <c r="C183" s="231"/>
      <c r="D183" s="232"/>
      <c r="E183" s="232"/>
      <c r="F183" s="231"/>
      <c r="G183" s="232"/>
      <c r="H183" s="232"/>
      <c r="I183" s="231"/>
      <c r="J183" s="233"/>
      <c r="K183" s="231"/>
      <c r="L183" s="231"/>
      <c r="M183" s="231"/>
      <c r="N183" s="231"/>
      <c r="O183" s="231"/>
    </row>
    <row r="184" spans="1:15">
      <c r="A184" s="231"/>
      <c r="B184" s="231"/>
      <c r="C184" s="231"/>
      <c r="D184" s="232"/>
      <c r="E184" s="232"/>
      <c r="F184" s="231"/>
      <c r="G184" s="232"/>
      <c r="H184" s="232"/>
      <c r="I184" s="231"/>
      <c r="J184" s="233"/>
      <c r="K184" s="231"/>
      <c r="L184" s="231"/>
      <c r="M184" s="231"/>
      <c r="N184" s="231"/>
      <c r="O184" s="231"/>
    </row>
    <row r="185" spans="1:15">
      <c r="A185" s="231"/>
      <c r="B185" s="231"/>
      <c r="C185" s="231"/>
      <c r="D185" s="232"/>
      <c r="E185" s="232"/>
      <c r="F185" s="231"/>
      <c r="G185" s="232"/>
      <c r="H185" s="232"/>
      <c r="I185" s="231"/>
      <c r="J185" s="233"/>
      <c r="K185" s="231"/>
      <c r="L185" s="231"/>
      <c r="M185" s="231"/>
      <c r="N185" s="231"/>
      <c r="O185" s="231"/>
    </row>
    <row r="186" spans="1:15">
      <c r="A186" s="231"/>
      <c r="B186" s="231"/>
      <c r="C186" s="231"/>
      <c r="D186" s="232"/>
      <c r="E186" s="232"/>
      <c r="F186" s="231"/>
      <c r="G186" s="232"/>
      <c r="H186" s="232"/>
      <c r="I186" s="231"/>
      <c r="J186" s="233"/>
      <c r="K186" s="231"/>
      <c r="L186" s="231"/>
      <c r="M186" s="231"/>
      <c r="N186" s="231"/>
      <c r="O186" s="231"/>
    </row>
    <row r="187" spans="1:15">
      <c r="A187" s="231"/>
      <c r="B187" s="231"/>
      <c r="C187" s="231"/>
      <c r="D187" s="232"/>
      <c r="E187" s="232"/>
      <c r="F187" s="231"/>
      <c r="G187" s="232"/>
      <c r="H187" s="232"/>
      <c r="I187" s="231"/>
      <c r="J187" s="233"/>
      <c r="K187" s="231"/>
      <c r="L187" s="231"/>
      <c r="M187" s="231"/>
      <c r="N187" s="231"/>
      <c r="O187" s="231"/>
    </row>
    <row r="188" spans="1:15">
      <c r="A188" s="231"/>
      <c r="B188" s="231"/>
      <c r="C188" s="231"/>
      <c r="D188" s="232"/>
      <c r="E188" s="232"/>
      <c r="F188" s="231"/>
      <c r="G188" s="232"/>
      <c r="H188" s="232"/>
      <c r="I188" s="231"/>
      <c r="J188" s="233"/>
      <c r="K188" s="231"/>
      <c r="L188" s="231"/>
      <c r="M188" s="231"/>
      <c r="N188" s="231"/>
      <c r="O188" s="231"/>
    </row>
    <row r="189" spans="1:15">
      <c r="A189" s="231"/>
      <c r="B189" s="231"/>
      <c r="C189" s="231"/>
      <c r="D189" s="232"/>
      <c r="E189" s="232"/>
      <c r="F189" s="231"/>
      <c r="G189" s="232"/>
      <c r="H189" s="232"/>
      <c r="I189" s="231"/>
      <c r="J189" s="233"/>
      <c r="K189" s="231"/>
      <c r="L189" s="231"/>
      <c r="M189" s="231"/>
      <c r="N189" s="231"/>
      <c r="O189" s="231"/>
    </row>
    <row r="190" spans="1:15">
      <c r="A190" s="231"/>
      <c r="B190" s="231"/>
      <c r="C190" s="231"/>
      <c r="D190" s="232"/>
      <c r="E190" s="232"/>
      <c r="F190" s="231"/>
      <c r="G190" s="232"/>
      <c r="H190" s="232"/>
      <c r="I190" s="231"/>
      <c r="J190" s="233"/>
      <c r="K190" s="231"/>
      <c r="L190" s="231"/>
      <c r="M190" s="231"/>
      <c r="N190" s="231"/>
      <c r="O190" s="231"/>
    </row>
    <row r="191" spans="1:15">
      <c r="A191" s="231"/>
      <c r="B191" s="231"/>
      <c r="C191" s="231"/>
      <c r="D191" s="232"/>
      <c r="E191" s="232"/>
      <c r="F191" s="231"/>
      <c r="G191" s="232"/>
      <c r="H191" s="232"/>
      <c r="I191" s="231"/>
      <c r="J191" s="233"/>
      <c r="K191" s="231"/>
      <c r="L191" s="231"/>
      <c r="M191" s="231"/>
      <c r="N191" s="231"/>
      <c r="O191" s="231"/>
    </row>
    <row r="192" spans="1:15">
      <c r="A192" s="231"/>
      <c r="B192" s="231"/>
      <c r="C192" s="231"/>
      <c r="D192" s="232"/>
      <c r="E192" s="232"/>
      <c r="F192" s="231"/>
      <c r="G192" s="232"/>
      <c r="H192" s="232"/>
      <c r="I192" s="231"/>
      <c r="J192" s="233"/>
      <c r="K192" s="231"/>
      <c r="L192" s="231"/>
      <c r="M192" s="231"/>
      <c r="N192" s="231"/>
      <c r="O192" s="231"/>
    </row>
    <row r="193" spans="1:15">
      <c r="A193" s="231"/>
      <c r="B193" s="231"/>
      <c r="C193" s="231"/>
      <c r="D193" s="232"/>
      <c r="E193" s="232"/>
      <c r="F193" s="231"/>
      <c r="G193" s="232"/>
      <c r="H193" s="232"/>
      <c r="I193" s="231"/>
      <c r="J193" s="233"/>
      <c r="K193" s="231"/>
      <c r="L193" s="231"/>
      <c r="M193" s="231"/>
      <c r="N193" s="231"/>
      <c r="O193" s="231"/>
    </row>
    <row r="194" spans="1:15">
      <c r="A194" s="231"/>
      <c r="B194" s="231"/>
      <c r="C194" s="231"/>
      <c r="D194" s="232"/>
      <c r="E194" s="232"/>
      <c r="F194" s="231"/>
      <c r="G194" s="232"/>
      <c r="H194" s="232"/>
      <c r="I194" s="231"/>
      <c r="J194" s="233"/>
      <c r="K194" s="231"/>
      <c r="L194" s="231"/>
      <c r="M194" s="231"/>
      <c r="N194" s="231"/>
      <c r="O194" s="231"/>
    </row>
    <row r="195" spans="1:15">
      <c r="A195" s="231"/>
      <c r="B195" s="231"/>
      <c r="C195" s="231"/>
      <c r="D195" s="232"/>
      <c r="E195" s="232"/>
      <c r="F195" s="231"/>
      <c r="G195" s="232"/>
      <c r="H195" s="232"/>
      <c r="I195" s="231"/>
      <c r="J195" s="233"/>
      <c r="K195" s="231"/>
      <c r="L195" s="231"/>
      <c r="M195" s="231"/>
      <c r="N195" s="231"/>
      <c r="O195" s="231"/>
    </row>
    <row r="196" spans="1:15">
      <c r="A196" s="231"/>
      <c r="B196" s="231"/>
      <c r="C196" s="231"/>
      <c r="D196" s="232"/>
      <c r="E196" s="232"/>
      <c r="F196" s="231"/>
      <c r="G196" s="232"/>
      <c r="H196" s="232"/>
      <c r="I196" s="231"/>
      <c r="J196" s="233"/>
      <c r="K196" s="231"/>
      <c r="L196" s="231"/>
      <c r="M196" s="231"/>
      <c r="N196" s="231"/>
      <c r="O196" s="231"/>
    </row>
    <row r="197" spans="1:15">
      <c r="A197" s="231"/>
      <c r="B197" s="231"/>
      <c r="C197" s="231"/>
      <c r="D197" s="232"/>
      <c r="E197" s="232"/>
      <c r="F197" s="231"/>
      <c r="G197" s="232"/>
      <c r="H197" s="232"/>
      <c r="I197" s="231"/>
      <c r="J197" s="233"/>
      <c r="K197" s="231"/>
      <c r="L197" s="231"/>
      <c r="M197" s="231"/>
      <c r="N197" s="231"/>
      <c r="O197" s="231"/>
    </row>
    <row r="198" spans="1:15">
      <c r="A198" s="231"/>
      <c r="B198" s="231"/>
      <c r="C198" s="231"/>
      <c r="D198" s="232"/>
      <c r="E198" s="232"/>
      <c r="F198" s="231"/>
      <c r="G198" s="232"/>
      <c r="H198" s="232"/>
      <c r="I198" s="231"/>
      <c r="J198" s="233"/>
      <c r="K198" s="231"/>
      <c r="L198" s="231"/>
      <c r="M198" s="231"/>
      <c r="N198" s="231"/>
      <c r="O198" s="231"/>
    </row>
    <row r="199" spans="1:15">
      <c r="A199" s="231"/>
      <c r="B199" s="231"/>
      <c r="C199" s="231"/>
      <c r="D199" s="232"/>
      <c r="E199" s="232"/>
      <c r="F199" s="231"/>
      <c r="G199" s="232"/>
      <c r="H199" s="232"/>
      <c r="I199" s="231"/>
      <c r="J199" s="233"/>
      <c r="K199" s="231"/>
      <c r="L199" s="231"/>
      <c r="M199" s="231"/>
      <c r="N199" s="231"/>
      <c r="O199" s="231"/>
    </row>
    <row r="200" spans="1:15">
      <c r="A200" s="231"/>
      <c r="B200" s="231"/>
      <c r="C200" s="231"/>
      <c r="D200" s="232"/>
      <c r="E200" s="232"/>
      <c r="F200" s="231"/>
      <c r="G200" s="232"/>
      <c r="H200" s="232"/>
      <c r="I200" s="231"/>
      <c r="J200" s="233"/>
      <c r="K200" s="231"/>
      <c r="L200" s="231"/>
      <c r="M200" s="231"/>
      <c r="N200" s="231"/>
      <c r="O200" s="231"/>
    </row>
    <row r="201" spans="1:15">
      <c r="A201" s="231"/>
      <c r="B201" s="231"/>
      <c r="C201" s="231"/>
      <c r="D201" s="232"/>
      <c r="E201" s="232"/>
      <c r="F201" s="231"/>
      <c r="G201" s="232"/>
      <c r="H201" s="232"/>
      <c r="I201" s="231"/>
      <c r="J201" s="233"/>
      <c r="K201" s="231"/>
      <c r="L201" s="231"/>
      <c r="M201" s="231"/>
      <c r="N201" s="231"/>
      <c r="O201" s="231"/>
    </row>
    <row r="202" spans="1:15">
      <c r="A202" s="231"/>
      <c r="B202" s="231"/>
      <c r="C202" s="231"/>
      <c r="D202" s="232"/>
      <c r="E202" s="232"/>
      <c r="F202" s="231"/>
      <c r="G202" s="232"/>
      <c r="H202" s="232"/>
      <c r="I202" s="231"/>
      <c r="J202" s="233"/>
      <c r="K202" s="231"/>
      <c r="L202" s="231"/>
      <c r="M202" s="231"/>
      <c r="N202" s="231"/>
      <c r="O202" s="231"/>
    </row>
    <row r="203" spans="1:15">
      <c r="A203" s="231"/>
      <c r="B203" s="231"/>
      <c r="C203" s="231"/>
      <c r="D203" s="232"/>
      <c r="E203" s="232"/>
      <c r="F203" s="231"/>
      <c r="G203" s="232"/>
      <c r="H203" s="232"/>
      <c r="I203" s="231"/>
      <c r="J203" s="233"/>
      <c r="K203" s="231"/>
      <c r="L203" s="231"/>
      <c r="M203" s="231"/>
      <c r="N203" s="231"/>
      <c r="O203" s="231"/>
    </row>
    <row r="204" spans="1:15">
      <c r="A204" s="231"/>
      <c r="B204" s="231"/>
      <c r="C204" s="231"/>
      <c r="D204" s="232"/>
      <c r="E204" s="232"/>
      <c r="F204" s="231"/>
      <c r="G204" s="232"/>
      <c r="H204" s="232"/>
      <c r="I204" s="231"/>
      <c r="J204" s="233"/>
      <c r="K204" s="231"/>
      <c r="L204" s="231"/>
      <c r="M204" s="231"/>
      <c r="N204" s="231"/>
      <c r="O204" s="231"/>
    </row>
    <row r="205" spans="1:15">
      <c r="A205" s="231"/>
      <c r="B205" s="231"/>
      <c r="C205" s="231"/>
      <c r="D205" s="232"/>
      <c r="E205" s="232"/>
      <c r="F205" s="231"/>
      <c r="G205" s="232"/>
      <c r="H205" s="232"/>
      <c r="I205" s="231"/>
      <c r="J205" s="233"/>
      <c r="K205" s="231"/>
      <c r="L205" s="231"/>
      <c r="M205" s="231"/>
      <c r="N205" s="231"/>
      <c r="O205" s="231"/>
    </row>
    <row r="206" spans="1:15">
      <c r="A206" s="231"/>
      <c r="B206" s="231"/>
      <c r="C206" s="231"/>
      <c r="D206" s="232"/>
      <c r="E206" s="232"/>
      <c r="F206" s="231"/>
      <c r="G206" s="232"/>
      <c r="H206" s="232"/>
      <c r="I206" s="231"/>
      <c r="J206" s="233"/>
      <c r="K206" s="231"/>
      <c r="L206" s="231"/>
      <c r="M206" s="231"/>
      <c r="N206" s="231"/>
      <c r="O206" s="231"/>
    </row>
    <row r="207" spans="1:15">
      <c r="A207" s="231"/>
      <c r="B207" s="231"/>
      <c r="C207" s="231"/>
      <c r="D207" s="232"/>
      <c r="E207" s="232"/>
      <c r="F207" s="231"/>
      <c r="G207" s="232"/>
      <c r="H207" s="232"/>
      <c r="I207" s="231"/>
      <c r="J207" s="233"/>
      <c r="K207" s="231"/>
      <c r="L207" s="231"/>
      <c r="M207" s="231"/>
      <c r="N207" s="231"/>
      <c r="O207" s="231"/>
    </row>
    <row r="208" spans="1:15">
      <c r="A208" s="231"/>
      <c r="B208" s="231"/>
      <c r="C208" s="231"/>
      <c r="D208" s="232"/>
      <c r="E208" s="232"/>
      <c r="F208" s="231"/>
      <c r="G208" s="232"/>
      <c r="H208" s="232"/>
      <c r="I208" s="231"/>
      <c r="J208" s="233"/>
      <c r="K208" s="231"/>
      <c r="L208" s="231"/>
      <c r="M208" s="231"/>
      <c r="N208" s="231"/>
      <c r="O208" s="231"/>
    </row>
    <row r="209" spans="1:15">
      <c r="A209" s="231"/>
      <c r="B209" s="231"/>
      <c r="C209" s="231"/>
      <c r="D209" s="232"/>
      <c r="E209" s="232"/>
      <c r="F209" s="231"/>
      <c r="G209" s="232"/>
      <c r="H209" s="232"/>
      <c r="I209" s="231"/>
      <c r="J209" s="233"/>
      <c r="K209" s="231"/>
      <c r="L209" s="231"/>
      <c r="M209" s="231"/>
      <c r="N209" s="231"/>
      <c r="O209" s="231"/>
    </row>
    <row r="210" spans="1:15">
      <c r="A210" s="231"/>
      <c r="B210" s="231"/>
      <c r="C210" s="231"/>
      <c r="D210" s="232"/>
      <c r="E210" s="232"/>
      <c r="F210" s="231"/>
      <c r="G210" s="232"/>
      <c r="H210" s="232"/>
      <c r="I210" s="231"/>
      <c r="J210" s="233"/>
      <c r="K210" s="231"/>
      <c r="L210" s="231"/>
      <c r="M210" s="231"/>
      <c r="N210" s="231"/>
      <c r="O210" s="231"/>
    </row>
    <row r="211" spans="1:15">
      <c r="A211" s="231"/>
      <c r="B211" s="231"/>
      <c r="C211" s="231"/>
      <c r="D211" s="232"/>
      <c r="E211" s="232"/>
      <c r="F211" s="231"/>
      <c r="G211" s="232"/>
      <c r="H211" s="232"/>
      <c r="I211" s="231"/>
      <c r="J211" s="233"/>
      <c r="K211" s="231"/>
      <c r="L211" s="231"/>
      <c r="M211" s="231"/>
      <c r="N211" s="231"/>
      <c r="O211" s="231"/>
    </row>
    <row r="212" spans="1:15">
      <c r="A212" s="231"/>
      <c r="B212" s="231"/>
      <c r="C212" s="231"/>
      <c r="D212" s="232"/>
      <c r="E212" s="232"/>
      <c r="F212" s="231"/>
      <c r="G212" s="232"/>
      <c r="H212" s="232"/>
      <c r="I212" s="231"/>
      <c r="J212" s="233"/>
      <c r="K212" s="231"/>
      <c r="L212" s="231"/>
      <c r="M212" s="231"/>
      <c r="N212" s="231"/>
      <c r="O212" s="231"/>
    </row>
    <row r="213" spans="1:15">
      <c r="A213" s="231"/>
      <c r="B213" s="231"/>
      <c r="C213" s="231"/>
      <c r="D213" s="232"/>
      <c r="E213" s="232"/>
      <c r="F213" s="231"/>
      <c r="G213" s="232"/>
      <c r="H213" s="232"/>
      <c r="I213" s="231"/>
      <c r="J213" s="233"/>
      <c r="K213" s="231"/>
      <c r="L213" s="231"/>
      <c r="M213" s="231"/>
      <c r="N213" s="231"/>
      <c r="O213" s="231"/>
    </row>
    <row r="214" spans="1:15">
      <c r="A214" s="231"/>
      <c r="B214" s="231"/>
      <c r="C214" s="231"/>
      <c r="D214" s="232"/>
      <c r="E214" s="232"/>
      <c r="F214" s="231"/>
      <c r="G214" s="232"/>
      <c r="H214" s="232"/>
      <c r="I214" s="231"/>
      <c r="J214" s="233"/>
      <c r="K214" s="231"/>
      <c r="L214" s="231"/>
      <c r="M214" s="231"/>
      <c r="N214" s="231"/>
      <c r="O214" s="231"/>
    </row>
    <row r="215" spans="1:15">
      <c r="A215" s="231"/>
      <c r="B215" s="231"/>
      <c r="C215" s="231"/>
      <c r="D215" s="232"/>
      <c r="E215" s="232"/>
      <c r="F215" s="231"/>
      <c r="G215" s="232"/>
      <c r="H215" s="232"/>
      <c r="I215" s="231"/>
      <c r="J215" s="233"/>
      <c r="K215" s="231"/>
      <c r="L215" s="231"/>
      <c r="M215" s="231"/>
      <c r="N215" s="231"/>
      <c r="O215" s="231"/>
    </row>
    <row r="216" spans="1:15">
      <c r="A216" s="231"/>
      <c r="B216" s="231"/>
      <c r="C216" s="231"/>
      <c r="D216" s="232"/>
      <c r="E216" s="232"/>
      <c r="F216" s="231"/>
      <c r="G216" s="232"/>
      <c r="H216" s="232"/>
      <c r="I216" s="231"/>
      <c r="J216" s="233"/>
      <c r="K216" s="231"/>
      <c r="L216" s="231"/>
      <c r="M216" s="231"/>
      <c r="N216" s="231"/>
      <c r="O216" s="231"/>
    </row>
    <row r="217" spans="1:15">
      <c r="A217" s="231"/>
      <c r="B217" s="231"/>
      <c r="C217" s="231"/>
      <c r="D217" s="232"/>
      <c r="E217" s="232"/>
      <c r="F217" s="231"/>
      <c r="G217" s="232"/>
      <c r="H217" s="232"/>
      <c r="I217" s="231"/>
      <c r="J217" s="233"/>
      <c r="K217" s="231"/>
      <c r="L217" s="231"/>
      <c r="M217" s="231"/>
      <c r="N217" s="231"/>
      <c r="O217" s="231"/>
    </row>
    <row r="218" spans="1:15">
      <c r="A218" s="231"/>
      <c r="B218" s="231"/>
      <c r="C218" s="231"/>
      <c r="D218" s="232"/>
      <c r="E218" s="232"/>
      <c r="F218" s="231"/>
      <c r="G218" s="232"/>
      <c r="H218" s="232"/>
      <c r="I218" s="231"/>
      <c r="J218" s="233"/>
      <c r="K218" s="231"/>
      <c r="L218" s="231"/>
      <c r="M218" s="231"/>
      <c r="N218" s="231"/>
      <c r="O218" s="231"/>
    </row>
    <row r="219" spans="1:15">
      <c r="A219" s="231"/>
      <c r="B219" s="231"/>
      <c r="C219" s="231"/>
      <c r="D219" s="232"/>
      <c r="E219" s="232"/>
      <c r="F219" s="231"/>
      <c r="G219" s="232"/>
      <c r="H219" s="232"/>
      <c r="I219" s="231"/>
      <c r="J219" s="233"/>
      <c r="K219" s="231"/>
      <c r="L219" s="231"/>
      <c r="M219" s="231"/>
      <c r="N219" s="231"/>
      <c r="O219" s="231"/>
    </row>
    <row r="220" spans="1:15">
      <c r="A220" s="231"/>
      <c r="B220" s="231"/>
      <c r="C220" s="231"/>
      <c r="D220" s="232"/>
      <c r="E220" s="232"/>
      <c r="F220" s="231"/>
      <c r="G220" s="232"/>
      <c r="H220" s="232"/>
      <c r="I220" s="231"/>
      <c r="J220" s="233"/>
      <c r="K220" s="231"/>
      <c r="L220" s="231"/>
      <c r="M220" s="231"/>
      <c r="N220" s="231"/>
      <c r="O220" s="231"/>
    </row>
    <row r="221" spans="1:15">
      <c r="A221" s="231"/>
      <c r="B221" s="231"/>
      <c r="C221" s="231"/>
      <c r="D221" s="232"/>
      <c r="E221" s="232"/>
      <c r="F221" s="231"/>
      <c r="G221" s="232"/>
      <c r="H221" s="232"/>
      <c r="I221" s="231"/>
      <c r="J221" s="233"/>
      <c r="K221" s="231"/>
      <c r="L221" s="231"/>
      <c r="M221" s="231"/>
      <c r="N221" s="231"/>
      <c r="O221" s="231"/>
    </row>
    <row r="222" spans="1:15">
      <c r="A222" s="231"/>
      <c r="B222" s="231"/>
      <c r="C222" s="231"/>
      <c r="D222" s="232"/>
      <c r="E222" s="232"/>
      <c r="F222" s="231"/>
      <c r="G222" s="232"/>
      <c r="H222" s="232"/>
      <c r="I222" s="231"/>
      <c r="J222" s="233"/>
      <c r="K222" s="231"/>
      <c r="L222" s="231"/>
      <c r="M222" s="231"/>
      <c r="N222" s="231"/>
      <c r="O222" s="231"/>
    </row>
    <row r="223" spans="1:15">
      <c r="A223" s="231"/>
      <c r="B223" s="231"/>
      <c r="C223" s="231"/>
      <c r="D223" s="232"/>
      <c r="E223" s="232"/>
      <c r="F223" s="231"/>
      <c r="G223" s="232"/>
      <c r="H223" s="232"/>
      <c r="I223" s="231"/>
      <c r="J223" s="233"/>
      <c r="K223" s="231"/>
      <c r="L223" s="231"/>
      <c r="M223" s="231"/>
      <c r="N223" s="231"/>
      <c r="O223" s="231"/>
    </row>
    <row r="224" spans="1:15">
      <c r="A224" s="231"/>
      <c r="B224" s="231"/>
      <c r="C224" s="231"/>
      <c r="D224" s="232"/>
      <c r="E224" s="232"/>
      <c r="F224" s="231"/>
      <c r="G224" s="232"/>
      <c r="H224" s="232"/>
      <c r="I224" s="231"/>
      <c r="J224" s="233"/>
      <c r="K224" s="231"/>
      <c r="L224" s="231"/>
      <c r="M224" s="231"/>
      <c r="N224" s="231"/>
      <c r="O224" s="231"/>
    </row>
    <row r="225" spans="1:15">
      <c r="A225" s="231"/>
      <c r="B225" s="231"/>
      <c r="C225" s="231"/>
      <c r="D225" s="232"/>
      <c r="E225" s="232"/>
      <c r="F225" s="231"/>
      <c r="G225" s="232"/>
      <c r="H225" s="232"/>
      <c r="I225" s="231"/>
      <c r="J225" s="233"/>
      <c r="K225" s="231"/>
      <c r="L225" s="231"/>
      <c r="M225" s="231"/>
      <c r="N225" s="231"/>
      <c r="O225" s="231"/>
    </row>
    <row r="226" spans="1:15">
      <c r="A226" s="231"/>
      <c r="B226" s="231"/>
      <c r="C226" s="231"/>
      <c r="D226" s="232"/>
      <c r="E226" s="232"/>
      <c r="F226" s="231"/>
      <c r="G226" s="232"/>
      <c r="H226" s="232"/>
      <c r="I226" s="231"/>
      <c r="J226" s="233"/>
      <c r="K226" s="231"/>
      <c r="L226" s="231"/>
      <c r="M226" s="231"/>
      <c r="N226" s="231"/>
      <c r="O226" s="231"/>
    </row>
    <row r="227" spans="1:15">
      <c r="A227" s="231"/>
      <c r="B227" s="231"/>
      <c r="C227" s="231"/>
      <c r="D227" s="232"/>
      <c r="E227" s="232"/>
      <c r="F227" s="231"/>
      <c r="G227" s="232"/>
      <c r="H227" s="232"/>
      <c r="I227" s="231"/>
      <c r="J227" s="233"/>
      <c r="K227" s="231"/>
      <c r="L227" s="231"/>
      <c r="M227" s="231"/>
      <c r="N227" s="231"/>
      <c r="O227" s="231"/>
    </row>
    <row r="228" spans="1:15">
      <c r="A228" s="231"/>
      <c r="B228" s="231"/>
      <c r="C228" s="231"/>
      <c r="D228" s="232"/>
      <c r="E228" s="232"/>
      <c r="F228" s="231"/>
      <c r="G228" s="232"/>
      <c r="H228" s="232"/>
      <c r="I228" s="231"/>
      <c r="J228" s="233"/>
      <c r="K228" s="231"/>
      <c r="L228" s="231"/>
      <c r="M228" s="231"/>
      <c r="N228" s="231"/>
      <c r="O228" s="231"/>
    </row>
    <row r="229" spans="1:15">
      <c r="A229" s="231"/>
      <c r="B229" s="231"/>
      <c r="C229" s="231"/>
      <c r="D229" s="232"/>
      <c r="E229" s="232"/>
      <c r="F229" s="231"/>
      <c r="G229" s="232"/>
      <c r="H229" s="232"/>
      <c r="I229" s="231"/>
      <c r="J229" s="233"/>
      <c r="K229" s="231"/>
      <c r="L229" s="231"/>
      <c r="M229" s="231"/>
      <c r="N229" s="231"/>
      <c r="O229" s="231"/>
    </row>
    <row r="230" spans="1:15">
      <c r="A230" s="231"/>
      <c r="B230" s="231"/>
      <c r="C230" s="231"/>
      <c r="D230" s="232"/>
      <c r="E230" s="232"/>
      <c r="F230" s="231"/>
      <c r="G230" s="232"/>
      <c r="H230" s="232"/>
      <c r="I230" s="231"/>
      <c r="J230" s="233"/>
      <c r="K230" s="231"/>
      <c r="L230" s="231"/>
      <c r="M230" s="231"/>
      <c r="N230" s="231"/>
      <c r="O230" s="231"/>
    </row>
    <row r="231" spans="1:15">
      <c r="A231" s="231"/>
      <c r="B231" s="231"/>
      <c r="C231" s="231"/>
      <c r="D231" s="232"/>
      <c r="E231" s="232"/>
      <c r="F231" s="231"/>
      <c r="G231" s="232"/>
      <c r="H231" s="232"/>
      <c r="I231" s="231"/>
      <c r="J231" s="233"/>
      <c r="K231" s="231"/>
      <c r="L231" s="231"/>
      <c r="M231" s="231"/>
      <c r="N231" s="231"/>
      <c r="O231" s="231"/>
    </row>
    <row r="232" spans="1:15">
      <c r="A232" s="231"/>
      <c r="B232" s="231"/>
      <c r="C232" s="231"/>
      <c r="D232" s="232"/>
      <c r="E232" s="232"/>
      <c r="F232" s="231"/>
      <c r="G232" s="232"/>
      <c r="H232" s="232"/>
      <c r="I232" s="231"/>
      <c r="J232" s="233"/>
      <c r="K232" s="231"/>
      <c r="L232" s="231"/>
      <c r="M232" s="231"/>
      <c r="N232" s="231"/>
      <c r="O232" s="231"/>
    </row>
    <row r="233" spans="1:15">
      <c r="A233" s="231"/>
      <c r="B233" s="231"/>
      <c r="C233" s="231"/>
      <c r="D233" s="232"/>
      <c r="E233" s="232"/>
      <c r="F233" s="231"/>
      <c r="G233" s="232"/>
      <c r="H233" s="232"/>
      <c r="I233" s="231"/>
      <c r="J233" s="233"/>
      <c r="K233" s="231"/>
      <c r="L233" s="231"/>
      <c r="M233" s="231"/>
      <c r="N233" s="231"/>
      <c r="O233" s="231"/>
    </row>
    <row r="234" spans="1:15">
      <c r="A234" s="231"/>
      <c r="B234" s="231"/>
      <c r="C234" s="231"/>
      <c r="D234" s="232"/>
      <c r="E234" s="232"/>
      <c r="F234" s="231"/>
      <c r="G234" s="232"/>
      <c r="H234" s="232"/>
      <c r="I234" s="231"/>
      <c r="J234" s="233"/>
      <c r="K234" s="231"/>
      <c r="L234" s="231"/>
      <c r="M234" s="231"/>
      <c r="N234" s="231"/>
      <c r="O234" s="231"/>
    </row>
    <row r="235" spans="1:15">
      <c r="A235" s="231"/>
      <c r="B235" s="231"/>
      <c r="C235" s="231"/>
      <c r="D235" s="232"/>
      <c r="E235" s="232"/>
      <c r="F235" s="231"/>
      <c r="G235" s="232"/>
      <c r="H235" s="232"/>
      <c r="I235" s="231"/>
      <c r="J235" s="233"/>
      <c r="K235" s="231"/>
      <c r="L235" s="231"/>
      <c r="M235" s="231"/>
      <c r="N235" s="231"/>
      <c r="O235" s="231"/>
    </row>
    <row r="236" spans="1:15">
      <c r="A236" s="231"/>
      <c r="B236" s="231"/>
      <c r="C236" s="231"/>
      <c r="D236" s="232"/>
      <c r="E236" s="232"/>
      <c r="F236" s="231"/>
      <c r="G236" s="232"/>
      <c r="H236" s="232"/>
      <c r="I236" s="231"/>
      <c r="J236" s="233"/>
      <c r="K236" s="231"/>
      <c r="L236" s="231"/>
      <c r="M236" s="231"/>
      <c r="N236" s="231"/>
      <c r="O236" s="231"/>
    </row>
    <row r="237" spans="1:15">
      <c r="A237" s="231"/>
      <c r="B237" s="231"/>
      <c r="C237" s="231"/>
      <c r="D237" s="232"/>
      <c r="E237" s="232"/>
      <c r="F237" s="231"/>
      <c r="G237" s="232"/>
      <c r="H237" s="232"/>
      <c r="I237" s="231"/>
      <c r="J237" s="233"/>
      <c r="K237" s="231"/>
      <c r="L237" s="231"/>
      <c r="M237" s="231"/>
      <c r="N237" s="231"/>
      <c r="O237" s="231"/>
    </row>
    <row r="238" spans="1:15">
      <c r="A238" s="231"/>
      <c r="B238" s="231"/>
      <c r="C238" s="231"/>
      <c r="D238" s="232"/>
      <c r="E238" s="232"/>
      <c r="F238" s="231"/>
      <c r="G238" s="232"/>
      <c r="H238" s="232"/>
      <c r="I238" s="231"/>
      <c r="J238" s="233"/>
      <c r="K238" s="231"/>
      <c r="L238" s="231"/>
      <c r="M238" s="231"/>
      <c r="N238" s="231"/>
      <c r="O238" s="231"/>
    </row>
    <row r="239" spans="1:15">
      <c r="A239" s="231"/>
      <c r="B239" s="231"/>
      <c r="C239" s="231"/>
      <c r="D239" s="232"/>
      <c r="E239" s="232"/>
      <c r="F239" s="231"/>
      <c r="G239" s="232"/>
      <c r="H239" s="232"/>
      <c r="I239" s="231"/>
      <c r="J239" s="233"/>
      <c r="K239" s="231"/>
      <c r="L239" s="231"/>
      <c r="M239" s="231"/>
      <c r="N239" s="231"/>
      <c r="O239" s="231"/>
    </row>
    <row r="240" spans="1:15">
      <c r="A240" s="231"/>
      <c r="B240" s="231"/>
      <c r="C240" s="231"/>
      <c r="D240" s="232"/>
      <c r="E240" s="232"/>
      <c r="F240" s="231"/>
      <c r="G240" s="232"/>
      <c r="H240" s="232"/>
      <c r="I240" s="231"/>
      <c r="J240" s="233"/>
      <c r="K240" s="231"/>
      <c r="L240" s="231"/>
      <c r="M240" s="231"/>
      <c r="N240" s="231"/>
      <c r="O240" s="231"/>
    </row>
    <row r="241" spans="1:15">
      <c r="A241" s="231"/>
      <c r="B241" s="231"/>
      <c r="C241" s="231"/>
      <c r="D241" s="232"/>
      <c r="E241" s="232"/>
      <c r="F241" s="231"/>
      <c r="G241" s="232"/>
      <c r="H241" s="232"/>
      <c r="I241" s="231"/>
      <c r="J241" s="233"/>
      <c r="K241" s="231"/>
      <c r="L241" s="231"/>
      <c r="M241" s="231"/>
      <c r="N241" s="231"/>
      <c r="O241" s="231"/>
    </row>
    <row r="242" spans="1:15">
      <c r="A242" s="231"/>
      <c r="B242" s="231"/>
      <c r="C242" s="231"/>
      <c r="D242" s="232"/>
      <c r="E242" s="232"/>
      <c r="F242" s="231"/>
      <c r="G242" s="232"/>
      <c r="H242" s="232"/>
      <c r="I242" s="231"/>
      <c r="J242" s="233"/>
      <c r="K242" s="231"/>
      <c r="L242" s="231"/>
      <c r="M242" s="231"/>
      <c r="N242" s="231"/>
      <c r="O242" s="231"/>
    </row>
    <row r="243" spans="1:15">
      <c r="A243" s="231"/>
      <c r="B243" s="231"/>
      <c r="C243" s="231"/>
      <c r="D243" s="232"/>
      <c r="E243" s="232"/>
      <c r="F243" s="231"/>
      <c r="G243" s="232"/>
      <c r="H243" s="232"/>
      <c r="I243" s="231"/>
      <c r="J243" s="233"/>
      <c r="K243" s="231"/>
      <c r="L243" s="231"/>
      <c r="M243" s="231"/>
      <c r="N243" s="231"/>
      <c r="O243" s="231"/>
    </row>
    <row r="244" spans="1:15">
      <c r="A244" s="231"/>
      <c r="B244" s="231"/>
      <c r="C244" s="231"/>
      <c r="D244" s="232"/>
      <c r="E244" s="232"/>
      <c r="F244" s="231"/>
      <c r="G244" s="232"/>
      <c r="H244" s="232"/>
      <c r="I244" s="231"/>
      <c r="J244" s="233"/>
      <c r="K244" s="231"/>
      <c r="L244" s="231"/>
      <c r="M244" s="231"/>
      <c r="N244" s="231"/>
      <c r="O244" s="231"/>
    </row>
    <row r="245" spans="1:15">
      <c r="A245" s="231"/>
      <c r="B245" s="231"/>
      <c r="C245" s="231"/>
      <c r="D245" s="232"/>
      <c r="E245" s="232"/>
      <c r="F245" s="231"/>
      <c r="G245" s="232"/>
      <c r="H245" s="232"/>
      <c r="I245" s="231"/>
      <c r="J245" s="233"/>
      <c r="K245" s="231"/>
      <c r="L245" s="231"/>
      <c r="M245" s="231"/>
      <c r="N245" s="231"/>
      <c r="O245" s="231"/>
    </row>
    <row r="246" spans="1:15">
      <c r="A246" s="231"/>
      <c r="B246" s="231"/>
      <c r="C246" s="231"/>
      <c r="D246" s="232"/>
      <c r="E246" s="232"/>
      <c r="F246" s="231"/>
      <c r="G246" s="232"/>
      <c r="H246" s="232"/>
      <c r="I246" s="231"/>
      <c r="J246" s="233"/>
      <c r="K246" s="231"/>
      <c r="L246" s="231"/>
      <c r="M246" s="231"/>
      <c r="N246" s="231"/>
      <c r="O246" s="231"/>
    </row>
    <row r="247" spans="1:15">
      <c r="A247" s="231"/>
      <c r="B247" s="231"/>
      <c r="C247" s="231"/>
      <c r="D247" s="232"/>
      <c r="E247" s="232"/>
      <c r="F247" s="231"/>
      <c r="G247" s="232"/>
      <c r="H247" s="232"/>
      <c r="I247" s="231"/>
      <c r="J247" s="233"/>
      <c r="K247" s="231"/>
      <c r="L247" s="231"/>
      <c r="M247" s="231"/>
      <c r="N247" s="231"/>
      <c r="O247" s="231"/>
    </row>
    <row r="248" spans="1:15">
      <c r="A248" s="231"/>
      <c r="B248" s="231"/>
      <c r="C248" s="231"/>
      <c r="D248" s="232"/>
      <c r="E248" s="232"/>
      <c r="F248" s="231"/>
      <c r="G248" s="232"/>
      <c r="H248" s="232"/>
      <c r="I248" s="231"/>
      <c r="J248" s="233"/>
      <c r="K248" s="231"/>
      <c r="L248" s="231"/>
      <c r="M248" s="231"/>
      <c r="N248" s="231"/>
      <c r="O248" s="231"/>
    </row>
    <row r="249" spans="1:15">
      <c r="A249" s="231"/>
      <c r="B249" s="231"/>
      <c r="C249" s="231"/>
      <c r="D249" s="232"/>
      <c r="E249" s="232"/>
      <c r="F249" s="231"/>
      <c r="G249" s="232"/>
      <c r="H249" s="232"/>
      <c r="I249" s="231"/>
      <c r="J249" s="233"/>
      <c r="K249" s="231"/>
      <c r="L249" s="231"/>
      <c r="M249" s="231"/>
      <c r="N249" s="231"/>
      <c r="O249" s="231"/>
    </row>
    <row r="250" spans="1:15">
      <c r="A250" s="231"/>
      <c r="B250" s="231"/>
      <c r="C250" s="231"/>
      <c r="D250" s="232"/>
      <c r="E250" s="232"/>
      <c r="F250" s="231"/>
      <c r="G250" s="232"/>
      <c r="H250" s="232"/>
      <c r="I250" s="231"/>
      <c r="J250" s="233"/>
      <c r="K250" s="231"/>
      <c r="L250" s="231"/>
      <c r="M250" s="231"/>
      <c r="N250" s="231"/>
      <c r="O250" s="231"/>
    </row>
    <row r="251" spans="1:15">
      <c r="A251" s="231"/>
      <c r="B251" s="231"/>
      <c r="C251" s="231"/>
      <c r="D251" s="232"/>
      <c r="E251" s="232"/>
      <c r="F251" s="231"/>
      <c r="G251" s="232"/>
      <c r="H251" s="232"/>
      <c r="I251" s="231"/>
      <c r="J251" s="233"/>
      <c r="K251" s="231"/>
      <c r="L251" s="231"/>
      <c r="M251" s="231"/>
      <c r="N251" s="231"/>
      <c r="O251" s="231"/>
    </row>
    <row r="252" spans="1:15">
      <c r="B252" s="227"/>
      <c r="C252" s="227"/>
      <c r="D252" s="228"/>
      <c r="E252" s="228"/>
      <c r="F252" s="228"/>
      <c r="G252" s="228"/>
      <c r="H252" s="228"/>
      <c r="I252" s="234"/>
      <c r="J252" s="229"/>
      <c r="K252" s="230"/>
      <c r="L252" s="230"/>
      <c r="M252" s="227"/>
      <c r="N252" s="227"/>
      <c r="O252" s="227"/>
    </row>
    <row r="253" spans="1:15">
      <c r="B253" s="227"/>
      <c r="C253" s="227"/>
      <c r="D253" s="228"/>
      <c r="E253" s="228"/>
      <c r="F253" s="228"/>
      <c r="G253" s="228"/>
      <c r="H253" s="228"/>
      <c r="I253" s="234"/>
      <c r="J253" s="229"/>
      <c r="K253" s="230"/>
      <c r="L253" s="230"/>
      <c r="M253" s="227"/>
      <c r="N253" s="227"/>
      <c r="O253" s="227"/>
    </row>
    <row r="254" spans="1:15">
      <c r="B254" s="227"/>
      <c r="C254" s="227"/>
      <c r="D254" s="228"/>
      <c r="E254" s="228"/>
      <c r="F254" s="228"/>
      <c r="G254" s="228"/>
      <c r="H254" s="228"/>
      <c r="I254" s="234"/>
      <c r="J254" s="229"/>
      <c r="K254" s="230"/>
      <c r="L254" s="230"/>
      <c r="M254" s="227"/>
      <c r="N254" s="227"/>
      <c r="O254" s="227"/>
    </row>
    <row r="255" spans="1:15">
      <c r="B255" s="227"/>
      <c r="C255" s="227"/>
      <c r="D255" s="228"/>
      <c r="E255" s="228"/>
      <c r="F255" s="228"/>
      <c r="G255" s="228"/>
      <c r="H255" s="228"/>
      <c r="I255" s="234"/>
      <c r="J255" s="229"/>
      <c r="K255" s="230"/>
      <c r="L255" s="230"/>
      <c r="M255" s="227"/>
      <c r="N255" s="227"/>
      <c r="O255" s="227"/>
    </row>
    <row r="256" spans="1:15">
      <c r="B256" s="227"/>
      <c r="C256" s="227"/>
      <c r="D256" s="228"/>
      <c r="E256" s="228"/>
      <c r="F256" s="228"/>
      <c r="G256" s="228"/>
      <c r="H256" s="228"/>
      <c r="I256" s="234"/>
      <c r="J256" s="229"/>
      <c r="K256" s="230"/>
      <c r="L256" s="230"/>
      <c r="M256" s="227"/>
      <c r="N256" s="227"/>
      <c r="O256" s="227"/>
    </row>
    <row r="257" spans="2:15">
      <c r="B257" s="227"/>
      <c r="C257" s="227"/>
      <c r="D257" s="228"/>
      <c r="E257" s="228"/>
      <c r="F257" s="228"/>
      <c r="G257" s="228"/>
      <c r="H257" s="228"/>
      <c r="I257" s="234"/>
      <c r="J257" s="229"/>
      <c r="K257" s="230"/>
      <c r="L257" s="230"/>
      <c r="M257" s="227"/>
      <c r="N257" s="227"/>
      <c r="O257" s="227"/>
    </row>
    <row r="258" spans="2:15">
      <c r="B258" s="227"/>
      <c r="C258" s="227"/>
      <c r="D258" s="228"/>
      <c r="E258" s="228"/>
      <c r="F258" s="228"/>
      <c r="G258" s="228"/>
      <c r="H258" s="228"/>
      <c r="I258" s="234"/>
      <c r="J258" s="229"/>
      <c r="K258" s="230"/>
      <c r="L258" s="230"/>
      <c r="M258" s="227"/>
      <c r="N258" s="227"/>
      <c r="O258" s="227"/>
    </row>
    <row r="259" spans="2:15">
      <c r="B259" s="227"/>
      <c r="C259" s="227"/>
      <c r="D259" s="228"/>
      <c r="E259" s="228"/>
      <c r="F259" s="228"/>
      <c r="G259" s="228"/>
      <c r="H259" s="228"/>
      <c r="I259" s="234"/>
      <c r="J259" s="229"/>
      <c r="K259" s="230"/>
      <c r="L259" s="230"/>
      <c r="M259" s="227"/>
      <c r="N259" s="227"/>
      <c r="O259" s="227"/>
    </row>
    <row r="260" spans="2:15">
      <c r="B260" s="227"/>
      <c r="C260" s="227"/>
      <c r="D260" s="228"/>
      <c r="E260" s="228"/>
      <c r="F260" s="228"/>
      <c r="G260" s="228"/>
      <c r="H260" s="228"/>
      <c r="I260" s="234"/>
      <c r="J260" s="229"/>
      <c r="K260" s="230"/>
      <c r="L260" s="230"/>
      <c r="M260" s="227"/>
      <c r="N260" s="227"/>
      <c r="O260" s="227"/>
    </row>
    <row r="261" spans="2:15">
      <c r="B261" s="227"/>
      <c r="C261" s="227"/>
      <c r="D261" s="228"/>
      <c r="E261" s="228"/>
      <c r="F261" s="228"/>
      <c r="G261" s="228"/>
      <c r="H261" s="228"/>
      <c r="I261" s="234"/>
      <c r="J261" s="229"/>
      <c r="K261" s="230"/>
      <c r="L261" s="230"/>
      <c r="M261" s="227"/>
      <c r="N261" s="227"/>
      <c r="O261" s="227"/>
    </row>
    <row r="262" spans="2:15">
      <c r="B262" s="227"/>
      <c r="C262" s="227"/>
      <c r="D262" s="228"/>
      <c r="E262" s="228"/>
      <c r="F262" s="228"/>
      <c r="G262" s="228"/>
      <c r="H262" s="228"/>
      <c r="I262" s="234"/>
      <c r="J262" s="229"/>
      <c r="K262" s="230"/>
      <c r="L262" s="230"/>
      <c r="M262" s="227"/>
      <c r="N262" s="227"/>
      <c r="O262" s="227"/>
    </row>
    <row r="263" spans="2:15">
      <c r="B263" s="227"/>
      <c r="C263" s="227"/>
      <c r="D263" s="228"/>
      <c r="E263" s="228"/>
      <c r="F263" s="228"/>
      <c r="G263" s="228"/>
      <c r="H263" s="228"/>
      <c r="I263" s="234"/>
      <c r="J263" s="229"/>
      <c r="K263" s="230"/>
      <c r="L263" s="230"/>
      <c r="M263" s="227"/>
      <c r="N263" s="227"/>
      <c r="O263" s="227"/>
    </row>
    <row r="264" spans="2:15">
      <c r="B264" s="227"/>
      <c r="C264" s="227"/>
      <c r="D264" s="228"/>
      <c r="E264" s="228"/>
      <c r="F264" s="228"/>
      <c r="G264" s="228"/>
      <c r="H264" s="228"/>
      <c r="I264" s="234"/>
      <c r="J264" s="229"/>
      <c r="K264" s="230"/>
      <c r="L264" s="230"/>
      <c r="M264" s="227"/>
      <c r="N264" s="227"/>
      <c r="O264" s="227"/>
    </row>
    <row r="265" spans="2:15">
      <c r="B265" s="227"/>
      <c r="C265" s="227"/>
      <c r="D265" s="228"/>
      <c r="E265" s="228"/>
      <c r="F265" s="228"/>
      <c r="G265" s="228"/>
      <c r="H265" s="228"/>
      <c r="I265" s="234"/>
      <c r="J265" s="229"/>
      <c r="K265" s="230"/>
      <c r="L265" s="230"/>
      <c r="M265" s="227"/>
      <c r="N265" s="227"/>
      <c r="O265" s="227"/>
    </row>
    <row r="266" spans="2:15">
      <c r="B266" s="227"/>
      <c r="C266" s="227"/>
      <c r="D266" s="228"/>
      <c r="E266" s="228"/>
      <c r="F266" s="228"/>
      <c r="G266" s="228"/>
      <c r="H266" s="228"/>
      <c r="I266" s="234"/>
      <c r="J266" s="229"/>
      <c r="K266" s="230"/>
      <c r="L266" s="230"/>
      <c r="M266" s="227"/>
      <c r="N266" s="227"/>
      <c r="O266" s="227"/>
    </row>
    <row r="267" spans="2:15">
      <c r="B267" s="227"/>
      <c r="C267" s="227"/>
      <c r="D267" s="228"/>
      <c r="E267" s="228"/>
      <c r="F267" s="228"/>
      <c r="G267" s="228"/>
      <c r="H267" s="228"/>
      <c r="I267" s="234"/>
      <c r="J267" s="229"/>
      <c r="K267" s="230"/>
      <c r="L267" s="230"/>
      <c r="M267" s="227"/>
      <c r="N267" s="227"/>
      <c r="O267" s="227"/>
    </row>
    <row r="268" spans="2:15">
      <c r="B268" s="227"/>
      <c r="C268" s="227"/>
      <c r="D268" s="228"/>
      <c r="E268" s="228"/>
      <c r="F268" s="228"/>
      <c r="G268" s="228"/>
      <c r="H268" s="228"/>
      <c r="I268" s="234"/>
      <c r="J268" s="229"/>
      <c r="K268" s="230"/>
      <c r="L268" s="230"/>
      <c r="M268" s="227"/>
      <c r="N268" s="227"/>
      <c r="O268" s="227"/>
    </row>
    <row r="269" spans="2:15">
      <c r="B269" s="227"/>
      <c r="C269" s="227"/>
      <c r="D269" s="228"/>
      <c r="E269" s="228"/>
      <c r="F269" s="228"/>
      <c r="G269" s="228"/>
      <c r="H269" s="228"/>
      <c r="I269" s="234"/>
      <c r="J269" s="229"/>
      <c r="K269" s="230"/>
      <c r="L269" s="230"/>
      <c r="M269" s="227"/>
      <c r="N269" s="227"/>
      <c r="O269" s="227"/>
    </row>
    <row r="270" spans="2:15">
      <c r="B270" s="227"/>
      <c r="C270" s="227"/>
      <c r="D270" s="228"/>
      <c r="E270" s="228"/>
      <c r="F270" s="228"/>
      <c r="G270" s="228"/>
      <c r="H270" s="228"/>
      <c r="I270" s="234"/>
      <c r="J270" s="229"/>
      <c r="K270" s="230"/>
      <c r="L270" s="230"/>
      <c r="M270" s="227"/>
      <c r="N270" s="227"/>
      <c r="O270" s="227"/>
    </row>
    <row r="271" spans="2:15">
      <c r="B271" s="227"/>
      <c r="C271" s="227"/>
      <c r="D271" s="228"/>
      <c r="E271" s="228"/>
      <c r="F271" s="228"/>
      <c r="G271" s="228"/>
      <c r="H271" s="228"/>
      <c r="I271" s="234"/>
      <c r="J271" s="229"/>
      <c r="K271" s="230"/>
      <c r="L271" s="230"/>
      <c r="M271" s="227"/>
      <c r="N271" s="227"/>
      <c r="O271" s="227"/>
    </row>
    <row r="272" spans="2:15">
      <c r="B272" s="227"/>
      <c r="C272" s="227"/>
      <c r="D272" s="228"/>
      <c r="E272" s="228"/>
      <c r="F272" s="228"/>
      <c r="G272" s="228"/>
      <c r="H272" s="228"/>
      <c r="I272" s="234"/>
      <c r="J272" s="229"/>
      <c r="K272" s="230"/>
      <c r="L272" s="230"/>
      <c r="M272" s="227"/>
      <c r="N272" s="227"/>
      <c r="O272" s="227"/>
    </row>
    <row r="273" spans="2:15">
      <c r="B273" s="227"/>
      <c r="C273" s="227"/>
      <c r="D273" s="228"/>
      <c r="E273" s="228"/>
      <c r="F273" s="228"/>
      <c r="G273" s="228"/>
      <c r="H273" s="228"/>
      <c r="I273" s="234"/>
      <c r="J273" s="229"/>
      <c r="K273" s="230"/>
      <c r="L273" s="230"/>
      <c r="M273" s="227"/>
      <c r="N273" s="227"/>
      <c r="O273" s="227"/>
    </row>
    <row r="274" spans="2:15">
      <c r="B274" s="227"/>
      <c r="C274" s="227"/>
      <c r="D274" s="228"/>
      <c r="E274" s="228"/>
      <c r="F274" s="228"/>
      <c r="G274" s="228"/>
      <c r="H274" s="228"/>
      <c r="I274" s="234"/>
      <c r="J274" s="229"/>
      <c r="K274" s="230"/>
      <c r="L274" s="230"/>
      <c r="M274" s="227"/>
      <c r="N274" s="227"/>
      <c r="O274" s="227"/>
    </row>
    <row r="275" spans="2:15">
      <c r="B275" s="227"/>
      <c r="C275" s="227"/>
      <c r="D275" s="228"/>
      <c r="E275" s="228"/>
      <c r="F275" s="228"/>
      <c r="G275" s="228"/>
      <c r="H275" s="228"/>
      <c r="I275" s="234"/>
      <c r="J275" s="229"/>
      <c r="K275" s="230"/>
      <c r="L275" s="230"/>
      <c r="M275" s="227"/>
      <c r="N275" s="227"/>
      <c r="O275" s="227"/>
    </row>
    <row r="276" spans="2:15">
      <c r="B276" s="227"/>
      <c r="C276" s="227"/>
      <c r="D276" s="228"/>
      <c r="E276" s="228"/>
      <c r="F276" s="228"/>
      <c r="G276" s="228"/>
      <c r="H276" s="228"/>
      <c r="I276" s="234"/>
      <c r="J276" s="229"/>
      <c r="K276" s="230"/>
      <c r="L276" s="230"/>
      <c r="M276" s="227"/>
      <c r="N276" s="227"/>
      <c r="O276" s="227"/>
    </row>
    <row r="277" spans="2:15">
      <c r="B277" s="227"/>
      <c r="C277" s="227"/>
      <c r="D277" s="228"/>
      <c r="E277" s="228"/>
      <c r="F277" s="228"/>
      <c r="G277" s="228"/>
      <c r="H277" s="228"/>
      <c r="I277" s="234"/>
      <c r="J277" s="229"/>
      <c r="K277" s="230"/>
      <c r="L277" s="230"/>
      <c r="M277" s="227"/>
      <c r="N277" s="227"/>
      <c r="O277" s="227"/>
    </row>
    <row r="278" spans="2:15">
      <c r="B278" s="227"/>
      <c r="C278" s="227"/>
      <c r="D278" s="228"/>
      <c r="E278" s="228"/>
      <c r="F278" s="228"/>
      <c r="G278" s="228"/>
      <c r="H278" s="228"/>
      <c r="I278" s="234"/>
      <c r="J278" s="229"/>
      <c r="K278" s="230"/>
      <c r="L278" s="230"/>
      <c r="M278" s="227"/>
      <c r="N278" s="227"/>
      <c r="O278" s="227"/>
    </row>
    <row r="279" spans="2:15">
      <c r="B279" s="227"/>
      <c r="C279" s="227"/>
      <c r="D279" s="228"/>
      <c r="E279" s="228"/>
      <c r="F279" s="228"/>
      <c r="G279" s="228"/>
      <c r="H279" s="228"/>
      <c r="I279" s="234"/>
      <c r="J279" s="229"/>
      <c r="K279" s="230"/>
      <c r="L279" s="230"/>
      <c r="M279" s="227"/>
      <c r="N279" s="227"/>
      <c r="O279" s="227"/>
    </row>
    <row r="280" spans="2:15">
      <c r="B280" s="227"/>
      <c r="C280" s="227"/>
      <c r="D280" s="228"/>
      <c r="E280" s="228"/>
      <c r="F280" s="228"/>
      <c r="G280" s="228"/>
      <c r="H280" s="228"/>
      <c r="I280" s="234"/>
      <c r="J280" s="229"/>
      <c r="K280" s="230"/>
      <c r="L280" s="230"/>
      <c r="M280" s="227"/>
      <c r="N280" s="227"/>
      <c r="O280" s="227"/>
    </row>
    <row r="281" spans="2:15">
      <c r="B281" s="227"/>
      <c r="C281" s="227"/>
      <c r="D281" s="228"/>
      <c r="E281" s="228"/>
      <c r="F281" s="228"/>
      <c r="G281" s="228"/>
      <c r="H281" s="228"/>
      <c r="I281" s="234"/>
      <c r="J281" s="229"/>
      <c r="K281" s="230"/>
      <c r="L281" s="230"/>
      <c r="M281" s="227"/>
      <c r="N281" s="227"/>
      <c r="O281" s="227"/>
    </row>
    <row r="282" spans="2:15">
      <c r="B282" s="227"/>
      <c r="C282" s="227"/>
      <c r="D282" s="228"/>
      <c r="E282" s="228"/>
      <c r="F282" s="228"/>
      <c r="G282" s="228"/>
      <c r="H282" s="228"/>
      <c r="I282" s="234"/>
      <c r="J282" s="229"/>
      <c r="K282" s="230"/>
      <c r="L282" s="230"/>
      <c r="M282" s="227"/>
      <c r="N282" s="227"/>
      <c r="O282" s="227"/>
    </row>
    <row r="283" spans="2:15">
      <c r="B283" s="227"/>
      <c r="C283" s="227"/>
      <c r="D283" s="228"/>
      <c r="E283" s="228"/>
      <c r="F283" s="228"/>
      <c r="G283" s="228"/>
      <c r="H283" s="228"/>
      <c r="I283" s="234"/>
      <c r="J283" s="229"/>
      <c r="K283" s="230"/>
      <c r="L283" s="230"/>
      <c r="M283" s="227"/>
      <c r="N283" s="227"/>
      <c r="O283" s="227"/>
    </row>
    <row r="284" spans="2:15">
      <c r="B284" s="227"/>
      <c r="C284" s="227"/>
      <c r="D284" s="228"/>
      <c r="E284" s="228"/>
      <c r="F284" s="228"/>
      <c r="G284" s="228"/>
      <c r="H284" s="228"/>
      <c r="I284" s="234"/>
      <c r="J284" s="229"/>
      <c r="K284" s="230"/>
      <c r="L284" s="230"/>
      <c r="M284" s="227"/>
      <c r="N284" s="227"/>
      <c r="O284" s="227"/>
    </row>
    <row r="285" spans="2:15">
      <c r="B285" s="227"/>
      <c r="C285" s="227"/>
      <c r="D285" s="228"/>
      <c r="E285" s="228"/>
      <c r="F285" s="228"/>
      <c r="G285" s="228"/>
      <c r="H285" s="228"/>
      <c r="I285" s="234"/>
      <c r="J285" s="229"/>
      <c r="K285" s="230"/>
      <c r="L285" s="230"/>
      <c r="M285" s="227"/>
      <c r="N285" s="227"/>
      <c r="O285" s="227"/>
    </row>
    <row r="286" spans="2:15">
      <c r="B286" s="227"/>
      <c r="C286" s="227"/>
      <c r="D286" s="228"/>
      <c r="E286" s="228"/>
      <c r="F286" s="228"/>
      <c r="G286" s="228"/>
      <c r="H286" s="228"/>
      <c r="I286" s="234"/>
      <c r="J286" s="229"/>
      <c r="K286" s="230"/>
      <c r="L286" s="230"/>
      <c r="M286" s="227"/>
      <c r="N286" s="227"/>
      <c r="O286" s="227"/>
    </row>
    <row r="287" spans="2:15">
      <c r="B287" s="227"/>
      <c r="C287" s="227"/>
      <c r="D287" s="228"/>
      <c r="E287" s="228"/>
      <c r="F287" s="228"/>
      <c r="G287" s="228"/>
      <c r="H287" s="228"/>
      <c r="I287" s="234"/>
      <c r="J287" s="229"/>
      <c r="K287" s="230"/>
      <c r="L287" s="230"/>
      <c r="M287" s="227"/>
      <c r="N287" s="227"/>
      <c r="O287" s="227"/>
    </row>
    <row r="288" spans="2:15">
      <c r="B288" s="227"/>
      <c r="C288" s="227"/>
      <c r="D288" s="228"/>
      <c r="E288" s="228"/>
      <c r="F288" s="228"/>
      <c r="G288" s="228"/>
      <c r="H288" s="228"/>
      <c r="I288" s="234"/>
      <c r="J288" s="229"/>
      <c r="K288" s="230"/>
      <c r="L288" s="230"/>
      <c r="M288" s="227"/>
      <c r="N288" s="227"/>
      <c r="O288" s="227"/>
    </row>
    <row r="289" spans="2:15">
      <c r="B289" s="227"/>
      <c r="C289" s="227"/>
      <c r="D289" s="228"/>
      <c r="E289" s="228"/>
      <c r="F289" s="228"/>
      <c r="G289" s="228"/>
      <c r="H289" s="228"/>
      <c r="I289" s="234"/>
      <c r="J289" s="229"/>
      <c r="K289" s="230"/>
      <c r="L289" s="230"/>
      <c r="M289" s="227"/>
      <c r="N289" s="227"/>
      <c r="O289" s="227"/>
    </row>
    <row r="290" spans="2:15">
      <c r="B290" s="227"/>
      <c r="C290" s="227"/>
      <c r="D290" s="228"/>
      <c r="E290" s="228"/>
      <c r="F290" s="228"/>
      <c r="G290" s="228"/>
      <c r="H290" s="228"/>
      <c r="I290" s="234"/>
      <c r="J290" s="229"/>
      <c r="K290" s="230"/>
      <c r="L290" s="230"/>
      <c r="M290" s="227"/>
      <c r="N290" s="227"/>
      <c r="O290" s="227"/>
    </row>
    <row r="291" spans="2:15">
      <c r="B291" s="227"/>
      <c r="C291" s="227"/>
      <c r="D291" s="228"/>
      <c r="E291" s="228"/>
      <c r="F291" s="228"/>
      <c r="G291" s="228"/>
      <c r="H291" s="228"/>
      <c r="I291" s="234"/>
      <c r="J291" s="229"/>
      <c r="K291" s="230"/>
      <c r="L291" s="230"/>
      <c r="M291" s="227"/>
      <c r="N291" s="227"/>
      <c r="O291" s="227"/>
    </row>
    <row r="292" spans="2:15">
      <c r="B292" s="227"/>
      <c r="C292" s="227"/>
      <c r="D292" s="228"/>
      <c r="E292" s="228"/>
      <c r="F292" s="228"/>
      <c r="G292" s="228"/>
      <c r="H292" s="228"/>
      <c r="I292" s="234"/>
      <c r="J292" s="229"/>
      <c r="K292" s="230"/>
      <c r="L292" s="230"/>
      <c r="M292" s="227"/>
      <c r="N292" s="227"/>
      <c r="O292" s="227"/>
    </row>
    <row r="293" spans="2:15">
      <c r="B293" s="227"/>
      <c r="C293" s="227"/>
      <c r="D293" s="228"/>
      <c r="E293" s="228"/>
      <c r="F293" s="228"/>
      <c r="G293" s="228"/>
      <c r="H293" s="228"/>
      <c r="I293" s="234"/>
      <c r="J293" s="229"/>
      <c r="K293" s="230"/>
      <c r="L293" s="230"/>
      <c r="M293" s="227"/>
      <c r="N293" s="227"/>
      <c r="O293" s="227"/>
    </row>
    <row r="294" spans="2:15">
      <c r="B294" s="227"/>
      <c r="C294" s="227"/>
      <c r="D294" s="228"/>
      <c r="E294" s="228"/>
      <c r="F294" s="228"/>
      <c r="G294" s="228"/>
      <c r="H294" s="228"/>
      <c r="I294" s="234"/>
      <c r="J294" s="229"/>
      <c r="K294" s="230"/>
      <c r="L294" s="230"/>
      <c r="M294" s="227"/>
      <c r="N294" s="227"/>
      <c r="O294" s="227"/>
    </row>
    <row r="295" spans="2:15">
      <c r="B295" s="227"/>
      <c r="C295" s="227"/>
      <c r="D295" s="228"/>
      <c r="E295" s="228"/>
      <c r="F295" s="228"/>
      <c r="G295" s="228"/>
      <c r="H295" s="228"/>
      <c r="I295" s="234"/>
      <c r="J295" s="229"/>
      <c r="K295" s="230"/>
      <c r="L295" s="230"/>
      <c r="M295" s="227"/>
      <c r="N295" s="227"/>
      <c r="O295" s="227"/>
    </row>
    <row r="296" spans="2:15">
      <c r="B296" s="227"/>
      <c r="C296" s="227"/>
      <c r="D296" s="228"/>
      <c r="E296" s="228"/>
      <c r="F296" s="228"/>
      <c r="G296" s="228"/>
      <c r="H296" s="228"/>
      <c r="I296" s="234"/>
      <c r="J296" s="229"/>
      <c r="K296" s="230"/>
      <c r="L296" s="230"/>
      <c r="M296" s="227"/>
      <c r="N296" s="227"/>
      <c r="O296" s="227"/>
    </row>
    <row r="297" spans="2:15">
      <c r="B297" s="227"/>
      <c r="C297" s="227"/>
      <c r="D297" s="228"/>
      <c r="E297" s="228"/>
      <c r="F297" s="228"/>
      <c r="G297" s="228"/>
      <c r="H297" s="228"/>
      <c r="I297" s="234"/>
      <c r="J297" s="229"/>
      <c r="K297" s="230"/>
      <c r="L297" s="230"/>
      <c r="M297" s="227"/>
      <c r="N297" s="227"/>
      <c r="O297" s="227"/>
    </row>
    <row r="298" spans="2:15">
      <c r="B298" s="227"/>
      <c r="C298" s="227"/>
      <c r="D298" s="228"/>
      <c r="E298" s="228"/>
      <c r="F298" s="228"/>
      <c r="G298" s="228"/>
      <c r="H298" s="228"/>
      <c r="I298" s="234"/>
      <c r="J298" s="229"/>
      <c r="K298" s="230"/>
      <c r="L298" s="230"/>
      <c r="M298" s="227"/>
      <c r="N298" s="227"/>
      <c r="O298" s="227"/>
    </row>
    <row r="299" spans="2:15">
      <c r="B299" s="227"/>
      <c r="C299" s="227"/>
      <c r="D299" s="228"/>
      <c r="E299" s="228"/>
      <c r="F299" s="228"/>
      <c r="G299" s="228"/>
      <c r="H299" s="228"/>
      <c r="I299" s="234"/>
      <c r="J299" s="229"/>
      <c r="K299" s="230"/>
      <c r="L299" s="230"/>
      <c r="M299" s="227"/>
      <c r="N299" s="227"/>
      <c r="O299" s="227"/>
    </row>
    <row r="300" spans="2:15">
      <c r="B300" s="227"/>
      <c r="C300" s="227"/>
      <c r="D300" s="228"/>
      <c r="E300" s="228"/>
      <c r="F300" s="228"/>
      <c r="G300" s="228"/>
      <c r="H300" s="228"/>
      <c r="I300" s="234"/>
      <c r="J300" s="229"/>
      <c r="K300" s="230"/>
      <c r="L300" s="230"/>
      <c r="M300" s="227"/>
      <c r="N300" s="227"/>
      <c r="O300" s="227"/>
    </row>
    <row r="301" spans="2:15">
      <c r="B301" s="227"/>
      <c r="C301" s="227"/>
      <c r="D301" s="228"/>
      <c r="E301" s="228"/>
      <c r="F301" s="228"/>
      <c r="G301" s="228"/>
      <c r="H301" s="228"/>
      <c r="I301" s="234"/>
      <c r="J301" s="229"/>
      <c r="K301" s="230"/>
      <c r="L301" s="230"/>
      <c r="M301" s="227"/>
      <c r="N301" s="227"/>
      <c r="O301" s="227"/>
    </row>
    <row r="302" spans="2:15">
      <c r="B302" s="227"/>
      <c r="C302" s="227"/>
      <c r="D302" s="228"/>
      <c r="E302" s="228"/>
      <c r="F302" s="228"/>
      <c r="G302" s="228"/>
      <c r="H302" s="228"/>
      <c r="I302" s="234"/>
      <c r="J302" s="229"/>
      <c r="K302" s="230"/>
      <c r="L302" s="230"/>
      <c r="M302" s="227"/>
      <c r="N302" s="227"/>
      <c r="O302" s="227"/>
    </row>
    <row r="303" spans="2:15">
      <c r="B303" s="227"/>
      <c r="C303" s="227"/>
      <c r="D303" s="228"/>
      <c r="E303" s="228"/>
      <c r="F303" s="228"/>
      <c r="G303" s="228"/>
      <c r="H303" s="228"/>
      <c r="I303" s="234"/>
      <c r="J303" s="229"/>
      <c r="K303" s="230"/>
      <c r="L303" s="230"/>
      <c r="M303" s="227"/>
      <c r="N303" s="227"/>
      <c r="O303" s="227"/>
    </row>
    <row r="304" spans="2:15">
      <c r="B304" s="227"/>
      <c r="C304" s="227"/>
      <c r="D304" s="228"/>
      <c r="E304" s="228"/>
      <c r="F304" s="228"/>
      <c r="G304" s="228"/>
      <c r="H304" s="228"/>
      <c r="I304" s="234"/>
      <c r="J304" s="229"/>
      <c r="K304" s="230"/>
      <c r="L304" s="230"/>
      <c r="M304" s="227"/>
      <c r="N304" s="227"/>
      <c r="O304" s="227"/>
    </row>
    <row r="305" spans="2:15">
      <c r="B305" s="227"/>
      <c r="C305" s="227"/>
      <c r="D305" s="228"/>
      <c r="E305" s="228"/>
      <c r="F305" s="228"/>
      <c r="G305" s="228"/>
      <c r="H305" s="228"/>
      <c r="I305" s="234"/>
      <c r="J305" s="229"/>
      <c r="K305" s="230"/>
      <c r="L305" s="230"/>
      <c r="M305" s="227"/>
      <c r="N305" s="227"/>
      <c r="O305" s="227"/>
    </row>
    <row r="306" spans="2:15">
      <c r="B306" s="227"/>
      <c r="C306" s="227"/>
      <c r="D306" s="228"/>
      <c r="E306" s="228"/>
      <c r="F306" s="228"/>
      <c r="G306" s="228"/>
      <c r="H306" s="228"/>
      <c r="I306" s="234"/>
      <c r="J306" s="229"/>
      <c r="K306" s="230"/>
      <c r="L306" s="230"/>
      <c r="M306" s="227"/>
      <c r="N306" s="227"/>
      <c r="O306" s="227"/>
    </row>
    <row r="307" spans="2:15">
      <c r="B307" s="227"/>
      <c r="C307" s="227"/>
      <c r="D307" s="228"/>
      <c r="E307" s="228"/>
      <c r="F307" s="228"/>
      <c r="G307" s="228"/>
      <c r="H307" s="228"/>
      <c r="I307" s="234"/>
      <c r="J307" s="229"/>
      <c r="K307" s="230"/>
      <c r="L307" s="230"/>
      <c r="M307" s="227"/>
      <c r="N307" s="227"/>
      <c r="O307" s="227"/>
    </row>
    <row r="308" spans="2:15">
      <c r="B308" s="227"/>
      <c r="C308" s="227"/>
      <c r="D308" s="228"/>
      <c r="E308" s="228"/>
      <c r="F308" s="228"/>
      <c r="G308" s="228"/>
      <c r="H308" s="228"/>
      <c r="I308" s="234"/>
      <c r="J308" s="229"/>
      <c r="K308" s="230"/>
      <c r="L308" s="230"/>
      <c r="M308" s="227"/>
      <c r="N308" s="227"/>
      <c r="O308" s="227"/>
    </row>
    <row r="309" spans="2:15">
      <c r="B309" s="227"/>
      <c r="C309" s="227"/>
      <c r="D309" s="228"/>
      <c r="E309" s="228"/>
      <c r="F309" s="228"/>
      <c r="G309" s="228"/>
      <c r="H309" s="228"/>
      <c r="I309" s="234"/>
      <c r="J309" s="229"/>
      <c r="K309" s="230"/>
      <c r="L309" s="230"/>
      <c r="M309" s="227"/>
      <c r="N309" s="227"/>
      <c r="O309" s="227"/>
    </row>
    <row r="310" spans="2:15">
      <c r="B310" s="227"/>
      <c r="C310" s="227"/>
      <c r="D310" s="228"/>
      <c r="E310" s="228"/>
      <c r="F310" s="228"/>
      <c r="G310" s="228"/>
      <c r="H310" s="228"/>
      <c r="I310" s="234"/>
      <c r="J310" s="229"/>
      <c r="K310" s="230"/>
      <c r="L310" s="230"/>
      <c r="M310" s="227"/>
      <c r="N310" s="227"/>
      <c r="O310" s="227"/>
    </row>
    <row r="311" spans="2:15">
      <c r="B311" s="227"/>
      <c r="C311" s="227"/>
      <c r="D311" s="228"/>
      <c r="E311" s="228"/>
      <c r="F311" s="228"/>
      <c r="G311" s="228"/>
      <c r="H311" s="228"/>
      <c r="I311" s="234"/>
      <c r="J311" s="229"/>
      <c r="K311" s="230"/>
      <c r="L311" s="230"/>
      <c r="M311" s="227"/>
      <c r="N311" s="227"/>
      <c r="O311" s="227"/>
    </row>
    <row r="312" spans="2:15">
      <c r="B312" s="227"/>
      <c r="C312" s="227"/>
      <c r="D312" s="228"/>
      <c r="E312" s="228"/>
      <c r="F312" s="228"/>
      <c r="G312" s="228"/>
      <c r="H312" s="228"/>
      <c r="I312" s="234"/>
      <c r="J312" s="229"/>
      <c r="K312" s="230"/>
      <c r="L312" s="230"/>
      <c r="M312" s="227"/>
      <c r="N312" s="227"/>
      <c r="O312" s="227"/>
    </row>
    <row r="313" spans="2:15">
      <c r="B313" s="227"/>
      <c r="C313" s="227"/>
      <c r="D313" s="228"/>
      <c r="E313" s="228"/>
      <c r="F313" s="228"/>
      <c r="G313" s="228"/>
      <c r="H313" s="228"/>
      <c r="I313" s="234"/>
      <c r="J313" s="229"/>
      <c r="K313" s="230"/>
      <c r="L313" s="230"/>
      <c r="M313" s="227"/>
      <c r="N313" s="227"/>
      <c r="O313" s="227"/>
    </row>
    <row r="314" spans="2:15">
      <c r="B314" s="227"/>
      <c r="C314" s="227"/>
      <c r="D314" s="228"/>
      <c r="E314" s="228"/>
      <c r="F314" s="228"/>
      <c r="G314" s="228"/>
      <c r="H314" s="228"/>
      <c r="I314" s="234"/>
      <c r="J314" s="229"/>
      <c r="K314" s="230"/>
      <c r="L314" s="230"/>
      <c r="M314" s="227"/>
      <c r="N314" s="227"/>
      <c r="O314" s="227"/>
    </row>
    <row r="315" spans="2:15">
      <c r="B315" s="227"/>
      <c r="C315" s="227"/>
      <c r="D315" s="228"/>
      <c r="E315" s="228"/>
      <c r="F315" s="228"/>
      <c r="G315" s="228"/>
      <c r="H315" s="228"/>
      <c r="I315" s="234"/>
      <c r="J315" s="229"/>
      <c r="K315" s="230"/>
      <c r="L315" s="230"/>
      <c r="M315" s="227"/>
      <c r="N315" s="227"/>
      <c r="O315" s="227"/>
    </row>
    <row r="316" spans="2:15">
      <c r="B316" s="227"/>
      <c r="C316" s="227"/>
      <c r="D316" s="228"/>
      <c r="E316" s="228"/>
      <c r="F316" s="228"/>
      <c r="G316" s="228"/>
      <c r="H316" s="228"/>
      <c r="I316" s="234"/>
      <c r="J316" s="229"/>
      <c r="K316" s="230"/>
      <c r="L316" s="230"/>
      <c r="M316" s="227"/>
      <c r="N316" s="227"/>
      <c r="O316" s="227"/>
    </row>
    <row r="317" spans="2:15">
      <c r="B317" s="227"/>
      <c r="C317" s="227"/>
      <c r="D317" s="228"/>
      <c r="E317" s="228"/>
      <c r="F317" s="228"/>
      <c r="G317" s="228"/>
      <c r="H317" s="228"/>
      <c r="I317" s="234"/>
      <c r="J317" s="229"/>
      <c r="K317" s="230"/>
      <c r="L317" s="230"/>
      <c r="M317" s="227"/>
      <c r="N317" s="227"/>
      <c r="O317" s="227"/>
    </row>
    <row r="318" spans="2:15">
      <c r="B318" s="227"/>
      <c r="C318" s="227"/>
      <c r="D318" s="228"/>
      <c r="E318" s="228"/>
      <c r="F318" s="228"/>
      <c r="G318" s="228"/>
      <c r="H318" s="228"/>
      <c r="I318" s="234"/>
      <c r="J318" s="229"/>
      <c r="K318" s="230"/>
      <c r="L318" s="230"/>
      <c r="M318" s="227"/>
      <c r="N318" s="227"/>
      <c r="O318" s="227"/>
    </row>
    <row r="319" spans="2:15">
      <c r="B319" s="227"/>
      <c r="C319" s="227"/>
      <c r="D319" s="228"/>
      <c r="E319" s="228"/>
      <c r="F319" s="228"/>
      <c r="G319" s="228"/>
      <c r="H319" s="228"/>
      <c r="I319" s="234"/>
      <c r="J319" s="229"/>
      <c r="K319" s="230"/>
      <c r="L319" s="230"/>
      <c r="M319" s="227"/>
      <c r="N319" s="227"/>
      <c r="O319" s="227"/>
    </row>
    <row r="320" spans="2:15">
      <c r="B320" s="227"/>
      <c r="C320" s="227"/>
      <c r="D320" s="228"/>
      <c r="E320" s="228"/>
      <c r="F320" s="228"/>
      <c r="G320" s="228"/>
      <c r="H320" s="228"/>
      <c r="I320" s="234"/>
      <c r="J320" s="229"/>
      <c r="K320" s="230"/>
      <c r="L320" s="230"/>
      <c r="M320" s="227"/>
      <c r="N320" s="227"/>
      <c r="O320" s="227"/>
    </row>
    <row r="321" spans="2:15">
      <c r="B321" s="227"/>
      <c r="C321" s="227"/>
      <c r="D321" s="228"/>
      <c r="E321" s="228"/>
      <c r="F321" s="228"/>
      <c r="G321" s="228"/>
      <c r="H321" s="228"/>
      <c r="I321" s="234"/>
      <c r="J321" s="229"/>
      <c r="K321" s="230"/>
      <c r="L321" s="230"/>
      <c r="M321" s="227"/>
      <c r="N321" s="227"/>
      <c r="O321" s="227"/>
    </row>
    <row r="322" spans="2:15">
      <c r="B322" s="227"/>
      <c r="C322" s="227"/>
      <c r="D322" s="228"/>
      <c r="E322" s="228"/>
      <c r="F322" s="228"/>
      <c r="G322" s="228"/>
      <c r="H322" s="228"/>
      <c r="I322" s="234"/>
      <c r="J322" s="229"/>
      <c r="K322" s="230"/>
      <c r="L322" s="230"/>
      <c r="M322" s="227"/>
      <c r="N322" s="227"/>
      <c r="O322" s="227"/>
    </row>
    <row r="323" spans="2:15">
      <c r="B323" s="227"/>
      <c r="C323" s="227"/>
      <c r="D323" s="228"/>
      <c r="E323" s="228"/>
      <c r="F323" s="228"/>
      <c r="G323" s="228"/>
      <c r="H323" s="228"/>
      <c r="I323" s="234"/>
      <c r="J323" s="229"/>
      <c r="K323" s="230"/>
      <c r="L323" s="230"/>
      <c r="M323" s="227"/>
      <c r="N323" s="227"/>
      <c r="O323" s="227"/>
    </row>
    <row r="324" spans="2:15">
      <c r="B324" s="227"/>
      <c r="C324" s="227"/>
      <c r="D324" s="228"/>
      <c r="E324" s="228"/>
      <c r="F324" s="228"/>
      <c r="G324" s="228"/>
      <c r="H324" s="228"/>
      <c r="I324" s="234"/>
      <c r="J324" s="229"/>
      <c r="K324" s="230"/>
      <c r="L324" s="230"/>
      <c r="M324" s="227"/>
      <c r="N324" s="227"/>
      <c r="O324" s="227"/>
    </row>
    <row r="325" spans="2:15">
      <c r="B325" s="227"/>
      <c r="C325" s="227"/>
      <c r="D325" s="228"/>
      <c r="E325" s="228"/>
      <c r="F325" s="228"/>
      <c r="G325" s="228"/>
      <c r="H325" s="228"/>
      <c r="I325" s="234"/>
      <c r="J325" s="229"/>
      <c r="K325" s="230"/>
      <c r="L325" s="230"/>
      <c r="M325" s="227"/>
      <c r="N325" s="227"/>
      <c r="O325" s="227"/>
    </row>
    <row r="326" spans="2:15">
      <c r="B326" s="227"/>
      <c r="C326" s="227"/>
      <c r="D326" s="228"/>
      <c r="E326" s="228"/>
      <c r="F326" s="228"/>
      <c r="G326" s="228"/>
      <c r="H326" s="228"/>
      <c r="I326" s="234"/>
      <c r="J326" s="229"/>
      <c r="K326" s="230"/>
      <c r="L326" s="230"/>
      <c r="M326" s="227"/>
      <c r="N326" s="227"/>
      <c r="O326" s="227"/>
    </row>
    <row r="327" spans="2:15">
      <c r="B327" s="227"/>
      <c r="C327" s="227"/>
      <c r="D327" s="228"/>
      <c r="E327" s="228"/>
      <c r="F327" s="228"/>
      <c r="G327" s="228"/>
      <c r="H327" s="228"/>
      <c r="I327" s="234"/>
      <c r="J327" s="229"/>
      <c r="K327" s="230"/>
      <c r="L327" s="230"/>
      <c r="M327" s="227"/>
      <c r="N327" s="227"/>
      <c r="O327" s="227"/>
    </row>
    <row r="328" spans="2:15">
      <c r="B328" s="227"/>
      <c r="C328" s="227"/>
      <c r="D328" s="228"/>
      <c r="E328" s="228"/>
      <c r="F328" s="228"/>
      <c r="G328" s="228"/>
      <c r="H328" s="228"/>
      <c r="I328" s="234"/>
      <c r="J328" s="229"/>
      <c r="K328" s="230"/>
      <c r="L328" s="230"/>
      <c r="M328" s="227"/>
      <c r="N328" s="227"/>
      <c r="O328" s="227"/>
    </row>
    <row r="329" spans="2:15">
      <c r="B329" s="227"/>
      <c r="C329" s="227"/>
      <c r="D329" s="228"/>
      <c r="E329" s="228"/>
      <c r="F329" s="228"/>
      <c r="G329" s="228"/>
      <c r="H329" s="228"/>
      <c r="I329" s="234"/>
      <c r="J329" s="229"/>
      <c r="K329" s="230"/>
      <c r="L329" s="230"/>
      <c r="M329" s="227"/>
      <c r="N329" s="227"/>
      <c r="O329" s="227"/>
    </row>
    <row r="330" spans="2:15">
      <c r="B330" s="227"/>
      <c r="C330" s="227"/>
      <c r="D330" s="228"/>
      <c r="E330" s="228"/>
      <c r="F330" s="228"/>
      <c r="G330" s="228"/>
      <c r="H330" s="228"/>
      <c r="I330" s="234"/>
      <c r="J330" s="229"/>
      <c r="K330" s="230"/>
      <c r="L330" s="230"/>
      <c r="M330" s="227"/>
      <c r="N330" s="227"/>
      <c r="O330" s="227"/>
    </row>
    <row r="331" spans="2:15">
      <c r="B331" s="227"/>
      <c r="C331" s="227"/>
      <c r="D331" s="228"/>
      <c r="E331" s="228"/>
      <c r="F331" s="228"/>
      <c r="G331" s="228"/>
      <c r="H331" s="228"/>
      <c r="I331" s="234"/>
      <c r="J331" s="229"/>
      <c r="K331" s="230"/>
      <c r="L331" s="230"/>
      <c r="M331" s="227"/>
      <c r="N331" s="227"/>
      <c r="O331" s="227"/>
    </row>
    <row r="332" spans="2:15">
      <c r="B332" s="227"/>
      <c r="C332" s="227"/>
      <c r="D332" s="228"/>
      <c r="E332" s="228"/>
      <c r="F332" s="228"/>
      <c r="G332" s="228"/>
      <c r="H332" s="228"/>
      <c r="I332" s="234"/>
      <c r="J332" s="229"/>
      <c r="K332" s="230"/>
      <c r="L332" s="230"/>
      <c r="M332" s="227"/>
      <c r="N332" s="227"/>
      <c r="O332" s="227"/>
    </row>
    <row r="333" spans="2:15">
      <c r="B333" s="227"/>
      <c r="C333" s="227"/>
      <c r="D333" s="228"/>
      <c r="E333" s="228"/>
      <c r="F333" s="228"/>
      <c r="G333" s="228"/>
      <c r="H333" s="228"/>
      <c r="I333" s="234"/>
      <c r="J333" s="229"/>
      <c r="K333" s="230"/>
      <c r="L333" s="230"/>
      <c r="M333" s="227"/>
      <c r="N333" s="227"/>
      <c r="O333" s="227"/>
    </row>
    <row r="334" spans="2:15">
      <c r="B334" s="227"/>
      <c r="C334" s="227"/>
      <c r="D334" s="228"/>
      <c r="E334" s="228"/>
      <c r="F334" s="228"/>
      <c r="G334" s="228"/>
      <c r="H334" s="228"/>
      <c r="I334" s="234"/>
      <c r="J334" s="229"/>
      <c r="K334" s="230"/>
      <c r="L334" s="230"/>
      <c r="M334" s="227"/>
      <c r="N334" s="227"/>
      <c r="O334" s="227"/>
    </row>
    <row r="335" spans="2:15">
      <c r="B335" s="227"/>
      <c r="C335" s="227"/>
      <c r="D335" s="228"/>
      <c r="E335" s="228"/>
      <c r="F335" s="228"/>
      <c r="G335" s="228"/>
      <c r="H335" s="228"/>
      <c r="I335" s="234"/>
      <c r="J335" s="229"/>
      <c r="K335" s="230"/>
      <c r="L335" s="230"/>
      <c r="M335" s="227"/>
      <c r="N335" s="227"/>
      <c r="O335" s="227"/>
    </row>
    <row r="336" spans="2:15">
      <c r="B336" s="227"/>
      <c r="C336" s="227"/>
      <c r="D336" s="228"/>
      <c r="E336" s="228"/>
      <c r="F336" s="228"/>
      <c r="G336" s="228"/>
      <c r="H336" s="228"/>
      <c r="I336" s="234"/>
      <c r="J336" s="229"/>
      <c r="K336" s="230"/>
      <c r="L336" s="230"/>
      <c r="M336" s="227"/>
      <c r="N336" s="227"/>
      <c r="O336" s="227"/>
    </row>
    <row r="337" spans="2:15">
      <c r="B337" s="227"/>
      <c r="C337" s="227"/>
      <c r="D337" s="228"/>
      <c r="E337" s="228"/>
      <c r="F337" s="228"/>
      <c r="G337" s="228"/>
      <c r="H337" s="228"/>
      <c r="I337" s="234"/>
      <c r="J337" s="229"/>
      <c r="K337" s="230"/>
      <c r="L337" s="230"/>
      <c r="M337" s="227"/>
      <c r="N337" s="227"/>
      <c r="O337" s="227"/>
    </row>
    <row r="338" spans="2:15">
      <c r="B338" s="227"/>
      <c r="C338" s="227"/>
      <c r="D338" s="228"/>
      <c r="E338" s="228"/>
      <c r="F338" s="228"/>
      <c r="G338" s="228"/>
      <c r="H338" s="228"/>
      <c r="I338" s="234"/>
      <c r="J338" s="229"/>
      <c r="K338" s="230"/>
      <c r="L338" s="230"/>
      <c r="M338" s="227"/>
      <c r="N338" s="227"/>
      <c r="O338" s="227"/>
    </row>
    <row r="339" spans="2:15">
      <c r="B339" s="227"/>
      <c r="C339" s="227"/>
      <c r="D339" s="228"/>
      <c r="E339" s="228"/>
      <c r="F339" s="228"/>
      <c r="G339" s="228"/>
      <c r="H339" s="228"/>
      <c r="I339" s="234"/>
      <c r="J339" s="229"/>
      <c r="K339" s="230"/>
      <c r="L339" s="230"/>
      <c r="M339" s="227"/>
      <c r="N339" s="227"/>
      <c r="O339" s="227"/>
    </row>
    <row r="340" spans="2:15">
      <c r="B340" s="227"/>
      <c r="C340" s="227"/>
      <c r="D340" s="228"/>
      <c r="E340" s="228"/>
      <c r="F340" s="228"/>
      <c r="G340" s="228"/>
      <c r="H340" s="228"/>
      <c r="I340" s="234"/>
      <c r="J340" s="229"/>
      <c r="K340" s="230"/>
      <c r="L340" s="230"/>
      <c r="M340" s="227"/>
      <c r="N340" s="227"/>
      <c r="O340" s="227"/>
    </row>
    <row r="341" spans="2:15">
      <c r="B341" s="227"/>
      <c r="C341" s="227"/>
      <c r="D341" s="228"/>
      <c r="E341" s="228"/>
      <c r="F341" s="228"/>
      <c r="G341" s="228"/>
      <c r="H341" s="228"/>
      <c r="I341" s="234"/>
      <c r="J341" s="229"/>
      <c r="K341" s="230"/>
      <c r="L341" s="230"/>
      <c r="M341" s="227"/>
      <c r="N341" s="227"/>
      <c r="O341" s="227"/>
    </row>
    <row r="342" spans="2:15">
      <c r="B342" s="227"/>
      <c r="C342" s="227"/>
      <c r="D342" s="228"/>
      <c r="E342" s="228"/>
      <c r="F342" s="228"/>
      <c r="G342" s="228"/>
      <c r="H342" s="228"/>
      <c r="I342" s="234"/>
      <c r="J342" s="229"/>
      <c r="K342" s="230"/>
      <c r="L342" s="230"/>
      <c r="M342" s="227"/>
      <c r="N342" s="227"/>
      <c r="O342" s="227"/>
    </row>
    <row r="343" spans="2:15">
      <c r="B343" s="227"/>
      <c r="C343" s="227"/>
      <c r="D343" s="228"/>
      <c r="E343" s="228"/>
      <c r="F343" s="228"/>
      <c r="G343" s="228"/>
      <c r="H343" s="228"/>
      <c r="I343" s="234"/>
      <c r="J343" s="229"/>
      <c r="K343" s="230"/>
      <c r="L343" s="230"/>
      <c r="M343" s="227"/>
      <c r="N343" s="227"/>
      <c r="O343" s="227"/>
    </row>
    <row r="344" spans="2:15">
      <c r="B344" s="227"/>
      <c r="C344" s="227"/>
      <c r="D344" s="228"/>
      <c r="E344" s="228"/>
      <c r="F344" s="228"/>
      <c r="G344" s="228"/>
      <c r="H344" s="228"/>
      <c r="I344" s="234"/>
      <c r="J344" s="229"/>
      <c r="K344" s="230"/>
      <c r="L344" s="230"/>
      <c r="M344" s="227"/>
      <c r="N344" s="227"/>
      <c r="O344" s="227"/>
    </row>
    <row r="345" spans="2:15">
      <c r="B345" s="227"/>
      <c r="C345" s="227"/>
      <c r="D345" s="228"/>
      <c r="E345" s="228"/>
      <c r="F345" s="228"/>
      <c r="G345" s="228"/>
      <c r="H345" s="228"/>
      <c r="I345" s="234"/>
      <c r="J345" s="229"/>
      <c r="K345" s="230"/>
      <c r="L345" s="230"/>
      <c r="M345" s="227"/>
      <c r="N345" s="227"/>
      <c r="O345" s="227"/>
    </row>
    <row r="346" spans="2:15">
      <c r="B346" s="227"/>
      <c r="C346" s="227"/>
      <c r="D346" s="228"/>
      <c r="E346" s="228"/>
      <c r="F346" s="228"/>
      <c r="G346" s="228"/>
      <c r="H346" s="228"/>
      <c r="I346" s="234"/>
      <c r="J346" s="229"/>
      <c r="K346" s="230"/>
      <c r="L346" s="230"/>
      <c r="M346" s="227"/>
      <c r="N346" s="227"/>
      <c r="O346" s="227"/>
    </row>
    <row r="347" spans="2:15">
      <c r="B347" s="227"/>
      <c r="C347" s="227"/>
      <c r="D347" s="228"/>
      <c r="E347" s="228"/>
      <c r="F347" s="228"/>
      <c r="G347" s="228"/>
      <c r="H347" s="228"/>
      <c r="I347" s="234"/>
      <c r="J347" s="229"/>
      <c r="K347" s="230"/>
      <c r="L347" s="230"/>
      <c r="M347" s="227"/>
      <c r="N347" s="227"/>
      <c r="O347" s="227"/>
    </row>
    <row r="348" spans="2:15">
      <c r="B348" s="227"/>
      <c r="C348" s="227"/>
      <c r="D348" s="228"/>
      <c r="E348" s="228"/>
      <c r="F348" s="228"/>
      <c r="G348" s="228"/>
      <c r="H348" s="228"/>
      <c r="I348" s="234"/>
      <c r="J348" s="229"/>
      <c r="K348" s="230"/>
      <c r="L348" s="230"/>
      <c r="M348" s="227"/>
      <c r="N348" s="227"/>
      <c r="O348" s="227"/>
    </row>
    <row r="349" spans="2:15">
      <c r="B349" s="227"/>
      <c r="C349" s="227"/>
      <c r="D349" s="228"/>
      <c r="E349" s="228"/>
      <c r="F349" s="228"/>
      <c r="G349" s="228"/>
      <c r="H349" s="228"/>
      <c r="I349" s="234"/>
      <c r="J349" s="229"/>
      <c r="K349" s="230"/>
      <c r="L349" s="230"/>
      <c r="M349" s="227"/>
      <c r="N349" s="227"/>
      <c r="O349" s="227"/>
    </row>
    <row r="350" spans="2:15">
      <c r="B350" s="227"/>
      <c r="C350" s="227"/>
      <c r="D350" s="228"/>
      <c r="E350" s="228"/>
      <c r="F350" s="228"/>
      <c r="G350" s="228"/>
      <c r="H350" s="228"/>
      <c r="I350" s="234"/>
      <c r="J350" s="229"/>
      <c r="K350" s="230"/>
      <c r="L350" s="230"/>
      <c r="M350" s="227"/>
      <c r="N350" s="227"/>
      <c r="O350" s="227"/>
    </row>
    <row r="351" spans="2:15">
      <c r="B351" s="227"/>
      <c r="C351" s="227"/>
      <c r="D351" s="228"/>
      <c r="E351" s="228"/>
      <c r="F351" s="228"/>
      <c r="G351" s="228"/>
      <c r="H351" s="228"/>
      <c r="I351" s="234"/>
      <c r="J351" s="229"/>
      <c r="K351" s="230"/>
      <c r="L351" s="230"/>
      <c r="M351" s="227"/>
      <c r="N351" s="227"/>
      <c r="O351" s="227"/>
    </row>
    <row r="352" spans="2:15">
      <c r="B352" s="227"/>
      <c r="C352" s="227"/>
      <c r="D352" s="228"/>
      <c r="E352" s="228"/>
      <c r="F352" s="228"/>
      <c r="G352" s="228"/>
      <c r="H352" s="228"/>
      <c r="I352" s="234"/>
      <c r="J352" s="229"/>
      <c r="K352" s="230"/>
      <c r="L352" s="230"/>
      <c r="M352" s="227"/>
      <c r="N352" s="227"/>
      <c r="O352" s="227"/>
    </row>
    <row r="353" spans="2:15">
      <c r="B353" s="227"/>
      <c r="C353" s="227"/>
      <c r="D353" s="228"/>
      <c r="E353" s="228"/>
      <c r="F353" s="228"/>
      <c r="G353" s="228"/>
      <c r="H353" s="228"/>
      <c r="I353" s="234"/>
      <c r="J353" s="229"/>
      <c r="K353" s="230"/>
      <c r="L353" s="230"/>
      <c r="M353" s="227"/>
      <c r="N353" s="227"/>
      <c r="O353" s="227"/>
    </row>
    <row r="354" spans="2:15">
      <c r="B354" s="227"/>
      <c r="C354" s="227"/>
      <c r="D354" s="228"/>
      <c r="E354" s="228"/>
      <c r="F354" s="228"/>
      <c r="G354" s="228"/>
      <c r="H354" s="228"/>
      <c r="I354" s="234"/>
      <c r="J354" s="229"/>
      <c r="K354" s="230"/>
      <c r="L354" s="230"/>
      <c r="M354" s="227"/>
      <c r="N354" s="227"/>
      <c r="O354" s="227"/>
    </row>
    <row r="355" spans="2:15">
      <c r="B355" s="227"/>
      <c r="C355" s="227"/>
      <c r="D355" s="228"/>
      <c r="E355" s="228"/>
      <c r="F355" s="228"/>
      <c r="G355" s="228"/>
      <c r="H355" s="228"/>
      <c r="I355" s="234"/>
      <c r="J355" s="229"/>
      <c r="K355" s="230"/>
      <c r="L355" s="230"/>
      <c r="M355" s="227"/>
      <c r="N355" s="227"/>
      <c r="O355" s="227"/>
    </row>
    <row r="356" spans="2:15">
      <c r="B356" s="227"/>
      <c r="C356" s="227"/>
      <c r="D356" s="228"/>
      <c r="E356" s="228"/>
      <c r="F356" s="228"/>
      <c r="G356" s="228"/>
      <c r="H356" s="228"/>
      <c r="I356" s="234"/>
      <c r="J356" s="229"/>
      <c r="K356" s="230"/>
      <c r="L356" s="230"/>
      <c r="M356" s="227"/>
      <c r="N356" s="227"/>
      <c r="O356" s="227"/>
    </row>
    <row r="357" spans="2:15">
      <c r="B357" s="227"/>
      <c r="C357" s="227"/>
      <c r="D357" s="228"/>
      <c r="E357" s="228"/>
      <c r="F357" s="228"/>
      <c r="G357" s="228"/>
      <c r="H357" s="228"/>
      <c r="I357" s="234"/>
      <c r="J357" s="229"/>
      <c r="K357" s="230"/>
      <c r="L357" s="230"/>
      <c r="M357" s="227"/>
      <c r="N357" s="227"/>
      <c r="O357" s="227"/>
    </row>
    <row r="358" spans="2:15">
      <c r="B358" s="227"/>
      <c r="C358" s="227"/>
      <c r="D358" s="228"/>
      <c r="E358" s="228"/>
      <c r="F358" s="228"/>
      <c r="G358" s="228"/>
      <c r="H358" s="228"/>
      <c r="I358" s="234"/>
      <c r="J358" s="229"/>
      <c r="K358" s="230"/>
      <c r="L358" s="230"/>
      <c r="M358" s="227"/>
      <c r="N358" s="227"/>
      <c r="O358" s="227"/>
    </row>
    <row r="359" spans="2:15">
      <c r="B359" s="227"/>
      <c r="C359" s="227"/>
      <c r="D359" s="228"/>
      <c r="E359" s="228"/>
      <c r="F359" s="228"/>
      <c r="G359" s="228"/>
      <c r="H359" s="228"/>
      <c r="I359" s="234"/>
      <c r="J359" s="229"/>
      <c r="K359" s="230"/>
      <c r="L359" s="230"/>
      <c r="M359" s="227"/>
      <c r="N359" s="227"/>
      <c r="O359" s="227"/>
    </row>
    <row r="360" spans="2:15">
      <c r="B360" s="227"/>
      <c r="C360" s="227"/>
      <c r="D360" s="228"/>
      <c r="E360" s="228"/>
      <c r="F360" s="228"/>
      <c r="G360" s="228"/>
      <c r="H360" s="228"/>
      <c r="I360" s="234"/>
      <c r="J360" s="229"/>
      <c r="K360" s="230"/>
      <c r="L360" s="230"/>
      <c r="M360" s="227"/>
      <c r="N360" s="227"/>
      <c r="O360" s="227"/>
    </row>
    <row r="361" spans="2:15">
      <c r="B361" s="227"/>
      <c r="C361" s="227"/>
      <c r="D361" s="228"/>
      <c r="E361" s="228"/>
      <c r="F361" s="228"/>
      <c r="G361" s="228"/>
      <c r="H361" s="228"/>
      <c r="I361" s="234"/>
      <c r="J361" s="229"/>
      <c r="K361" s="230"/>
      <c r="L361" s="230"/>
      <c r="M361" s="227"/>
      <c r="N361" s="227"/>
      <c r="O361" s="227"/>
    </row>
    <row r="362" spans="2:15">
      <c r="B362" s="227"/>
      <c r="C362" s="227"/>
      <c r="D362" s="228"/>
      <c r="E362" s="228"/>
      <c r="F362" s="228"/>
      <c r="G362" s="228"/>
      <c r="H362" s="228"/>
      <c r="I362" s="234"/>
      <c r="J362" s="229"/>
      <c r="K362" s="230"/>
      <c r="L362" s="230"/>
      <c r="M362" s="227"/>
      <c r="N362" s="227"/>
      <c r="O362" s="227"/>
    </row>
    <row r="363" spans="2:15">
      <c r="B363" s="227"/>
      <c r="C363" s="227"/>
      <c r="D363" s="228"/>
      <c r="E363" s="228"/>
      <c r="F363" s="228"/>
      <c r="G363" s="228"/>
      <c r="H363" s="228"/>
      <c r="I363" s="234"/>
      <c r="J363" s="229"/>
      <c r="K363" s="230"/>
      <c r="L363" s="230"/>
      <c r="M363" s="227"/>
      <c r="N363" s="227"/>
      <c r="O363" s="227"/>
    </row>
    <row r="364" spans="2:15">
      <c r="B364" s="227"/>
      <c r="C364" s="227"/>
      <c r="D364" s="228"/>
      <c r="E364" s="228"/>
      <c r="F364" s="228"/>
      <c r="G364" s="228"/>
      <c r="H364" s="228"/>
      <c r="I364" s="234"/>
      <c r="J364" s="229"/>
      <c r="K364" s="230"/>
      <c r="L364" s="230"/>
      <c r="M364" s="227"/>
      <c r="N364" s="227"/>
      <c r="O364" s="227"/>
    </row>
    <row r="365" spans="2:15">
      <c r="B365" s="227"/>
      <c r="C365" s="227"/>
      <c r="D365" s="228"/>
      <c r="E365" s="228"/>
      <c r="F365" s="228"/>
      <c r="G365" s="228"/>
      <c r="H365" s="228"/>
      <c r="I365" s="234"/>
      <c r="J365" s="229"/>
      <c r="K365" s="230"/>
      <c r="L365" s="230"/>
      <c r="M365" s="227"/>
      <c r="N365" s="227"/>
      <c r="O365" s="227"/>
    </row>
    <row r="366" spans="2:15">
      <c r="B366" s="227"/>
      <c r="C366" s="227"/>
      <c r="D366" s="228"/>
      <c r="E366" s="228"/>
      <c r="F366" s="228"/>
      <c r="G366" s="228"/>
      <c r="H366" s="228"/>
      <c r="I366" s="234"/>
      <c r="J366" s="229"/>
      <c r="K366" s="230"/>
      <c r="L366" s="230"/>
      <c r="M366" s="227"/>
      <c r="N366" s="227"/>
      <c r="O366" s="227"/>
    </row>
    <row r="367" spans="2:15">
      <c r="B367" s="227"/>
      <c r="C367" s="227"/>
      <c r="D367" s="228"/>
      <c r="E367" s="228"/>
      <c r="F367" s="228"/>
      <c r="G367" s="228"/>
      <c r="H367" s="228"/>
      <c r="I367" s="234"/>
      <c r="J367" s="229"/>
      <c r="K367" s="230"/>
      <c r="L367" s="230"/>
      <c r="M367" s="227"/>
      <c r="N367" s="227"/>
      <c r="O367" s="227"/>
    </row>
    <row r="368" spans="2:15">
      <c r="B368" s="227"/>
      <c r="C368" s="227"/>
      <c r="D368" s="228"/>
      <c r="E368" s="228"/>
      <c r="F368" s="228"/>
      <c r="G368" s="228"/>
      <c r="H368" s="228"/>
      <c r="I368" s="234"/>
      <c r="J368" s="229"/>
      <c r="K368" s="230"/>
      <c r="L368" s="230"/>
      <c r="M368" s="227"/>
      <c r="N368" s="227"/>
      <c r="O368" s="227"/>
    </row>
    <row r="369" spans="2:15">
      <c r="B369" s="227"/>
      <c r="C369" s="227"/>
      <c r="D369" s="228"/>
      <c r="E369" s="228"/>
      <c r="F369" s="228"/>
      <c r="G369" s="228"/>
      <c r="H369" s="228"/>
      <c r="I369" s="234"/>
      <c r="J369" s="229"/>
      <c r="K369" s="230"/>
      <c r="L369" s="230"/>
      <c r="M369" s="227"/>
      <c r="N369" s="227"/>
      <c r="O369" s="227"/>
    </row>
    <row r="370" spans="2:15">
      <c r="B370" s="227"/>
      <c r="C370" s="227"/>
      <c r="D370" s="228"/>
      <c r="E370" s="228"/>
      <c r="F370" s="228"/>
      <c r="G370" s="228"/>
      <c r="H370" s="228"/>
      <c r="I370" s="234"/>
      <c r="J370" s="229"/>
      <c r="K370" s="230"/>
      <c r="L370" s="230"/>
      <c r="M370" s="227"/>
      <c r="N370" s="227"/>
      <c r="O370" s="227"/>
    </row>
    <row r="371" spans="2:15">
      <c r="B371" s="227"/>
      <c r="C371" s="227"/>
      <c r="D371" s="228"/>
      <c r="E371" s="228"/>
      <c r="F371" s="228"/>
      <c r="G371" s="228"/>
      <c r="H371" s="228"/>
      <c r="I371" s="234"/>
      <c r="J371" s="229"/>
      <c r="K371" s="230"/>
      <c r="L371" s="230"/>
      <c r="M371" s="227"/>
      <c r="N371" s="227"/>
      <c r="O371" s="227"/>
    </row>
    <row r="372" spans="2:15">
      <c r="B372" s="227"/>
      <c r="C372" s="227"/>
      <c r="D372" s="228"/>
      <c r="E372" s="228"/>
      <c r="F372" s="228"/>
      <c r="G372" s="228"/>
      <c r="H372" s="228"/>
      <c r="I372" s="234"/>
      <c r="J372" s="229"/>
      <c r="K372" s="230"/>
      <c r="L372" s="230"/>
      <c r="M372" s="227"/>
      <c r="N372" s="227"/>
      <c r="O372" s="227"/>
    </row>
    <row r="373" spans="2:15">
      <c r="B373" s="227"/>
      <c r="C373" s="227"/>
      <c r="D373" s="228"/>
      <c r="E373" s="228"/>
      <c r="F373" s="228"/>
      <c r="G373" s="228"/>
      <c r="H373" s="228"/>
      <c r="I373" s="234"/>
      <c r="J373" s="229"/>
      <c r="K373" s="230"/>
      <c r="L373" s="230"/>
      <c r="M373" s="227"/>
      <c r="N373" s="227"/>
      <c r="O373" s="227"/>
    </row>
    <row r="374" spans="2:15">
      <c r="B374" s="227"/>
      <c r="C374" s="227"/>
      <c r="D374" s="228"/>
      <c r="E374" s="228"/>
      <c r="F374" s="228"/>
      <c r="G374" s="228"/>
      <c r="H374" s="228"/>
      <c r="I374" s="234"/>
      <c r="J374" s="229"/>
      <c r="K374" s="230"/>
      <c r="L374" s="230"/>
      <c r="M374" s="227"/>
      <c r="N374" s="227"/>
      <c r="O374" s="227"/>
    </row>
    <row r="375" spans="2:15">
      <c r="B375" s="227"/>
      <c r="C375" s="227"/>
      <c r="D375" s="228"/>
      <c r="E375" s="228"/>
      <c r="F375" s="228"/>
      <c r="G375" s="228"/>
      <c r="H375" s="228"/>
      <c r="I375" s="234"/>
      <c r="J375" s="229"/>
      <c r="K375" s="230"/>
      <c r="L375" s="230"/>
      <c r="M375" s="227"/>
      <c r="N375" s="227"/>
      <c r="O375" s="227"/>
    </row>
    <row r="376" spans="2:15">
      <c r="B376" s="227"/>
      <c r="C376" s="227"/>
      <c r="D376" s="228"/>
      <c r="E376" s="228"/>
      <c r="F376" s="228"/>
      <c r="G376" s="228"/>
      <c r="H376" s="228"/>
      <c r="I376" s="234"/>
      <c r="J376" s="229"/>
      <c r="K376" s="230"/>
      <c r="L376" s="230"/>
      <c r="M376" s="227"/>
      <c r="N376" s="227"/>
      <c r="O376" s="227"/>
    </row>
    <row r="377" spans="2:15">
      <c r="B377" s="227"/>
      <c r="C377" s="227"/>
      <c r="D377" s="228"/>
      <c r="E377" s="228"/>
      <c r="F377" s="228"/>
      <c r="G377" s="228"/>
      <c r="H377" s="228"/>
      <c r="I377" s="234"/>
      <c r="J377" s="229"/>
      <c r="K377" s="230"/>
      <c r="L377" s="230"/>
      <c r="M377" s="227"/>
      <c r="N377" s="227"/>
      <c r="O377" s="227"/>
    </row>
    <row r="378" spans="2:15">
      <c r="B378" s="227"/>
      <c r="C378" s="227"/>
      <c r="D378" s="228"/>
      <c r="E378" s="228"/>
      <c r="F378" s="228"/>
      <c r="G378" s="228"/>
      <c r="H378" s="228"/>
      <c r="I378" s="234"/>
      <c r="J378" s="229"/>
      <c r="K378" s="230"/>
      <c r="L378" s="230"/>
      <c r="M378" s="227"/>
      <c r="N378" s="227"/>
      <c r="O378" s="227"/>
    </row>
    <row r="379" spans="2:15">
      <c r="B379" s="227"/>
      <c r="C379" s="227"/>
      <c r="D379" s="228"/>
      <c r="E379" s="228"/>
      <c r="F379" s="228"/>
      <c r="G379" s="228"/>
      <c r="H379" s="228"/>
      <c r="I379" s="234"/>
      <c r="J379" s="229"/>
      <c r="K379" s="230"/>
      <c r="L379" s="230"/>
      <c r="M379" s="227"/>
      <c r="N379" s="227"/>
      <c r="O379" s="227"/>
    </row>
    <row r="380" spans="2:15">
      <c r="B380" s="227"/>
      <c r="C380" s="227"/>
      <c r="D380" s="228"/>
      <c r="E380" s="228"/>
      <c r="F380" s="228"/>
      <c r="G380" s="228"/>
      <c r="H380" s="228"/>
      <c r="I380" s="234"/>
      <c r="J380" s="229"/>
      <c r="K380" s="230"/>
      <c r="L380" s="230"/>
      <c r="M380" s="227"/>
      <c r="N380" s="227"/>
      <c r="O380" s="227"/>
    </row>
    <row r="381" spans="2:15">
      <c r="B381" s="227"/>
      <c r="C381" s="227"/>
      <c r="D381" s="228"/>
      <c r="E381" s="228"/>
      <c r="F381" s="228"/>
      <c r="G381" s="228"/>
      <c r="H381" s="228"/>
      <c r="I381" s="234"/>
      <c r="J381" s="229"/>
      <c r="K381" s="230"/>
      <c r="L381" s="230"/>
      <c r="M381" s="227"/>
      <c r="N381" s="227"/>
      <c r="O381" s="227"/>
    </row>
    <row r="382" spans="2:15">
      <c r="B382" s="227"/>
      <c r="C382" s="227"/>
      <c r="D382" s="228"/>
      <c r="E382" s="228"/>
      <c r="F382" s="228"/>
      <c r="G382" s="228"/>
      <c r="H382" s="228"/>
      <c r="I382" s="234"/>
      <c r="J382" s="229"/>
      <c r="K382" s="230"/>
      <c r="L382" s="230"/>
      <c r="M382" s="227"/>
      <c r="N382" s="227"/>
      <c r="O382" s="227"/>
    </row>
    <row r="383" spans="2:15">
      <c r="B383" s="227"/>
      <c r="C383" s="227"/>
      <c r="D383" s="228"/>
      <c r="E383" s="228"/>
      <c r="F383" s="228"/>
      <c r="G383" s="228"/>
      <c r="H383" s="228"/>
      <c r="I383" s="234"/>
      <c r="J383" s="229"/>
      <c r="K383" s="230"/>
      <c r="L383" s="230"/>
      <c r="M383" s="227"/>
      <c r="N383" s="227"/>
      <c r="O383" s="227"/>
    </row>
    <row r="384" spans="2:15">
      <c r="B384" s="227"/>
      <c r="C384" s="227"/>
      <c r="D384" s="228"/>
      <c r="E384" s="228"/>
      <c r="F384" s="228"/>
      <c r="G384" s="228"/>
      <c r="H384" s="228"/>
      <c r="I384" s="234"/>
      <c r="J384" s="229"/>
      <c r="K384" s="230"/>
      <c r="L384" s="230"/>
      <c r="M384" s="227"/>
      <c r="N384" s="227"/>
      <c r="O384" s="227"/>
    </row>
    <row r="385" spans="2:15">
      <c r="B385" s="227"/>
      <c r="C385" s="227"/>
      <c r="D385" s="228"/>
      <c r="E385" s="228"/>
      <c r="F385" s="228"/>
      <c r="G385" s="228"/>
      <c r="H385" s="228"/>
      <c r="I385" s="234"/>
      <c r="J385" s="229"/>
      <c r="K385" s="230"/>
      <c r="L385" s="230"/>
      <c r="M385" s="227"/>
      <c r="N385" s="227"/>
      <c r="O385" s="227"/>
    </row>
    <row r="386" spans="2:15">
      <c r="B386" s="227"/>
      <c r="C386" s="227"/>
      <c r="D386" s="228"/>
      <c r="E386" s="228"/>
      <c r="F386" s="228"/>
      <c r="G386" s="228"/>
      <c r="H386" s="228"/>
      <c r="I386" s="234"/>
      <c r="J386" s="229"/>
      <c r="K386" s="230"/>
      <c r="L386" s="230"/>
      <c r="M386" s="227"/>
      <c r="N386" s="227"/>
      <c r="O386" s="227"/>
    </row>
    <row r="387" spans="2:15">
      <c r="B387" s="227"/>
      <c r="C387" s="227"/>
      <c r="D387" s="228"/>
      <c r="E387" s="228"/>
      <c r="F387" s="228"/>
      <c r="G387" s="228"/>
      <c r="H387" s="228"/>
      <c r="I387" s="234"/>
      <c r="J387" s="229"/>
      <c r="K387" s="230"/>
      <c r="L387" s="230"/>
      <c r="M387" s="227"/>
      <c r="N387" s="227"/>
      <c r="O387" s="227"/>
    </row>
    <row r="388" spans="2:15">
      <c r="B388" s="227"/>
      <c r="C388" s="227"/>
      <c r="D388" s="228"/>
      <c r="E388" s="228"/>
      <c r="F388" s="228"/>
      <c r="G388" s="228"/>
      <c r="H388" s="228"/>
      <c r="I388" s="234"/>
      <c r="J388" s="229"/>
      <c r="K388" s="230"/>
      <c r="L388" s="230"/>
      <c r="M388" s="227"/>
      <c r="N388" s="227"/>
      <c r="O388" s="227"/>
    </row>
    <row r="389" spans="2:15">
      <c r="B389" s="227"/>
      <c r="C389" s="227"/>
      <c r="D389" s="228"/>
      <c r="E389" s="228"/>
      <c r="F389" s="228"/>
      <c r="G389" s="228"/>
      <c r="H389" s="228"/>
      <c r="I389" s="234"/>
      <c r="J389" s="229"/>
      <c r="K389" s="230"/>
      <c r="L389" s="230"/>
      <c r="M389" s="227"/>
      <c r="N389" s="227"/>
      <c r="O389" s="227"/>
    </row>
    <row r="390" spans="2:15">
      <c r="B390" s="227"/>
      <c r="C390" s="227"/>
      <c r="D390" s="228"/>
      <c r="E390" s="228"/>
      <c r="F390" s="228"/>
      <c r="G390" s="228"/>
      <c r="H390" s="228"/>
      <c r="I390" s="234"/>
      <c r="J390" s="229"/>
      <c r="K390" s="230"/>
      <c r="L390" s="230"/>
      <c r="M390" s="227"/>
      <c r="N390" s="227"/>
      <c r="O390" s="227"/>
    </row>
    <row r="391" spans="2:15">
      <c r="B391" s="227"/>
      <c r="C391" s="227"/>
      <c r="D391" s="228"/>
      <c r="E391" s="228"/>
      <c r="F391" s="228"/>
      <c r="G391" s="228"/>
      <c r="H391" s="228"/>
      <c r="I391" s="234"/>
      <c r="J391" s="229"/>
      <c r="K391" s="230"/>
      <c r="L391" s="230"/>
      <c r="M391" s="227"/>
      <c r="N391" s="227"/>
      <c r="O391" s="227"/>
    </row>
    <row r="392" spans="2:15">
      <c r="B392" s="227"/>
      <c r="C392" s="227"/>
      <c r="D392" s="228"/>
      <c r="E392" s="228"/>
      <c r="F392" s="228"/>
      <c r="G392" s="228"/>
      <c r="H392" s="228"/>
      <c r="I392" s="234"/>
      <c r="J392" s="229"/>
      <c r="K392" s="230"/>
      <c r="L392" s="230"/>
      <c r="M392" s="227"/>
      <c r="N392" s="227"/>
      <c r="O392" s="227"/>
    </row>
    <row r="393" spans="2:15">
      <c r="B393" s="227"/>
      <c r="C393" s="227"/>
      <c r="D393" s="228"/>
      <c r="E393" s="228"/>
      <c r="F393" s="228"/>
      <c r="G393" s="228"/>
      <c r="H393" s="228"/>
      <c r="I393" s="234"/>
      <c r="J393" s="229"/>
      <c r="K393" s="230"/>
      <c r="L393" s="230"/>
      <c r="M393" s="227"/>
      <c r="N393" s="227"/>
      <c r="O393" s="227"/>
    </row>
    <row r="394" spans="2:15">
      <c r="B394" s="227"/>
      <c r="C394" s="227"/>
      <c r="D394" s="228"/>
      <c r="E394" s="228"/>
      <c r="F394" s="228"/>
      <c r="G394" s="228"/>
      <c r="H394" s="228"/>
      <c r="I394" s="234"/>
      <c r="J394" s="229"/>
      <c r="K394" s="230"/>
      <c r="L394" s="230"/>
      <c r="M394" s="227"/>
      <c r="N394" s="227"/>
      <c r="O394" s="227"/>
    </row>
    <row r="395" spans="2:15">
      <c r="B395" s="227"/>
      <c r="C395" s="227"/>
      <c r="D395" s="228"/>
      <c r="E395" s="228"/>
      <c r="F395" s="228"/>
      <c r="G395" s="228"/>
      <c r="H395" s="228"/>
      <c r="I395" s="234"/>
      <c r="J395" s="229"/>
      <c r="K395" s="230"/>
      <c r="L395" s="230"/>
      <c r="M395" s="227"/>
      <c r="N395" s="227"/>
      <c r="O395" s="227"/>
    </row>
    <row r="396" spans="2:15">
      <c r="B396" s="227"/>
      <c r="C396" s="227"/>
      <c r="D396" s="228"/>
      <c r="E396" s="228"/>
      <c r="F396" s="228"/>
      <c r="G396" s="228"/>
      <c r="H396" s="228"/>
      <c r="I396" s="234"/>
      <c r="J396" s="229"/>
      <c r="K396" s="230"/>
      <c r="L396" s="230"/>
      <c r="M396" s="227"/>
      <c r="N396" s="227"/>
      <c r="O396" s="227"/>
    </row>
    <row r="397" spans="2:15">
      <c r="B397" s="227"/>
      <c r="C397" s="227"/>
      <c r="D397" s="228"/>
      <c r="E397" s="228"/>
      <c r="F397" s="228"/>
      <c r="G397" s="228"/>
      <c r="H397" s="228"/>
      <c r="I397" s="234"/>
      <c r="J397" s="229"/>
      <c r="K397" s="230"/>
      <c r="L397" s="230"/>
      <c r="M397" s="227"/>
      <c r="N397" s="227"/>
      <c r="O397" s="227"/>
    </row>
    <row r="398" spans="2:15">
      <c r="B398" s="227"/>
      <c r="C398" s="227"/>
      <c r="D398" s="228"/>
      <c r="E398" s="228"/>
      <c r="F398" s="228"/>
      <c r="G398" s="228"/>
      <c r="H398" s="228"/>
      <c r="I398" s="234"/>
      <c r="J398" s="229"/>
      <c r="K398" s="230"/>
      <c r="L398" s="230"/>
      <c r="M398" s="227"/>
      <c r="N398" s="227"/>
      <c r="O398" s="227"/>
    </row>
    <row r="399" spans="2:15">
      <c r="B399" s="227"/>
      <c r="C399" s="227"/>
      <c r="D399" s="228"/>
      <c r="E399" s="228"/>
      <c r="F399" s="228"/>
      <c r="G399" s="228"/>
      <c r="H399" s="228"/>
      <c r="I399" s="234"/>
      <c r="J399" s="229"/>
      <c r="K399" s="230"/>
      <c r="L399" s="230"/>
      <c r="M399" s="227"/>
      <c r="N399" s="227"/>
      <c r="O399" s="227"/>
    </row>
    <row r="400" spans="2:15">
      <c r="B400" s="227"/>
      <c r="C400" s="227"/>
      <c r="D400" s="228"/>
      <c r="E400" s="228"/>
      <c r="F400" s="228"/>
      <c r="G400" s="228"/>
      <c r="H400" s="228"/>
      <c r="I400" s="234"/>
      <c r="J400" s="229"/>
      <c r="K400" s="230"/>
      <c r="L400" s="230"/>
      <c r="M400" s="227"/>
      <c r="N400" s="227"/>
      <c r="O400" s="227"/>
    </row>
    <row r="401" spans="2:15">
      <c r="B401" s="227"/>
      <c r="C401" s="227"/>
      <c r="D401" s="228"/>
      <c r="E401" s="228"/>
      <c r="F401" s="228"/>
      <c r="G401" s="228"/>
      <c r="H401" s="228"/>
      <c r="I401" s="234"/>
      <c r="J401" s="229"/>
      <c r="K401" s="230"/>
      <c r="L401" s="230"/>
      <c r="M401" s="227"/>
      <c r="N401" s="227"/>
      <c r="O401" s="227"/>
    </row>
    <row r="402" spans="2:15">
      <c r="B402" s="227"/>
      <c r="C402" s="227"/>
      <c r="D402" s="228"/>
      <c r="E402" s="228"/>
      <c r="F402" s="228"/>
      <c r="G402" s="228"/>
      <c r="H402" s="228"/>
      <c r="I402" s="234"/>
      <c r="J402" s="229"/>
      <c r="K402" s="230"/>
      <c r="L402" s="230"/>
      <c r="M402" s="227"/>
      <c r="N402" s="227"/>
      <c r="O402" s="227"/>
    </row>
    <row r="403" spans="2:15">
      <c r="B403" s="227"/>
      <c r="C403" s="227"/>
      <c r="D403" s="228"/>
      <c r="E403" s="228"/>
      <c r="F403" s="228"/>
      <c r="G403" s="228"/>
      <c r="H403" s="228"/>
      <c r="I403" s="234"/>
      <c r="J403" s="229"/>
      <c r="K403" s="230"/>
      <c r="L403" s="230"/>
      <c r="M403" s="227"/>
      <c r="N403" s="227"/>
      <c r="O403" s="227"/>
    </row>
    <row r="404" spans="2:15">
      <c r="B404" s="227"/>
      <c r="C404" s="227"/>
      <c r="D404" s="228"/>
      <c r="E404" s="228"/>
      <c r="F404" s="228"/>
      <c r="G404" s="228"/>
      <c r="H404" s="228"/>
      <c r="I404" s="234"/>
      <c r="J404" s="229"/>
      <c r="K404" s="230"/>
      <c r="L404" s="230"/>
      <c r="M404" s="227"/>
      <c r="N404" s="227"/>
      <c r="O404" s="227"/>
    </row>
    <row r="405" spans="2:15">
      <c r="B405" s="227"/>
      <c r="C405" s="227"/>
      <c r="D405" s="228"/>
      <c r="E405" s="228"/>
      <c r="F405" s="228"/>
      <c r="G405" s="228"/>
      <c r="H405" s="228"/>
      <c r="I405" s="234"/>
      <c r="J405" s="229"/>
      <c r="K405" s="230"/>
      <c r="L405" s="230"/>
      <c r="M405" s="227"/>
      <c r="N405" s="227"/>
      <c r="O405" s="227"/>
    </row>
    <row r="406" spans="2:15">
      <c r="B406" s="227"/>
      <c r="C406" s="227"/>
      <c r="D406" s="228"/>
      <c r="E406" s="228"/>
      <c r="F406" s="228"/>
      <c r="G406" s="228"/>
      <c r="H406" s="228"/>
      <c r="I406" s="234"/>
      <c r="J406" s="229"/>
      <c r="K406" s="230"/>
      <c r="L406" s="230"/>
      <c r="M406" s="227"/>
      <c r="N406" s="227"/>
      <c r="O406" s="227"/>
    </row>
    <row r="407" spans="2:15">
      <c r="B407" s="227"/>
      <c r="C407" s="227"/>
      <c r="D407" s="228"/>
      <c r="E407" s="228"/>
      <c r="F407" s="228"/>
      <c r="G407" s="228"/>
      <c r="H407" s="228"/>
      <c r="I407" s="234"/>
      <c r="J407" s="229"/>
      <c r="K407" s="230"/>
      <c r="L407" s="230"/>
      <c r="M407" s="227"/>
      <c r="N407" s="227"/>
      <c r="O407" s="227"/>
    </row>
    <row r="408" spans="2:15">
      <c r="B408" s="227"/>
      <c r="C408" s="227"/>
      <c r="D408" s="228"/>
      <c r="E408" s="228"/>
      <c r="F408" s="228"/>
      <c r="G408" s="228"/>
      <c r="H408" s="228"/>
      <c r="I408" s="234"/>
      <c r="J408" s="229"/>
      <c r="K408" s="230"/>
      <c r="L408" s="230"/>
      <c r="M408" s="227"/>
      <c r="N408" s="227"/>
      <c r="O408" s="227"/>
    </row>
    <row r="409" spans="2:15">
      <c r="B409" s="227"/>
      <c r="C409" s="227"/>
      <c r="D409" s="228"/>
      <c r="E409" s="228"/>
      <c r="F409" s="228"/>
      <c r="G409" s="228"/>
      <c r="H409" s="228"/>
      <c r="I409" s="234"/>
      <c r="J409" s="229"/>
      <c r="K409" s="230"/>
      <c r="L409" s="230"/>
      <c r="M409" s="227"/>
      <c r="N409" s="227"/>
      <c r="O409" s="227"/>
    </row>
    <row r="410" spans="2:15">
      <c r="B410" s="227"/>
      <c r="C410" s="227"/>
      <c r="D410" s="228"/>
      <c r="E410" s="228"/>
      <c r="F410" s="228"/>
      <c r="G410" s="228"/>
      <c r="H410" s="228"/>
      <c r="I410" s="234"/>
      <c r="J410" s="229"/>
      <c r="K410" s="230"/>
      <c r="L410" s="230"/>
      <c r="M410" s="227"/>
      <c r="N410" s="227"/>
      <c r="O410" s="227"/>
    </row>
    <row r="411" spans="2:15">
      <c r="B411" s="227"/>
      <c r="C411" s="227"/>
      <c r="D411" s="228"/>
      <c r="E411" s="228"/>
      <c r="F411" s="228"/>
      <c r="G411" s="228"/>
      <c r="H411" s="228"/>
      <c r="I411" s="234"/>
      <c r="J411" s="229"/>
      <c r="K411" s="230"/>
      <c r="L411" s="230"/>
      <c r="M411" s="227"/>
      <c r="N411" s="227"/>
      <c r="O411" s="227"/>
    </row>
    <row r="412" spans="2:15">
      <c r="B412" s="227"/>
      <c r="C412" s="227"/>
      <c r="D412" s="228"/>
      <c r="E412" s="228"/>
      <c r="F412" s="228"/>
      <c r="G412" s="228"/>
      <c r="H412" s="228"/>
      <c r="I412" s="234"/>
      <c r="J412" s="229"/>
      <c r="K412" s="230"/>
      <c r="L412" s="230"/>
      <c r="M412" s="227"/>
      <c r="N412" s="227"/>
      <c r="O412" s="227"/>
    </row>
    <row r="413" spans="2:15">
      <c r="B413" s="227"/>
      <c r="C413" s="227"/>
      <c r="D413" s="228"/>
      <c r="E413" s="228"/>
      <c r="F413" s="228"/>
      <c r="G413" s="228"/>
      <c r="H413" s="228"/>
      <c r="I413" s="234"/>
      <c r="J413" s="229"/>
      <c r="K413" s="230"/>
      <c r="L413" s="230"/>
      <c r="M413" s="227"/>
      <c r="N413" s="227"/>
      <c r="O413" s="227"/>
    </row>
    <row r="414" spans="2:15">
      <c r="B414" s="227"/>
      <c r="C414" s="227"/>
      <c r="D414" s="228"/>
      <c r="E414" s="228"/>
      <c r="F414" s="228"/>
      <c r="G414" s="228"/>
      <c r="H414" s="228"/>
      <c r="I414" s="234"/>
      <c r="J414" s="229"/>
      <c r="K414" s="230"/>
      <c r="L414" s="230"/>
      <c r="M414" s="227"/>
      <c r="N414" s="227"/>
      <c r="O414" s="227"/>
    </row>
    <row r="415" spans="2:15">
      <c r="B415" s="227"/>
      <c r="C415" s="227"/>
      <c r="D415" s="228"/>
      <c r="E415" s="228"/>
      <c r="F415" s="228"/>
      <c r="G415" s="228"/>
      <c r="H415" s="228"/>
      <c r="I415" s="234"/>
      <c r="J415" s="229"/>
      <c r="K415" s="230"/>
      <c r="L415" s="230"/>
      <c r="M415" s="227"/>
      <c r="N415" s="227"/>
      <c r="O415" s="227"/>
    </row>
    <row r="416" spans="2:15">
      <c r="B416" s="227"/>
      <c r="C416" s="227"/>
      <c r="D416" s="228"/>
      <c r="E416" s="228"/>
      <c r="F416" s="228"/>
      <c r="G416" s="228"/>
      <c r="H416" s="228"/>
      <c r="I416" s="234"/>
      <c r="J416" s="229"/>
      <c r="K416" s="230"/>
      <c r="L416" s="230"/>
      <c r="M416" s="227"/>
      <c r="N416" s="227"/>
      <c r="O416" s="227"/>
    </row>
    <row r="417" spans="2:15">
      <c r="B417" s="227"/>
      <c r="C417" s="227"/>
      <c r="D417" s="228"/>
      <c r="E417" s="228"/>
      <c r="F417" s="228"/>
      <c r="G417" s="228"/>
      <c r="H417" s="228"/>
      <c r="I417" s="234"/>
      <c r="J417" s="229"/>
      <c r="K417" s="230"/>
      <c r="L417" s="230"/>
      <c r="M417" s="227"/>
      <c r="N417" s="227"/>
      <c r="O417" s="227"/>
    </row>
    <row r="418" spans="2:15">
      <c r="B418" s="227"/>
      <c r="C418" s="227"/>
      <c r="D418" s="228"/>
      <c r="E418" s="228"/>
      <c r="F418" s="228"/>
      <c r="G418" s="228"/>
      <c r="H418" s="228"/>
      <c r="I418" s="234"/>
      <c r="J418" s="229"/>
      <c r="K418" s="230"/>
      <c r="L418" s="230"/>
      <c r="M418" s="227"/>
      <c r="N418" s="227"/>
      <c r="O418" s="227"/>
    </row>
    <row r="419" spans="2:15">
      <c r="B419" s="227"/>
      <c r="C419" s="227"/>
      <c r="D419" s="228"/>
      <c r="E419" s="228"/>
      <c r="F419" s="228"/>
      <c r="G419" s="228"/>
      <c r="H419" s="228"/>
      <c r="I419" s="234"/>
      <c r="J419" s="229"/>
      <c r="K419" s="230"/>
      <c r="L419" s="230"/>
      <c r="M419" s="227"/>
      <c r="N419" s="227"/>
      <c r="O419" s="227"/>
    </row>
    <row r="420" spans="2:15">
      <c r="B420" s="227"/>
      <c r="C420" s="227"/>
      <c r="D420" s="228"/>
      <c r="E420" s="228"/>
      <c r="F420" s="228"/>
      <c r="G420" s="228"/>
      <c r="H420" s="228"/>
      <c r="I420" s="234"/>
      <c r="J420" s="229"/>
      <c r="K420" s="230"/>
      <c r="L420" s="230"/>
      <c r="M420" s="227"/>
      <c r="N420" s="227"/>
      <c r="O420" s="227"/>
    </row>
    <row r="421" spans="2:15">
      <c r="B421" s="227"/>
      <c r="C421" s="227"/>
      <c r="D421" s="228"/>
      <c r="E421" s="228"/>
      <c r="F421" s="228"/>
      <c r="G421" s="228"/>
      <c r="H421" s="228"/>
      <c r="I421" s="234"/>
      <c r="J421" s="229"/>
      <c r="K421" s="230"/>
      <c r="L421" s="230"/>
      <c r="M421" s="227"/>
      <c r="N421" s="227"/>
      <c r="O421" s="227"/>
    </row>
    <row r="422" spans="2:15">
      <c r="B422" s="227"/>
      <c r="C422" s="227"/>
      <c r="D422" s="228"/>
      <c r="E422" s="228"/>
      <c r="F422" s="228"/>
      <c r="G422" s="228"/>
      <c r="H422" s="228"/>
      <c r="I422" s="234"/>
      <c r="J422" s="229"/>
      <c r="K422" s="230"/>
      <c r="L422" s="230"/>
      <c r="M422" s="227"/>
      <c r="N422" s="227"/>
      <c r="O422" s="227"/>
    </row>
    <row r="423" spans="2:15">
      <c r="B423" s="227"/>
      <c r="C423" s="227"/>
      <c r="D423" s="228"/>
      <c r="E423" s="228"/>
      <c r="F423" s="228"/>
      <c r="G423" s="228"/>
      <c r="H423" s="228"/>
      <c r="I423" s="234"/>
      <c r="J423" s="229"/>
      <c r="K423" s="230"/>
      <c r="L423" s="230"/>
      <c r="M423" s="227"/>
      <c r="N423" s="227"/>
      <c r="O423" s="227"/>
    </row>
    <row r="424" spans="2:15">
      <c r="B424" s="227"/>
      <c r="C424" s="227"/>
      <c r="D424" s="228"/>
      <c r="E424" s="228"/>
      <c r="F424" s="228"/>
      <c r="G424" s="228"/>
      <c r="H424" s="228"/>
      <c r="I424" s="234"/>
      <c r="J424" s="229"/>
      <c r="K424" s="230"/>
      <c r="L424" s="230"/>
      <c r="M424" s="227"/>
      <c r="N424" s="227"/>
      <c r="O424" s="227"/>
    </row>
    <row r="425" spans="2:15">
      <c r="B425" s="227"/>
      <c r="C425" s="227"/>
      <c r="D425" s="228"/>
      <c r="E425" s="228"/>
      <c r="F425" s="228"/>
      <c r="G425" s="228"/>
      <c r="H425" s="228"/>
      <c r="I425" s="234"/>
      <c r="J425" s="229"/>
      <c r="K425" s="230"/>
      <c r="L425" s="230"/>
      <c r="M425" s="227"/>
      <c r="N425" s="227"/>
      <c r="O425" s="227"/>
    </row>
    <row r="426" spans="2:15">
      <c r="B426" s="227"/>
      <c r="C426" s="227"/>
      <c r="D426" s="228"/>
      <c r="E426" s="228"/>
      <c r="F426" s="228"/>
      <c r="G426" s="228"/>
      <c r="H426" s="228"/>
      <c r="I426" s="234"/>
      <c r="J426" s="229"/>
      <c r="K426" s="230"/>
      <c r="L426" s="230"/>
      <c r="M426" s="227"/>
      <c r="N426" s="227"/>
      <c r="O426" s="227"/>
    </row>
    <row r="427" spans="2:15">
      <c r="B427" s="227"/>
      <c r="C427" s="227"/>
      <c r="D427" s="228"/>
      <c r="E427" s="228"/>
      <c r="F427" s="228"/>
      <c r="G427" s="228"/>
      <c r="H427" s="228"/>
      <c r="I427" s="234"/>
      <c r="J427" s="229"/>
      <c r="K427" s="230"/>
      <c r="L427" s="230"/>
      <c r="M427" s="227"/>
      <c r="N427" s="227"/>
      <c r="O427" s="227"/>
    </row>
    <row r="428" spans="2:15">
      <c r="B428" s="227"/>
      <c r="C428" s="227"/>
      <c r="D428" s="228"/>
      <c r="E428" s="228"/>
      <c r="F428" s="228"/>
      <c r="G428" s="228"/>
      <c r="H428" s="228"/>
      <c r="I428" s="234"/>
      <c r="J428" s="229"/>
      <c r="K428" s="230"/>
      <c r="L428" s="230"/>
      <c r="M428" s="227"/>
      <c r="N428" s="227"/>
      <c r="O428" s="227"/>
    </row>
    <row r="429" spans="2:15">
      <c r="B429" s="227"/>
      <c r="C429" s="227"/>
      <c r="D429" s="228"/>
      <c r="E429" s="228"/>
      <c r="F429" s="228"/>
      <c r="G429" s="228"/>
      <c r="H429" s="228"/>
      <c r="I429" s="234"/>
      <c r="J429" s="229"/>
      <c r="K429" s="230"/>
      <c r="L429" s="230"/>
      <c r="M429" s="227"/>
      <c r="N429" s="227"/>
      <c r="O429" s="227"/>
    </row>
    <row r="430" spans="2:15">
      <c r="B430" s="227"/>
      <c r="C430" s="227"/>
      <c r="D430" s="228"/>
      <c r="E430" s="228"/>
      <c r="F430" s="228"/>
      <c r="G430" s="228"/>
      <c r="H430" s="228"/>
      <c r="I430" s="234"/>
      <c r="J430" s="229"/>
      <c r="K430" s="230"/>
      <c r="L430" s="230"/>
      <c r="M430" s="227"/>
      <c r="N430" s="227"/>
      <c r="O430" s="227"/>
    </row>
    <row r="431" spans="2:15">
      <c r="B431" s="227"/>
      <c r="C431" s="227"/>
      <c r="D431" s="228"/>
      <c r="E431" s="228"/>
      <c r="F431" s="228"/>
      <c r="G431" s="228"/>
      <c r="H431" s="228"/>
      <c r="I431" s="234"/>
      <c r="J431" s="229"/>
      <c r="K431" s="230"/>
      <c r="L431" s="230"/>
      <c r="M431" s="227"/>
      <c r="N431" s="227"/>
      <c r="O431" s="227"/>
    </row>
    <row r="432" spans="2:15">
      <c r="B432" s="227"/>
      <c r="C432" s="227"/>
      <c r="D432" s="228"/>
      <c r="E432" s="228"/>
      <c r="F432" s="228"/>
      <c r="G432" s="228"/>
      <c r="H432" s="228"/>
      <c r="I432" s="234"/>
      <c r="J432" s="229"/>
      <c r="K432" s="230"/>
      <c r="L432" s="230"/>
      <c r="M432" s="227"/>
      <c r="N432" s="227"/>
      <c r="O432" s="227"/>
    </row>
    <row r="433" spans="2:15">
      <c r="B433" s="227"/>
      <c r="C433" s="227"/>
      <c r="D433" s="228"/>
      <c r="E433" s="228"/>
      <c r="F433" s="228"/>
      <c r="G433" s="228"/>
      <c r="H433" s="228"/>
      <c r="I433" s="234"/>
      <c r="J433" s="229"/>
      <c r="K433" s="230"/>
      <c r="L433" s="230"/>
      <c r="M433" s="227"/>
      <c r="N433" s="227"/>
      <c r="O433" s="227"/>
    </row>
    <row r="434" spans="2:15">
      <c r="B434" s="227"/>
      <c r="C434" s="227"/>
      <c r="D434" s="228"/>
      <c r="E434" s="228"/>
      <c r="F434" s="228"/>
      <c r="G434" s="228"/>
      <c r="H434" s="228"/>
      <c r="I434" s="234"/>
      <c r="J434" s="229"/>
      <c r="K434" s="230"/>
      <c r="L434" s="230"/>
      <c r="M434" s="227"/>
      <c r="N434" s="227"/>
      <c r="O434" s="227"/>
    </row>
    <row r="435" spans="2:15">
      <c r="B435" s="227"/>
      <c r="C435" s="227"/>
      <c r="D435" s="228"/>
      <c r="E435" s="228"/>
      <c r="F435" s="228"/>
      <c r="G435" s="228"/>
      <c r="H435" s="228"/>
      <c r="I435" s="234"/>
      <c r="J435" s="229"/>
      <c r="K435" s="230"/>
      <c r="L435" s="230"/>
      <c r="M435" s="227"/>
      <c r="N435" s="227"/>
      <c r="O435" s="227"/>
    </row>
    <row r="436" spans="2:15">
      <c r="B436" s="227"/>
      <c r="C436" s="227"/>
      <c r="D436" s="228"/>
      <c r="E436" s="228"/>
      <c r="F436" s="228"/>
      <c r="G436" s="228"/>
      <c r="H436" s="228"/>
      <c r="I436" s="234"/>
      <c r="J436" s="229"/>
      <c r="K436" s="230"/>
      <c r="L436" s="230"/>
      <c r="M436" s="227"/>
      <c r="N436" s="227"/>
      <c r="O436" s="227"/>
    </row>
    <row r="437" spans="2:15">
      <c r="B437" s="227"/>
      <c r="C437" s="227"/>
      <c r="D437" s="228"/>
      <c r="E437" s="228"/>
      <c r="F437" s="228"/>
      <c r="G437" s="228"/>
      <c r="H437" s="228"/>
      <c r="I437" s="234"/>
      <c r="J437" s="229"/>
      <c r="K437" s="230"/>
      <c r="L437" s="230"/>
      <c r="M437" s="227"/>
      <c r="N437" s="227"/>
      <c r="O437" s="227"/>
    </row>
    <row r="438" spans="2:15">
      <c r="B438" s="227"/>
      <c r="C438" s="227"/>
      <c r="D438" s="228"/>
      <c r="E438" s="228"/>
      <c r="F438" s="228"/>
      <c r="G438" s="228"/>
      <c r="H438" s="228"/>
      <c r="I438" s="234"/>
      <c r="J438" s="229"/>
      <c r="K438" s="230"/>
      <c r="L438" s="230"/>
      <c r="M438" s="227"/>
      <c r="N438" s="227"/>
      <c r="O438" s="227"/>
    </row>
    <row r="439" spans="2:15">
      <c r="B439" s="227"/>
      <c r="C439" s="227"/>
      <c r="D439" s="228"/>
      <c r="E439" s="228"/>
      <c r="F439" s="228"/>
      <c r="G439" s="228"/>
      <c r="H439" s="228"/>
      <c r="I439" s="234"/>
      <c r="J439" s="229"/>
      <c r="K439" s="230"/>
      <c r="L439" s="230"/>
      <c r="M439" s="227"/>
      <c r="N439" s="227"/>
      <c r="O439" s="227"/>
    </row>
    <row r="440" spans="2:15">
      <c r="B440" s="227"/>
      <c r="C440" s="227"/>
      <c r="D440" s="228"/>
      <c r="E440" s="228"/>
      <c r="F440" s="228"/>
      <c r="G440" s="228"/>
      <c r="H440" s="228"/>
      <c r="I440" s="234"/>
      <c r="J440" s="229"/>
      <c r="K440" s="230"/>
      <c r="L440" s="230"/>
      <c r="M440" s="227"/>
      <c r="N440" s="227"/>
      <c r="O440" s="227"/>
    </row>
    <row r="441" spans="2:15">
      <c r="B441" s="227"/>
      <c r="C441" s="227"/>
      <c r="D441" s="228"/>
      <c r="E441" s="228"/>
      <c r="F441" s="228"/>
      <c r="G441" s="228"/>
      <c r="H441" s="228"/>
      <c r="I441" s="234"/>
      <c r="J441" s="229"/>
      <c r="K441" s="230"/>
      <c r="L441" s="230"/>
      <c r="M441" s="227"/>
      <c r="N441" s="227"/>
      <c r="O441" s="227"/>
    </row>
    <row r="442" spans="2:15">
      <c r="B442" s="227"/>
      <c r="C442" s="227"/>
      <c r="D442" s="228"/>
      <c r="E442" s="228"/>
      <c r="F442" s="228"/>
      <c r="G442" s="228"/>
      <c r="H442" s="228"/>
      <c r="I442" s="234"/>
      <c r="J442" s="229"/>
      <c r="K442" s="230"/>
      <c r="L442" s="230"/>
      <c r="M442" s="227"/>
      <c r="N442" s="227"/>
      <c r="O442" s="227"/>
    </row>
    <row r="443" spans="2:15">
      <c r="B443" s="227"/>
      <c r="C443" s="227"/>
      <c r="D443" s="228"/>
      <c r="E443" s="228"/>
      <c r="F443" s="228"/>
      <c r="G443" s="228"/>
      <c r="H443" s="228"/>
      <c r="I443" s="234"/>
      <c r="J443" s="229"/>
      <c r="K443" s="230"/>
      <c r="L443" s="230"/>
      <c r="M443" s="227"/>
      <c r="N443" s="227"/>
      <c r="O443" s="227"/>
    </row>
    <row r="444" spans="2:15">
      <c r="B444" s="227"/>
      <c r="C444" s="227"/>
      <c r="D444" s="228"/>
      <c r="E444" s="228"/>
      <c r="F444" s="228"/>
      <c r="G444" s="228"/>
      <c r="H444" s="228"/>
      <c r="I444" s="234"/>
      <c r="J444" s="229"/>
      <c r="K444" s="230"/>
      <c r="L444" s="230"/>
      <c r="M444" s="227"/>
      <c r="N444" s="227"/>
      <c r="O444" s="227"/>
    </row>
    <row r="445" spans="2:15">
      <c r="B445" s="227"/>
      <c r="C445" s="227"/>
      <c r="D445" s="228"/>
      <c r="E445" s="228"/>
      <c r="F445" s="228"/>
      <c r="G445" s="228"/>
      <c r="H445" s="228"/>
      <c r="I445" s="234"/>
      <c r="J445" s="229"/>
      <c r="K445" s="230"/>
      <c r="L445" s="230"/>
      <c r="M445" s="227"/>
      <c r="N445" s="227"/>
      <c r="O445" s="227"/>
    </row>
    <row r="446" spans="2:15">
      <c r="B446" s="227"/>
      <c r="C446" s="227"/>
      <c r="D446" s="228"/>
      <c r="E446" s="228"/>
      <c r="F446" s="228"/>
      <c r="G446" s="228"/>
      <c r="H446" s="228"/>
      <c r="I446" s="234"/>
      <c r="J446" s="229"/>
      <c r="K446" s="230"/>
      <c r="L446" s="230"/>
      <c r="M446" s="227"/>
      <c r="N446" s="227"/>
      <c r="O446" s="227"/>
    </row>
    <row r="447" spans="2:15">
      <c r="B447" s="227"/>
      <c r="C447" s="227"/>
      <c r="D447" s="228"/>
      <c r="E447" s="228"/>
      <c r="F447" s="228"/>
      <c r="G447" s="228"/>
      <c r="H447" s="228"/>
      <c r="I447" s="234"/>
      <c r="J447" s="229"/>
      <c r="K447" s="230"/>
      <c r="L447" s="230"/>
      <c r="M447" s="227"/>
      <c r="N447" s="227"/>
      <c r="O447" s="227"/>
    </row>
    <row r="448" spans="2:15">
      <c r="B448" s="227"/>
      <c r="C448" s="227"/>
      <c r="D448" s="228"/>
      <c r="E448" s="228"/>
      <c r="F448" s="228"/>
      <c r="G448" s="228"/>
      <c r="H448" s="228"/>
      <c r="I448" s="234"/>
      <c r="J448" s="229"/>
      <c r="K448" s="230"/>
      <c r="L448" s="230"/>
      <c r="M448" s="227"/>
      <c r="N448" s="227"/>
      <c r="O448" s="227"/>
    </row>
    <row r="449" spans="2:15">
      <c r="B449" s="227"/>
      <c r="C449" s="227"/>
      <c r="D449" s="228"/>
      <c r="E449" s="228"/>
      <c r="F449" s="228"/>
      <c r="G449" s="228"/>
      <c r="H449" s="228"/>
      <c r="I449" s="234"/>
      <c r="J449" s="229"/>
      <c r="K449" s="230"/>
      <c r="L449" s="230"/>
      <c r="M449" s="227"/>
      <c r="N449" s="227"/>
      <c r="O449" s="227"/>
    </row>
    <row r="450" spans="2:15">
      <c r="B450" s="227"/>
      <c r="C450" s="227"/>
      <c r="D450" s="228"/>
      <c r="E450" s="228"/>
      <c r="F450" s="228"/>
      <c r="G450" s="228"/>
      <c r="H450" s="228"/>
      <c r="I450" s="234"/>
      <c r="J450" s="229"/>
      <c r="K450" s="230"/>
      <c r="L450" s="230"/>
      <c r="M450" s="227"/>
      <c r="N450" s="227"/>
      <c r="O450" s="227"/>
    </row>
    <row r="451" spans="2:15">
      <c r="B451" s="227"/>
      <c r="C451" s="227"/>
      <c r="D451" s="228"/>
      <c r="E451" s="228"/>
      <c r="F451" s="228"/>
      <c r="G451" s="228"/>
      <c r="H451" s="228"/>
      <c r="I451" s="234"/>
      <c r="J451" s="229"/>
      <c r="K451" s="230"/>
      <c r="L451" s="230"/>
      <c r="M451" s="227"/>
      <c r="N451" s="227"/>
      <c r="O451" s="227"/>
    </row>
    <row r="452" spans="2:15">
      <c r="B452" s="227"/>
      <c r="C452" s="227"/>
      <c r="D452" s="228"/>
      <c r="E452" s="228"/>
      <c r="F452" s="228"/>
      <c r="G452" s="228"/>
      <c r="H452" s="228"/>
      <c r="I452" s="234"/>
      <c r="J452" s="229"/>
      <c r="K452" s="230"/>
      <c r="L452" s="230"/>
      <c r="M452" s="227"/>
      <c r="N452" s="227"/>
      <c r="O452" s="227"/>
    </row>
    <row r="453" spans="2:15">
      <c r="B453" s="227"/>
      <c r="C453" s="227"/>
      <c r="D453" s="228"/>
      <c r="E453" s="228"/>
      <c r="F453" s="228"/>
      <c r="G453" s="228"/>
      <c r="H453" s="228"/>
      <c r="I453" s="234"/>
      <c r="J453" s="229"/>
      <c r="K453" s="230"/>
      <c r="L453" s="230"/>
      <c r="M453" s="227"/>
      <c r="N453" s="227"/>
      <c r="O453" s="227"/>
    </row>
    <row r="454" spans="2:15">
      <c r="B454" s="227"/>
      <c r="C454" s="227"/>
      <c r="D454" s="228"/>
      <c r="E454" s="228"/>
      <c r="F454" s="228"/>
      <c r="G454" s="228"/>
      <c r="H454" s="228"/>
      <c r="I454" s="234"/>
      <c r="J454" s="229"/>
      <c r="K454" s="230"/>
      <c r="L454" s="230"/>
      <c r="M454" s="227"/>
      <c r="N454" s="227"/>
      <c r="O454" s="227"/>
    </row>
    <row r="455" spans="2:15">
      <c r="B455" s="227"/>
      <c r="C455" s="227"/>
      <c r="D455" s="228"/>
      <c r="E455" s="228"/>
      <c r="F455" s="228"/>
      <c r="G455" s="228"/>
      <c r="H455" s="228"/>
      <c r="I455" s="234"/>
      <c r="J455" s="229"/>
      <c r="K455" s="230"/>
      <c r="L455" s="230"/>
      <c r="M455" s="227"/>
      <c r="N455" s="227"/>
      <c r="O455" s="227"/>
    </row>
    <row r="456" spans="2:15">
      <c r="B456" s="227"/>
      <c r="C456" s="227"/>
      <c r="D456" s="228"/>
      <c r="E456" s="228"/>
      <c r="F456" s="228"/>
      <c r="G456" s="228"/>
      <c r="H456" s="228"/>
      <c r="I456" s="234"/>
      <c r="J456" s="229"/>
      <c r="K456" s="230"/>
      <c r="L456" s="230"/>
      <c r="M456" s="227"/>
      <c r="N456" s="227"/>
      <c r="O456" s="227"/>
    </row>
    <row r="457" spans="2:15">
      <c r="B457" s="227"/>
      <c r="C457" s="227"/>
      <c r="D457" s="228"/>
      <c r="E457" s="228"/>
      <c r="F457" s="228"/>
      <c r="G457" s="228"/>
      <c r="H457" s="228"/>
      <c r="I457" s="234"/>
      <c r="J457" s="229"/>
      <c r="K457" s="230"/>
      <c r="L457" s="230"/>
      <c r="M457" s="227"/>
      <c r="N457" s="227"/>
      <c r="O457" s="227"/>
    </row>
    <row r="458" spans="2:15">
      <c r="B458" s="227"/>
      <c r="C458" s="227"/>
      <c r="D458" s="228"/>
      <c r="E458" s="228"/>
      <c r="F458" s="228"/>
      <c r="G458" s="228"/>
      <c r="H458" s="228"/>
      <c r="I458" s="234"/>
      <c r="J458" s="229"/>
      <c r="K458" s="230"/>
      <c r="L458" s="230"/>
      <c r="M458" s="227"/>
      <c r="N458" s="227"/>
      <c r="O458" s="227"/>
    </row>
    <row r="459" spans="2:15">
      <c r="B459" s="227"/>
      <c r="C459" s="227"/>
      <c r="D459" s="228"/>
      <c r="E459" s="228"/>
      <c r="F459" s="228"/>
      <c r="G459" s="228"/>
      <c r="H459" s="228"/>
      <c r="I459" s="234"/>
      <c r="J459" s="229"/>
      <c r="K459" s="230"/>
      <c r="L459" s="230"/>
      <c r="M459" s="227"/>
      <c r="N459" s="227"/>
      <c r="O459" s="227"/>
    </row>
    <row r="460" spans="2:15">
      <c r="B460" s="227"/>
      <c r="C460" s="227"/>
      <c r="D460" s="228"/>
      <c r="E460" s="228"/>
      <c r="F460" s="228"/>
      <c r="G460" s="228"/>
      <c r="H460" s="228"/>
      <c r="I460" s="234"/>
      <c r="J460" s="229"/>
      <c r="K460" s="230"/>
      <c r="L460" s="230"/>
      <c r="M460" s="227"/>
      <c r="N460" s="227"/>
      <c r="O460" s="227"/>
    </row>
    <row r="461" spans="2:15">
      <c r="B461" s="227"/>
      <c r="C461" s="227"/>
      <c r="D461" s="228"/>
      <c r="E461" s="228"/>
      <c r="F461" s="228"/>
      <c r="G461" s="228"/>
      <c r="H461" s="228"/>
      <c r="I461" s="234"/>
      <c r="J461" s="229"/>
      <c r="K461" s="230"/>
      <c r="L461" s="230"/>
      <c r="M461" s="227"/>
      <c r="N461" s="227"/>
      <c r="O461" s="227"/>
    </row>
    <row r="462" spans="2:15">
      <c r="B462" s="227"/>
      <c r="C462" s="227"/>
      <c r="D462" s="228"/>
      <c r="E462" s="228"/>
      <c r="F462" s="228"/>
      <c r="G462" s="228"/>
      <c r="H462" s="228"/>
      <c r="I462" s="234"/>
      <c r="J462" s="229"/>
      <c r="K462" s="230"/>
      <c r="L462" s="230"/>
      <c r="M462" s="227"/>
      <c r="N462" s="227"/>
      <c r="O462" s="227"/>
    </row>
    <row r="463" spans="2:15">
      <c r="B463" s="227"/>
      <c r="C463" s="227"/>
      <c r="D463" s="228"/>
      <c r="E463" s="228"/>
      <c r="F463" s="228"/>
      <c r="G463" s="228"/>
      <c r="H463" s="228"/>
      <c r="I463" s="234"/>
      <c r="J463" s="229"/>
      <c r="K463" s="230"/>
      <c r="L463" s="230"/>
      <c r="M463" s="227"/>
      <c r="N463" s="227"/>
      <c r="O463" s="227"/>
    </row>
    <row r="464" spans="2:15">
      <c r="B464" s="227"/>
      <c r="C464" s="227"/>
      <c r="D464" s="228"/>
      <c r="E464" s="228"/>
      <c r="F464" s="228"/>
      <c r="G464" s="228"/>
      <c r="H464" s="228"/>
      <c r="I464" s="234"/>
      <c r="J464" s="229"/>
      <c r="K464" s="230"/>
      <c r="L464" s="230"/>
      <c r="M464" s="227"/>
      <c r="N464" s="227"/>
      <c r="O464" s="227"/>
    </row>
    <row r="465" spans="2:15">
      <c r="B465" s="227"/>
      <c r="C465" s="227"/>
      <c r="D465" s="228"/>
      <c r="E465" s="228"/>
      <c r="F465" s="228"/>
      <c r="G465" s="228"/>
      <c r="H465" s="228"/>
      <c r="I465" s="234"/>
      <c r="J465" s="229"/>
      <c r="K465" s="230"/>
      <c r="L465" s="230"/>
      <c r="M465" s="227"/>
      <c r="N465" s="227"/>
      <c r="O465" s="227"/>
    </row>
    <row r="466" spans="2:15">
      <c r="B466" s="227"/>
      <c r="C466" s="227"/>
      <c r="D466" s="228"/>
      <c r="E466" s="228"/>
      <c r="F466" s="228"/>
      <c r="G466" s="228"/>
      <c r="H466" s="228"/>
      <c r="I466" s="234"/>
      <c r="J466" s="229"/>
      <c r="K466" s="230"/>
      <c r="L466" s="230"/>
      <c r="M466" s="227"/>
      <c r="N466" s="227"/>
      <c r="O466" s="227"/>
    </row>
    <row r="467" spans="2:15">
      <c r="B467" s="227"/>
      <c r="C467" s="227"/>
      <c r="D467" s="228"/>
      <c r="E467" s="228"/>
      <c r="F467" s="228"/>
      <c r="G467" s="228"/>
      <c r="H467" s="228"/>
      <c r="I467" s="234"/>
      <c r="J467" s="229"/>
      <c r="K467" s="230"/>
      <c r="L467" s="230"/>
      <c r="M467" s="227"/>
      <c r="N467" s="227"/>
      <c r="O467" s="227"/>
    </row>
    <row r="468" spans="2:15">
      <c r="B468" s="227"/>
      <c r="C468" s="227"/>
      <c r="D468" s="228"/>
      <c r="E468" s="228"/>
      <c r="F468" s="228"/>
      <c r="G468" s="228"/>
      <c r="H468" s="228"/>
      <c r="I468" s="234"/>
      <c r="J468" s="229"/>
      <c r="K468" s="230"/>
      <c r="L468" s="230"/>
      <c r="M468" s="227"/>
      <c r="N468" s="227"/>
      <c r="O468" s="227"/>
    </row>
    <row r="469" spans="2:15">
      <c r="B469" s="227"/>
      <c r="C469" s="227"/>
      <c r="D469" s="228"/>
      <c r="E469" s="228"/>
      <c r="F469" s="228"/>
      <c r="G469" s="228"/>
      <c r="H469" s="228"/>
      <c r="I469" s="234"/>
      <c r="J469" s="229"/>
      <c r="K469" s="230"/>
      <c r="L469" s="230"/>
      <c r="M469" s="227"/>
      <c r="N469" s="227"/>
      <c r="O469" s="227"/>
    </row>
    <row r="470" spans="2:15">
      <c r="B470" s="227"/>
      <c r="C470" s="227"/>
      <c r="D470" s="228"/>
      <c r="E470" s="228"/>
      <c r="F470" s="228"/>
      <c r="G470" s="228"/>
      <c r="H470" s="228"/>
      <c r="I470" s="234"/>
      <c r="J470" s="229"/>
      <c r="K470" s="230"/>
      <c r="L470" s="230"/>
      <c r="M470" s="227"/>
      <c r="N470" s="227"/>
      <c r="O470" s="227"/>
    </row>
    <row r="471" spans="2:15">
      <c r="B471" s="227"/>
      <c r="C471" s="227"/>
      <c r="D471" s="228"/>
      <c r="E471" s="228"/>
      <c r="F471" s="228"/>
      <c r="G471" s="228"/>
      <c r="H471" s="228"/>
      <c r="I471" s="234"/>
      <c r="J471" s="229"/>
      <c r="K471" s="230"/>
      <c r="L471" s="230"/>
      <c r="M471" s="227"/>
      <c r="N471" s="227"/>
      <c r="O471" s="227"/>
    </row>
    <row r="472" spans="2:15">
      <c r="B472" s="227"/>
      <c r="C472" s="227"/>
      <c r="D472" s="228"/>
      <c r="E472" s="228"/>
      <c r="F472" s="228"/>
      <c r="G472" s="228"/>
      <c r="H472" s="228"/>
      <c r="I472" s="234"/>
      <c r="J472" s="229"/>
      <c r="K472" s="230"/>
      <c r="L472" s="230"/>
      <c r="M472" s="227"/>
      <c r="N472" s="227"/>
      <c r="O472" s="227"/>
    </row>
    <row r="473" spans="2:15">
      <c r="B473" s="227"/>
      <c r="C473" s="227"/>
      <c r="D473" s="228"/>
      <c r="E473" s="228"/>
      <c r="F473" s="228"/>
      <c r="G473" s="228"/>
      <c r="H473" s="228"/>
      <c r="I473" s="234"/>
      <c r="J473" s="229"/>
      <c r="K473" s="230"/>
      <c r="L473" s="230"/>
      <c r="M473" s="227"/>
      <c r="N473" s="227"/>
      <c r="O473" s="227"/>
    </row>
    <row r="474" spans="2:15">
      <c r="B474" s="227"/>
      <c r="C474" s="227"/>
      <c r="D474" s="228"/>
      <c r="E474" s="228"/>
      <c r="F474" s="228"/>
      <c r="G474" s="228"/>
      <c r="H474" s="228"/>
      <c r="I474" s="234"/>
      <c r="J474" s="229"/>
      <c r="K474" s="230"/>
      <c r="L474" s="230"/>
      <c r="M474" s="227"/>
      <c r="N474" s="227"/>
      <c r="O474" s="227"/>
    </row>
  </sheetData>
  <mergeCells count="1">
    <mergeCell ref="Q3:R3"/>
  </mergeCells>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sheetPr codeName="Sheet14"/>
  <dimension ref="A1:S222"/>
  <sheetViews>
    <sheetView workbookViewId="0">
      <selection activeCell="E7" sqref="E7:E222"/>
    </sheetView>
  </sheetViews>
  <sheetFormatPr defaultRowHeight="15"/>
  <cols>
    <col min="1" max="1" width="9.140625" style="296"/>
    <col min="2" max="2" width="43" style="296" customWidth="1"/>
    <col min="3" max="3" width="9.140625" style="296"/>
    <col min="4" max="4" width="7.140625" style="299" customWidth="1"/>
    <col min="5" max="6" width="9.140625" style="296"/>
    <col min="7" max="7" width="15.5703125" style="296" customWidth="1"/>
    <col min="8" max="9" width="9.5703125" style="296" customWidth="1"/>
    <col min="10" max="10" width="9.140625" style="296"/>
    <col min="11" max="11" width="2.42578125" style="296" customWidth="1"/>
    <col min="12" max="16384" width="9.140625" style="296"/>
  </cols>
  <sheetData>
    <row r="1" spans="1:13" ht="16.5" thickTop="1" thickBot="1">
      <c r="D1" s="297" t="s">
        <v>1043</v>
      </c>
      <c r="E1" s="298">
        <v>8.5</v>
      </c>
      <c r="G1" s="296" t="s">
        <v>1044</v>
      </c>
      <c r="H1" s="298">
        <v>0.75</v>
      </c>
    </row>
    <row r="2" spans="1:13" ht="16.5" thickTop="1" thickBot="1">
      <c r="D2" s="297" t="s">
        <v>1045</v>
      </c>
      <c r="E2" s="298">
        <v>14</v>
      </c>
    </row>
    <row r="3" spans="1:13" ht="16.5" thickTop="1" thickBot="1">
      <c r="D3" s="297"/>
    </row>
    <row r="4" spans="1:13" ht="16.5" thickTop="1" thickBot="1">
      <c r="D4" s="297" t="s">
        <v>1046</v>
      </c>
      <c r="E4" s="298">
        <v>13</v>
      </c>
    </row>
    <row r="5" spans="1:13" ht="15.75" thickTop="1"/>
    <row r="6" spans="1:13" s="300" customFormat="1" ht="45">
      <c r="B6" s="301"/>
      <c r="C6" s="301" t="s">
        <v>754</v>
      </c>
      <c r="D6" s="302" t="s">
        <v>1047</v>
      </c>
      <c r="E6" s="301" t="s">
        <v>1048</v>
      </c>
      <c r="F6" s="301" t="s">
        <v>1049</v>
      </c>
      <c r="G6" s="302"/>
      <c r="H6" s="302" t="s">
        <v>1050</v>
      </c>
      <c r="I6" s="302" t="s">
        <v>1051</v>
      </c>
      <c r="J6" s="302" t="s">
        <v>1052</v>
      </c>
      <c r="K6" s="302"/>
      <c r="M6" s="302" t="s">
        <v>1053</v>
      </c>
    </row>
    <row r="7" spans="1:13" ht="15" customHeight="1">
      <c r="A7" s="621" t="s">
        <v>1054</v>
      </c>
      <c r="B7" s="296" t="str">
        <f>AdjustedOutput!A5</f>
        <v>NWHZ1CZ1_1568n_20hp85_des0</v>
      </c>
      <c r="C7" s="310" t="str">
        <f>LEFT(AdjustedOutput!W5,6)</f>
        <v>HZ1CZ1</v>
      </c>
      <c r="D7" s="303">
        <f>AdjustedOutput!F5</f>
        <v>337.92012199999999</v>
      </c>
      <c r="E7" s="303">
        <f>AdjustedOutput!U5</f>
        <v>3060.0450978044996</v>
      </c>
      <c r="F7" s="303">
        <f>IF(MID(B7,18,2)="hp",AdjustedOutput!X5*14.5/analysis!$E$2,AdjustedOutput!X5)</f>
        <v>317.95466185714287</v>
      </c>
    </row>
    <row r="8" spans="1:13">
      <c r="A8" s="622"/>
      <c r="B8" s="296" t="str">
        <f>AdjustedOutput!A6</f>
        <v>NWHZ1CZ2_1568n_20hp85_des0</v>
      </c>
      <c r="C8" s="310" t="str">
        <f>LEFT(AdjustedOutput!W6,6)</f>
        <v>HZ1CZ2</v>
      </c>
      <c r="D8" s="303">
        <f>AdjustedOutput!F6</f>
        <v>337.92012199999999</v>
      </c>
      <c r="E8" s="303">
        <f>AdjustedOutput!U6</f>
        <v>3060.0450978044996</v>
      </c>
      <c r="F8" s="303">
        <f>IF(MID(B8,18,2)="hp",AdjustedOutput!X6*14.5/analysis!$E$2,AdjustedOutput!X6)</f>
        <v>585.3610943214286</v>
      </c>
    </row>
    <row r="9" spans="1:13">
      <c r="A9" s="622"/>
      <c r="B9" s="296" t="str">
        <f>AdjustedOutput!A7</f>
        <v>NWHZ1CZ3_1568n_20hp85_des0</v>
      </c>
      <c r="C9" s="310" t="str">
        <f>LEFT(AdjustedOutput!W7,6)</f>
        <v>HZ1CZ3</v>
      </c>
      <c r="D9" s="303">
        <f>AdjustedOutput!F7</f>
        <v>337.92012199999999</v>
      </c>
      <c r="E9" s="303">
        <f>AdjustedOutput!U7</f>
        <v>3060.0450978044996</v>
      </c>
      <c r="F9" s="303">
        <f>IF(MID(B9,18,2)="hp",AdjustedOutput!X7*14.5/analysis!$E$2,AdjustedOutput!X7)</f>
        <v>929.6610537142858</v>
      </c>
    </row>
    <row r="10" spans="1:13">
      <c r="A10" s="622"/>
      <c r="B10" s="296" t="str">
        <f>AdjustedOutput!A8</f>
        <v>WxHZ1CZ1_1568e_20hp85_des0</v>
      </c>
      <c r="C10" s="310" t="str">
        <f>LEFT(AdjustedOutput!W8,6)</f>
        <v>HZ1CZ1</v>
      </c>
      <c r="D10" s="303">
        <f>AdjustedOutput!F8</f>
        <v>376.79783300000003</v>
      </c>
      <c r="E10" s="303">
        <f>AdjustedOutput!U8</f>
        <v>3428.0784316538302</v>
      </c>
      <c r="F10" s="303">
        <f>IF(MID(B10,18,2)="hp",AdjustedOutput!X8*14.5/analysis!$E$2,AdjustedOutput!X8)</f>
        <v>293.9713045357143</v>
      </c>
    </row>
    <row r="11" spans="1:13">
      <c r="A11" s="622"/>
      <c r="B11" s="296" t="str">
        <f>AdjustedOutput!A9</f>
        <v>WxHZ1CZ2_1568e_20hp85_des0</v>
      </c>
      <c r="C11" s="310" t="str">
        <f>LEFT(AdjustedOutput!W9,6)</f>
        <v>HZ1CZ2</v>
      </c>
      <c r="D11" s="303">
        <f>AdjustedOutput!F9</f>
        <v>376.79783300000003</v>
      </c>
      <c r="E11" s="303">
        <f>AdjustedOutput!U9</f>
        <v>3428.0784316538302</v>
      </c>
      <c r="F11" s="303">
        <f>IF(MID(B11,18,2)="hp",AdjustedOutput!X9*14.5/analysis!$E$2,AdjustedOutput!X9)</f>
        <v>569.61329889285719</v>
      </c>
    </row>
    <row r="12" spans="1:13">
      <c r="A12" s="622"/>
      <c r="B12" s="296" t="str">
        <f>AdjustedOutput!A10</f>
        <v>WxHZ1CZ3_1568e_20hp85_des0</v>
      </c>
      <c r="C12" s="310" t="str">
        <f>LEFT(AdjustedOutput!W10,6)</f>
        <v>HZ1CZ3</v>
      </c>
      <c r="D12" s="303">
        <f>AdjustedOutput!F10</f>
        <v>376.79783300000003</v>
      </c>
      <c r="E12" s="303">
        <f>AdjustedOutput!U10</f>
        <v>3428.0784316538302</v>
      </c>
      <c r="F12" s="303">
        <f>IF(MID(B12,18,2)="hp",AdjustedOutput!X10*14.5/analysis!$E$2,AdjustedOutput!X10)</f>
        <v>928.46766953571421</v>
      </c>
    </row>
    <row r="13" spans="1:13">
      <c r="A13" s="622"/>
      <c r="B13" s="296" t="str">
        <f>AdjustedOutput!A11</f>
        <v>NWHZ2CZ1_1568n_20hp85_des0</v>
      </c>
      <c r="C13" s="310" t="str">
        <f>LEFT(AdjustedOutput!W11,6)</f>
        <v>HZ2CZ1</v>
      </c>
      <c r="D13" s="303">
        <f>AdjustedOutput!F11</f>
        <v>340.87222600000001</v>
      </c>
      <c r="E13" s="303">
        <f>AdjustedOutput!U11</f>
        <v>4597.0617907135775</v>
      </c>
      <c r="F13" s="303">
        <f>IF(MID(B13,18,2)="hp",AdjustedOutput!X11*14.5/analysis!$E$2,AdjustedOutput!X11)</f>
        <v>317.95466185714287</v>
      </c>
    </row>
    <row r="14" spans="1:13">
      <c r="A14" s="622"/>
      <c r="B14" s="296" t="str">
        <f>AdjustedOutput!A12</f>
        <v>NWHZ2CZ2_1568n_20hp85_des0</v>
      </c>
      <c r="C14" s="310" t="str">
        <f>LEFT(AdjustedOutput!W12,6)</f>
        <v>HZ2CZ2</v>
      </c>
      <c r="D14" s="303">
        <f>AdjustedOutput!F12</f>
        <v>340.87222600000001</v>
      </c>
      <c r="E14" s="303">
        <f>AdjustedOutput!U12</f>
        <v>4597.0617907135775</v>
      </c>
      <c r="F14" s="303">
        <f>IF(MID(B14,18,2)="hp",AdjustedOutput!X12*14.5/analysis!$E$2,AdjustedOutput!X12)</f>
        <v>585.3610943214286</v>
      </c>
    </row>
    <row r="15" spans="1:13">
      <c r="A15" s="622"/>
      <c r="B15" s="296" t="str">
        <f>AdjustedOutput!A13</f>
        <v>NWHZ2CZ3_1568n_20hp85_des0</v>
      </c>
      <c r="C15" s="310" t="str">
        <f>LEFT(AdjustedOutput!W13,6)</f>
        <v>HZ2CZ3</v>
      </c>
      <c r="D15" s="303">
        <f>AdjustedOutput!F13</f>
        <v>340.87222600000001</v>
      </c>
      <c r="E15" s="303">
        <f>AdjustedOutput!U13</f>
        <v>4597.0617907135775</v>
      </c>
      <c r="F15" s="303">
        <f>IF(MID(B15,18,2)="hp",AdjustedOutput!X13*14.5/analysis!$E$2,AdjustedOutput!X13)</f>
        <v>929.6610537142858</v>
      </c>
    </row>
    <row r="16" spans="1:13">
      <c r="A16" s="622"/>
      <c r="B16" s="296" t="str">
        <f>AdjustedOutput!A14</f>
        <v>WxHZ2CZ1_1568e_20hp85_des0</v>
      </c>
      <c r="C16" s="310" t="str">
        <f>LEFT(AdjustedOutput!W14,6)</f>
        <v>HZ2CZ1</v>
      </c>
      <c r="D16" s="303">
        <f>AdjustedOutput!F14</f>
        <v>379.89995499999998</v>
      </c>
      <c r="E16" s="303">
        <f>AdjustedOutput!U14</f>
        <v>5103.5154538625793</v>
      </c>
      <c r="F16" s="303">
        <f>IF(MID(B16,18,2)="hp",AdjustedOutput!X14*14.5/analysis!$E$2,AdjustedOutput!X14)</f>
        <v>293.9713045357143</v>
      </c>
    </row>
    <row r="17" spans="1:17">
      <c r="A17" s="622"/>
      <c r="B17" s="296" t="str">
        <f>AdjustedOutput!A15</f>
        <v>WxHZ2CZ2_1568e_20hp85_des0</v>
      </c>
      <c r="C17" s="310" t="str">
        <f>LEFT(AdjustedOutput!W15,6)</f>
        <v>HZ2CZ2</v>
      </c>
      <c r="D17" s="303">
        <f>AdjustedOutput!F15</f>
        <v>379.89995499999998</v>
      </c>
      <c r="E17" s="303">
        <f>AdjustedOutput!U15</f>
        <v>5103.5154538625793</v>
      </c>
      <c r="F17" s="303">
        <f>IF(MID(B17,18,2)="hp",AdjustedOutput!X15*14.5/analysis!$E$2,AdjustedOutput!X15)</f>
        <v>569.61329889285719</v>
      </c>
    </row>
    <row r="18" spans="1:17">
      <c r="A18" s="622"/>
      <c r="B18" s="296" t="str">
        <f>AdjustedOutput!A16</f>
        <v>WxHZ2CZ3_1568e_20hp85_des0</v>
      </c>
      <c r="C18" s="310" t="str">
        <f>LEFT(AdjustedOutput!W16,6)</f>
        <v>HZ2CZ3</v>
      </c>
      <c r="D18" s="303">
        <f>AdjustedOutput!F16</f>
        <v>379.89995499999998</v>
      </c>
      <c r="E18" s="303">
        <f>AdjustedOutput!U16</f>
        <v>5103.5154538625793</v>
      </c>
      <c r="F18" s="303">
        <f>IF(MID(B18,18,2)="hp",AdjustedOutput!X16*14.5/analysis!$E$2,AdjustedOutput!X16)</f>
        <v>928.46766953571421</v>
      </c>
    </row>
    <row r="19" spans="1:17">
      <c r="A19" s="622"/>
      <c r="B19" s="296" t="str">
        <f>AdjustedOutput!A17</f>
        <v>NWHZ3CZ1_1568n_20hp85_des0</v>
      </c>
      <c r="C19" s="310" t="str">
        <f>LEFT(AdjustedOutput!W17,6)</f>
        <v>HZ3CZ1</v>
      </c>
      <c r="D19" s="303">
        <f>AdjustedOutput!F17</f>
        <v>338.600503</v>
      </c>
      <c r="E19" s="303">
        <f>AdjustedOutput!U17</f>
        <v>5412.2000592595332</v>
      </c>
      <c r="F19" s="303">
        <f>IF(MID(B19,18,2)="hp",AdjustedOutput!X17*14.5/analysis!$E$2,AdjustedOutput!X17)</f>
        <v>317.95466185714287</v>
      </c>
    </row>
    <row r="20" spans="1:17">
      <c r="A20" s="622"/>
      <c r="B20" s="296" t="str">
        <f>AdjustedOutput!A18</f>
        <v>NWHZ3CZ2_1568n_20hp85_des0</v>
      </c>
      <c r="C20" s="310" t="str">
        <f>LEFT(AdjustedOutput!W18,6)</f>
        <v>HZ3CZ2</v>
      </c>
      <c r="D20" s="303">
        <f>AdjustedOutput!F18</f>
        <v>338.600503</v>
      </c>
      <c r="E20" s="303">
        <f>AdjustedOutput!U18</f>
        <v>5412.2000592595332</v>
      </c>
      <c r="F20" s="303">
        <f>IF(MID(B20,18,2)="hp",AdjustedOutput!X18*14.5/analysis!$E$2,AdjustedOutput!X18)</f>
        <v>585.3610943214286</v>
      </c>
    </row>
    <row r="21" spans="1:17">
      <c r="A21" s="622"/>
      <c r="B21" s="296" t="str">
        <f>AdjustedOutput!A19</f>
        <v>NWHZ3CZ3_1568n_20hp85_des0</v>
      </c>
      <c r="C21" s="310" t="str">
        <f>LEFT(AdjustedOutput!W19,6)</f>
        <v>HZ3CZ3</v>
      </c>
      <c r="D21" s="303">
        <f>AdjustedOutput!F19</f>
        <v>338.600503</v>
      </c>
      <c r="E21" s="303">
        <f>AdjustedOutput!U19</f>
        <v>5412.2000592595332</v>
      </c>
      <c r="F21" s="303">
        <f>IF(MID(B21,18,2)="hp",AdjustedOutput!X19*14.5/analysis!$E$2,AdjustedOutput!X19)</f>
        <v>929.6610537142858</v>
      </c>
    </row>
    <row r="22" spans="1:17">
      <c r="A22" s="622"/>
      <c r="B22" s="296" t="str">
        <f>AdjustedOutput!A20</f>
        <v>WxHZ3CZ1_1568e_20hp85_des0</v>
      </c>
      <c r="C22" s="310" t="str">
        <f>LEFT(AdjustedOutput!W20,6)</f>
        <v>HZ3CZ1</v>
      </c>
      <c r="D22" s="303">
        <f>AdjustedOutput!F20</f>
        <v>377.50067000000001</v>
      </c>
      <c r="E22" s="303">
        <f>AdjustedOutput!U20</f>
        <v>6007.2901471601444</v>
      </c>
      <c r="F22" s="303">
        <f>IF(MID(B22,18,2)="hp",AdjustedOutput!X20*14.5/analysis!$E$2,AdjustedOutput!X20)</f>
        <v>293.9713045357143</v>
      </c>
    </row>
    <row r="23" spans="1:17">
      <c r="A23" s="622"/>
      <c r="B23" s="296" t="str">
        <f>AdjustedOutput!A21</f>
        <v>WxHZ3CZ2_1568e_20hp85_des0</v>
      </c>
      <c r="C23" s="310" t="str">
        <f>LEFT(AdjustedOutput!W21,6)</f>
        <v>HZ3CZ2</v>
      </c>
      <c r="D23" s="303">
        <f>AdjustedOutput!F21</f>
        <v>377.50067000000001</v>
      </c>
      <c r="E23" s="303">
        <f>AdjustedOutput!U21</f>
        <v>6007.2901471601444</v>
      </c>
      <c r="F23" s="303">
        <f>IF(MID(B23,18,2)="hp",AdjustedOutput!X21*14.5/analysis!$E$2,AdjustedOutput!X21)</f>
        <v>569.61329889285719</v>
      </c>
    </row>
    <row r="24" spans="1:17">
      <c r="A24" s="622"/>
      <c r="B24" s="296" t="str">
        <f>AdjustedOutput!A22</f>
        <v>WxHZ3CZ3_1568e_20hp85_des0</v>
      </c>
      <c r="C24" s="310" t="str">
        <f>LEFT(AdjustedOutput!W22,6)</f>
        <v>HZ3CZ3</v>
      </c>
      <c r="D24" s="303">
        <f>AdjustedOutput!F22</f>
        <v>377.50067000000001</v>
      </c>
      <c r="E24" s="303">
        <f>AdjustedOutput!U22</f>
        <v>6007.2901471601444</v>
      </c>
      <c r="F24" s="303">
        <f>IF(MID(B24,18,2)="hp",AdjustedOutput!X22*14.5/analysis!$E$2,AdjustedOutput!X22)</f>
        <v>928.46766953571421</v>
      </c>
    </row>
    <row r="25" spans="1:17">
      <c r="A25" s="622"/>
      <c r="B25" s="296" t="str">
        <f>AdjustedOutput!A23</f>
        <v>NWHZ1CZ1_2200n_25hp85_des0</v>
      </c>
      <c r="C25" s="310" t="str">
        <f>LEFT(AdjustedOutput!W23,6)</f>
        <v>HZ1CZ1</v>
      </c>
      <c r="D25" s="303">
        <f>AdjustedOutput!F23</f>
        <v>417.78652699999998</v>
      </c>
      <c r="E25" s="303">
        <f>AdjustedOutput!U23</f>
        <v>4444.5039148722171</v>
      </c>
      <c r="F25" s="303">
        <f>IF(MID(B25,18,2)="hp",AdjustedOutput!X23*14.5/analysis!$E$2,AdjustedOutput!X23)</f>
        <v>454.50395621428572</v>
      </c>
    </row>
    <row r="26" spans="1:17">
      <c r="A26" s="622"/>
      <c r="B26" s="296" t="str">
        <f>AdjustedOutput!A24</f>
        <v>NWHZ1CZ2_2200n_25hp85_des0</v>
      </c>
      <c r="C26" s="310" t="str">
        <f>LEFT(AdjustedOutput!W24,6)</f>
        <v>HZ1CZ2</v>
      </c>
      <c r="D26" s="303">
        <f>AdjustedOutput!F24</f>
        <v>417.78652699999998</v>
      </c>
      <c r="E26" s="303">
        <f>AdjustedOutput!U24</f>
        <v>4444.5039148722171</v>
      </c>
      <c r="F26" s="303">
        <f>IF(MID(B26,18,2)="hp",AdjustedOutput!X24*14.5/analysis!$E$2,AdjustedOutput!X24)</f>
        <v>837.765804</v>
      </c>
    </row>
    <row r="27" spans="1:17">
      <c r="A27" s="622"/>
      <c r="B27" s="296" t="str">
        <f>AdjustedOutput!A25</f>
        <v>NWHZ1CZ3_2200n_25hp85_des0</v>
      </c>
      <c r="C27" s="310" t="str">
        <f>LEFT(AdjustedOutput!W25,6)</f>
        <v>HZ1CZ3</v>
      </c>
      <c r="D27" s="303">
        <f>AdjustedOutput!F25</f>
        <v>417.78652699999998</v>
      </c>
      <c r="E27" s="303">
        <f>AdjustedOutput!U25</f>
        <v>4444.5039148722171</v>
      </c>
      <c r="F27" s="303">
        <f>IF(MID(B27,18,2)="hp",AdjustedOutput!X25*14.5/analysis!$E$2,AdjustedOutput!X25)</f>
        <v>1330.0351593571429</v>
      </c>
    </row>
    <row r="28" spans="1:17">
      <c r="A28" s="622"/>
      <c r="B28" s="296" t="str">
        <f>AdjustedOutput!A26</f>
        <v>WxHZ1CZ1_2200e_30hp85_des0</v>
      </c>
      <c r="C28" s="310" t="str">
        <f>LEFT(AdjustedOutput!W26,6)</f>
        <v>HZ1CZ1</v>
      </c>
      <c r="D28" s="303">
        <f>AdjustedOutput!F26</f>
        <v>483.43167399999999</v>
      </c>
      <c r="E28" s="303">
        <f>AdjustedOutput!U26</f>
        <v>5129.2474614158646</v>
      </c>
      <c r="F28" s="303">
        <f>IF(MID(B28,18,2)="hp",AdjustedOutput!X26*14.5/analysis!$E$2,AdjustedOutput!X26)</f>
        <v>446.4142467142857</v>
      </c>
    </row>
    <row r="29" spans="1:17">
      <c r="A29" s="622"/>
      <c r="B29" s="296" t="str">
        <f>AdjustedOutput!A27</f>
        <v>WxHZ1CZ2_2200e_30hp85_des0</v>
      </c>
      <c r="C29" s="310" t="str">
        <f>LEFT(AdjustedOutput!W27,6)</f>
        <v>HZ1CZ2</v>
      </c>
      <c r="D29" s="303">
        <f>AdjustedOutput!F27</f>
        <v>483.43167399999999</v>
      </c>
      <c r="E29" s="303">
        <f>AdjustedOutput!U27</f>
        <v>5129.2474614158646</v>
      </c>
      <c r="F29" s="303">
        <f>IF(MID(B29,18,2)="hp",AdjustedOutput!X27*14.5/analysis!$E$2,AdjustedOutput!X27)</f>
        <v>861.96885600000007</v>
      </c>
    </row>
    <row r="30" spans="1:17">
      <c r="A30" s="622"/>
      <c r="B30" s="296" t="str">
        <f>AdjustedOutput!A28</f>
        <v>WxHZ1CZ3_2200e_30hp85_des0</v>
      </c>
      <c r="C30" s="310" t="str">
        <f>LEFT(AdjustedOutput!W28,6)</f>
        <v>HZ1CZ3</v>
      </c>
      <c r="D30" s="303">
        <f>AdjustedOutput!F28</f>
        <v>483.43167399999999</v>
      </c>
      <c r="E30" s="303">
        <f>AdjustedOutput!U28</f>
        <v>5129.2474614158646</v>
      </c>
      <c r="F30" s="303">
        <f>IF(MID(B30,18,2)="hp",AdjustedOutput!X28*14.5/analysis!$E$2,AdjustedOutput!X28)</f>
        <v>1400.3054498214285</v>
      </c>
      <c r="Q30" s="304"/>
    </row>
    <row r="31" spans="1:17">
      <c r="A31" s="622"/>
      <c r="B31" s="296" t="str">
        <f>AdjustedOutput!A29</f>
        <v>NWHZ2CZ1_2200n_25hp85_des0</v>
      </c>
      <c r="C31" s="310" t="str">
        <f>LEFT(AdjustedOutput!W29,6)</f>
        <v>HZ2CZ1</v>
      </c>
      <c r="D31" s="303">
        <f>AdjustedOutput!F29</f>
        <v>425.780959</v>
      </c>
      <c r="E31" s="303">
        <f>AdjustedOutput!U29</f>
        <v>6835.131683076741</v>
      </c>
      <c r="F31" s="303">
        <f>IF(MID(B31,18,2)="hp",AdjustedOutput!X29*14.5/analysis!$E$2,AdjustedOutput!X29)</f>
        <v>454.50395621428572</v>
      </c>
      <c r="H31" s="303"/>
      <c r="I31" s="303"/>
      <c r="J31" s="303"/>
      <c r="M31" s="303"/>
    </row>
    <row r="32" spans="1:17">
      <c r="A32" s="622"/>
      <c r="B32" s="296" t="str">
        <f>AdjustedOutput!A30</f>
        <v>NWHZ2CZ2_2200n_25hp85_des0</v>
      </c>
      <c r="C32" s="310" t="str">
        <f>LEFT(AdjustedOutput!W30,6)</f>
        <v>HZ2CZ2</v>
      </c>
      <c r="D32" s="303">
        <f>AdjustedOutput!F30</f>
        <v>425.780959</v>
      </c>
      <c r="E32" s="303">
        <f>AdjustedOutput!U30</f>
        <v>6835.131683076741</v>
      </c>
      <c r="F32" s="303">
        <f>IF(MID(B32,18,2)="hp",AdjustedOutput!X30*14.5/analysis!$E$2,AdjustedOutput!X30)</f>
        <v>837.765804</v>
      </c>
      <c r="H32" s="303"/>
      <c r="I32" s="303"/>
      <c r="J32" s="303"/>
      <c r="M32" s="303"/>
    </row>
    <row r="33" spans="1:13">
      <c r="A33" s="622"/>
      <c r="B33" s="296" t="str">
        <f>AdjustedOutput!A31</f>
        <v>NWHZ2CZ3_2200n_25hp85_des0</v>
      </c>
      <c r="C33" s="310" t="str">
        <f>LEFT(AdjustedOutput!W31,6)</f>
        <v>HZ2CZ3</v>
      </c>
      <c r="D33" s="303">
        <f>AdjustedOutput!F31</f>
        <v>425.780959</v>
      </c>
      <c r="E33" s="303">
        <f>AdjustedOutput!U31</f>
        <v>6835.131683076741</v>
      </c>
      <c r="F33" s="303">
        <f>IF(MID(B33,18,2)="hp",AdjustedOutput!X31*14.5/analysis!$E$2,AdjustedOutput!X31)</f>
        <v>1330.0351593571429</v>
      </c>
      <c r="H33" s="303"/>
      <c r="I33" s="303"/>
      <c r="J33" s="303"/>
      <c r="M33" s="303"/>
    </row>
    <row r="34" spans="1:13">
      <c r="A34" s="622"/>
      <c r="B34" s="296" t="str">
        <f>AdjustedOutput!A32</f>
        <v>WxHZ2CZ1_2200e_30hp85_des0</v>
      </c>
      <c r="C34" s="310" t="str">
        <f>LEFT(AdjustedOutput!W32,6)</f>
        <v>HZ2CZ1</v>
      </c>
      <c r="D34" s="303">
        <f>AdjustedOutput!F32</f>
        <v>491.93877800000001</v>
      </c>
      <c r="E34" s="303">
        <f>AdjustedOutput!U32</f>
        <v>7681.722583720456</v>
      </c>
      <c r="F34" s="303">
        <f>IF(MID(B34,18,2)="hp",AdjustedOutput!X32*14.5/analysis!$E$2,AdjustedOutput!X32)</f>
        <v>446.4142467142857</v>
      </c>
      <c r="H34" s="303"/>
      <c r="I34" s="303"/>
      <c r="J34" s="303"/>
      <c r="M34" s="303"/>
    </row>
    <row r="35" spans="1:13">
      <c r="A35" s="622"/>
      <c r="B35" s="296" t="str">
        <f>AdjustedOutput!A33</f>
        <v>WxHZ2CZ2_2200e_30hp85_des0</v>
      </c>
      <c r="C35" s="310" t="str">
        <f>LEFT(AdjustedOutput!W33,6)</f>
        <v>HZ2CZ2</v>
      </c>
      <c r="D35" s="303">
        <f>AdjustedOutput!F33</f>
        <v>491.93877800000001</v>
      </c>
      <c r="E35" s="303">
        <f>AdjustedOutput!U33</f>
        <v>7681.722583720456</v>
      </c>
      <c r="F35" s="303">
        <f>IF(MID(B35,18,2)="hp",AdjustedOutput!X33*14.5/analysis!$E$2,AdjustedOutput!X33)</f>
        <v>861.96885600000007</v>
      </c>
      <c r="H35" s="303"/>
      <c r="I35" s="303"/>
      <c r="J35" s="303"/>
      <c r="M35" s="303"/>
    </row>
    <row r="36" spans="1:13">
      <c r="A36" s="622"/>
      <c r="B36" s="296" t="str">
        <f>AdjustedOutput!A34</f>
        <v>WxHZ2CZ3_2200e_30hp85_des0</v>
      </c>
      <c r="C36" s="310" t="str">
        <f>LEFT(AdjustedOutput!W34,6)</f>
        <v>HZ2CZ3</v>
      </c>
      <c r="D36" s="303">
        <f>AdjustedOutput!F34</f>
        <v>491.93877800000001</v>
      </c>
      <c r="E36" s="303">
        <f>AdjustedOutput!U34</f>
        <v>7681.722583720456</v>
      </c>
      <c r="F36" s="303">
        <f>IF(MID(B36,18,2)="hp",AdjustedOutput!X34*14.5/analysis!$E$2,AdjustedOutput!X34)</f>
        <v>1400.3054498214285</v>
      </c>
      <c r="H36" s="303"/>
      <c r="I36" s="303"/>
      <c r="J36" s="303"/>
      <c r="M36" s="303"/>
    </row>
    <row r="37" spans="1:13">
      <c r="A37" s="622"/>
      <c r="B37" s="296" t="str">
        <f>AdjustedOutput!A35</f>
        <v>NWHZ3CZ1_2200n_25hp85_des0</v>
      </c>
      <c r="C37" s="310" t="str">
        <f>LEFT(AdjustedOutput!W35,6)</f>
        <v>HZ3CZ1</v>
      </c>
      <c r="D37" s="303">
        <f>AdjustedOutput!F35</f>
        <v>422.34503599999999</v>
      </c>
      <c r="E37" s="303">
        <f>AdjustedOutput!U35</f>
        <v>8097.4566235244492</v>
      </c>
      <c r="F37" s="303">
        <f>IF(MID(B37,18,2)="hp",AdjustedOutput!X35*14.5/analysis!$E$2,AdjustedOutput!X35)</f>
        <v>454.50395621428572</v>
      </c>
      <c r="H37" s="303"/>
      <c r="I37" s="303"/>
      <c r="J37" s="303"/>
      <c r="M37" s="303"/>
    </row>
    <row r="38" spans="1:13">
      <c r="A38" s="622"/>
      <c r="B38" s="296" t="str">
        <f>AdjustedOutput!A36</f>
        <v>NWHZ3CZ2_2200n_25hp85_des0</v>
      </c>
      <c r="C38" s="310" t="str">
        <f>LEFT(AdjustedOutput!W36,6)</f>
        <v>HZ3CZ2</v>
      </c>
      <c r="D38" s="303">
        <f>AdjustedOutput!F36</f>
        <v>422.34503599999999</v>
      </c>
      <c r="E38" s="303">
        <f>AdjustedOutput!U36</f>
        <v>8097.4566235244492</v>
      </c>
      <c r="F38" s="303">
        <f>IF(MID(B38,18,2)="hp",AdjustedOutput!X36*14.5/analysis!$E$2,AdjustedOutput!X36)</f>
        <v>837.765804</v>
      </c>
      <c r="H38" s="303"/>
      <c r="I38" s="303"/>
      <c r="J38" s="303"/>
      <c r="M38" s="303"/>
    </row>
    <row r="39" spans="1:13">
      <c r="A39" s="622"/>
      <c r="B39" s="296" t="str">
        <f>AdjustedOutput!A37</f>
        <v>NWHZ3CZ3_2200n_25hp85_des0</v>
      </c>
      <c r="C39" s="310" t="str">
        <f>LEFT(AdjustedOutput!W37,6)</f>
        <v>HZ3CZ3</v>
      </c>
      <c r="D39" s="303">
        <f>AdjustedOutput!F37</f>
        <v>422.34503599999999</v>
      </c>
      <c r="E39" s="303">
        <f>AdjustedOutput!U37</f>
        <v>8097.4566235244492</v>
      </c>
      <c r="F39" s="303">
        <f>IF(MID(B39,18,2)="hp",AdjustedOutput!X37*14.5/analysis!$E$2,AdjustedOutput!X37)</f>
        <v>1330.0351593571429</v>
      </c>
      <c r="H39" s="303"/>
      <c r="I39" s="303"/>
      <c r="J39" s="303"/>
      <c r="M39" s="303"/>
    </row>
    <row r="40" spans="1:13">
      <c r="A40" s="622"/>
      <c r="B40" s="296" t="str">
        <f>AdjustedOutput!A38</f>
        <v>WxHZ3CZ1_2200e_30hp85_des0</v>
      </c>
      <c r="C40" s="310" t="str">
        <f>LEFT(AdjustedOutput!W38,6)</f>
        <v>HZ3CZ1</v>
      </c>
      <c r="D40" s="303">
        <f>AdjustedOutput!F38</f>
        <v>489.25743499999999</v>
      </c>
      <c r="E40" s="303">
        <f>AdjustedOutput!U38</f>
        <v>9041.4056713337704</v>
      </c>
      <c r="F40" s="303">
        <f>IF(MID(B40,18,2)="hp",AdjustedOutput!X38*14.5/analysis!$E$2,AdjustedOutput!X38)</f>
        <v>446.4142467142857</v>
      </c>
      <c r="H40" s="303"/>
      <c r="I40" s="303"/>
      <c r="J40" s="303"/>
      <c r="M40" s="303"/>
    </row>
    <row r="41" spans="1:13">
      <c r="A41" s="622"/>
      <c r="B41" s="296" t="str">
        <f>AdjustedOutput!A39</f>
        <v>WxHZ3CZ2_2200e_30hp85_des0</v>
      </c>
      <c r="C41" s="310" t="str">
        <f>LEFT(AdjustedOutput!W39,6)</f>
        <v>HZ3CZ2</v>
      </c>
      <c r="D41" s="303">
        <f>AdjustedOutput!F39</f>
        <v>489.25743499999999</v>
      </c>
      <c r="E41" s="303">
        <f>AdjustedOutput!U39</f>
        <v>9041.4056713337704</v>
      </c>
      <c r="F41" s="303">
        <f>IF(MID(B41,18,2)="hp",AdjustedOutput!X39*14.5/analysis!$E$2,AdjustedOutput!X39)</f>
        <v>861.96885600000007</v>
      </c>
      <c r="H41" s="303"/>
      <c r="I41" s="303"/>
      <c r="J41" s="303"/>
      <c r="M41" s="303"/>
    </row>
    <row r="42" spans="1:13">
      <c r="A42" s="622"/>
      <c r="B42" s="296" t="str">
        <f>AdjustedOutput!A40</f>
        <v>WxHZ3CZ3_2200e_30hp85_des0</v>
      </c>
      <c r="C42" s="310" t="str">
        <f>LEFT(AdjustedOutput!W40,6)</f>
        <v>HZ3CZ3</v>
      </c>
      <c r="D42" s="303">
        <f>AdjustedOutput!F40</f>
        <v>489.25743499999999</v>
      </c>
      <c r="E42" s="303">
        <f>AdjustedOutput!U40</f>
        <v>9041.4056713337704</v>
      </c>
      <c r="F42" s="303">
        <f>IF(MID(B42,18,2)="hp",AdjustedOutput!X40*14.5/analysis!$E$2,AdjustedOutput!X40)</f>
        <v>1400.3054498214285</v>
      </c>
      <c r="H42" s="303"/>
      <c r="I42" s="303"/>
      <c r="J42" s="303"/>
      <c r="M42" s="303"/>
    </row>
    <row r="43" spans="1:13">
      <c r="A43" s="622"/>
      <c r="B43" s="296" t="str">
        <f>AdjustedOutput!A41</f>
        <v>NWHZ1CZ1_2688n_25hp85_des0</v>
      </c>
      <c r="C43" s="310" t="str">
        <f>LEFT(AdjustedOutput!W41,6)</f>
        <v>HZ1CZ1</v>
      </c>
      <c r="D43" s="303">
        <f>AdjustedOutput!F41</f>
        <v>439.44079399999998</v>
      </c>
      <c r="E43" s="303">
        <f>AdjustedOutput!U41</f>
        <v>3583.4169145538995</v>
      </c>
      <c r="F43" s="303">
        <f>IF(MID(B43,18,2)="hp",AdjustedOutput!X41*14.5/analysis!$E$2,AdjustedOutput!X41)</f>
        <v>282.48533460714287</v>
      </c>
      <c r="H43" s="303"/>
      <c r="I43" s="303"/>
      <c r="J43" s="303"/>
      <c r="M43" s="303"/>
    </row>
    <row r="44" spans="1:13">
      <c r="A44" s="622"/>
      <c r="B44" s="296" t="str">
        <f>AdjustedOutput!A42</f>
        <v>NWHZ1CZ2_2688n_25hp85_des0</v>
      </c>
      <c r="C44" s="310" t="str">
        <f>LEFT(AdjustedOutput!W42,6)</f>
        <v>HZ1CZ2</v>
      </c>
      <c r="D44" s="303">
        <f>AdjustedOutput!F42</f>
        <v>439.44079399999998</v>
      </c>
      <c r="E44" s="303">
        <f>AdjustedOutput!U42</f>
        <v>3583.4169145538995</v>
      </c>
      <c r="F44" s="303">
        <f>IF(MID(B44,18,2)="hp",AdjustedOutput!X42*14.5/analysis!$E$2,AdjustedOutput!X42)</f>
        <v>569.11849364285706</v>
      </c>
      <c r="H44" s="303"/>
      <c r="I44" s="303"/>
      <c r="J44" s="303"/>
      <c r="M44" s="303"/>
    </row>
    <row r="45" spans="1:13">
      <c r="A45" s="622"/>
      <c r="B45" s="296" t="str">
        <f>AdjustedOutput!A43</f>
        <v>NWHZ1CZ3_2688n_25hp85_des0</v>
      </c>
      <c r="C45" s="310" t="str">
        <f>LEFT(AdjustedOutput!W43,6)</f>
        <v>HZ1CZ3</v>
      </c>
      <c r="D45" s="303">
        <f>AdjustedOutput!F43</f>
        <v>439.44079399999998</v>
      </c>
      <c r="E45" s="303">
        <f>AdjustedOutput!U43</f>
        <v>3583.4169145538995</v>
      </c>
      <c r="F45" s="303">
        <f>IF(MID(B45,18,2)="hp",AdjustedOutput!X43*14.5/analysis!$E$2,AdjustedOutput!X43)</f>
        <v>970.46567046428572</v>
      </c>
      <c r="H45" s="303"/>
      <c r="I45" s="303"/>
      <c r="J45" s="303"/>
      <c r="M45" s="303"/>
    </row>
    <row r="46" spans="1:13">
      <c r="A46" s="622"/>
      <c r="B46" s="296" t="str">
        <f>AdjustedOutput!A44</f>
        <v>WxHZ1CZ1_2688e_25hp85_des0</v>
      </c>
      <c r="C46" s="310" t="str">
        <f>LEFT(AdjustedOutput!W44,6)</f>
        <v>HZ1CZ1</v>
      </c>
      <c r="D46" s="303">
        <f>AdjustedOutput!F44</f>
        <v>473.85255100000001</v>
      </c>
      <c r="E46" s="303">
        <f>AdjustedOutput!U44</f>
        <v>3897.8776371689664</v>
      </c>
      <c r="F46" s="303">
        <f>IF(MID(B46,18,2)="hp",AdjustedOutput!X44*14.5/analysis!$E$2,AdjustedOutput!X44)</f>
        <v>283.93777164285717</v>
      </c>
      <c r="H46" s="303"/>
      <c r="I46" s="303"/>
      <c r="J46" s="303"/>
      <c r="M46" s="303"/>
    </row>
    <row r="47" spans="1:13">
      <c r="A47" s="622"/>
      <c r="B47" s="296" t="str">
        <f>AdjustedOutput!A45</f>
        <v>WxHZ1CZ2_2688e_25hp85_des0</v>
      </c>
      <c r="C47" s="310" t="str">
        <f>LEFT(AdjustedOutput!W45,6)</f>
        <v>HZ1CZ2</v>
      </c>
      <c r="D47" s="303">
        <f>AdjustedOutput!F45</f>
        <v>473.85255100000001</v>
      </c>
      <c r="E47" s="303">
        <f>AdjustedOutput!U45</f>
        <v>3897.8776371689664</v>
      </c>
      <c r="F47" s="303">
        <f>IF(MID(B47,18,2)="hp",AdjustedOutput!X45*14.5/analysis!$E$2,AdjustedOutput!X45)</f>
        <v>584.44028632142863</v>
      </c>
      <c r="H47" s="303"/>
      <c r="I47" s="303"/>
      <c r="J47" s="303"/>
      <c r="M47" s="303"/>
    </row>
    <row r="48" spans="1:13">
      <c r="A48" s="622"/>
      <c r="B48" s="296" t="str">
        <f>AdjustedOutput!A46</f>
        <v>WxHZ1CZ3_2688e_25hp85_des0</v>
      </c>
      <c r="C48" s="310" t="str">
        <f>LEFT(AdjustedOutput!W46,6)</f>
        <v>HZ1CZ3</v>
      </c>
      <c r="D48" s="303">
        <f>AdjustedOutput!F46</f>
        <v>473.85255100000001</v>
      </c>
      <c r="E48" s="303">
        <f>AdjustedOutput!U46</f>
        <v>3897.8776371689664</v>
      </c>
      <c r="F48" s="303">
        <f>IF(MID(B48,18,2)="hp",AdjustedOutput!X46*14.5/analysis!$E$2,AdjustedOutput!X46)</f>
        <v>1005.3001442142858</v>
      </c>
      <c r="H48" s="303"/>
      <c r="I48" s="303"/>
      <c r="J48" s="303"/>
      <c r="M48" s="303"/>
    </row>
    <row r="49" spans="1:13">
      <c r="A49" s="622"/>
      <c r="B49" s="296" t="str">
        <f>AdjustedOutput!A47</f>
        <v>NWHZ2CZ1_2688n_25hp85_des0</v>
      </c>
      <c r="C49" s="310" t="str">
        <f>LEFT(AdjustedOutput!W47,6)</f>
        <v>HZ2CZ1</v>
      </c>
      <c r="D49" s="303">
        <f>AdjustedOutput!F47</f>
        <v>445.51968099999999</v>
      </c>
      <c r="E49" s="303">
        <f>AdjustedOutput!U47</f>
        <v>5381.5066407752902</v>
      </c>
      <c r="F49" s="303">
        <f>IF(MID(B49,18,2)="hp",AdjustedOutput!X47*14.5/analysis!$E$2,AdjustedOutput!X47)</f>
        <v>282.48533460714287</v>
      </c>
      <c r="H49" s="303"/>
      <c r="I49" s="303"/>
      <c r="J49" s="303"/>
      <c r="M49" s="303"/>
    </row>
    <row r="50" spans="1:13">
      <c r="A50" s="622"/>
      <c r="B50" s="296" t="str">
        <f>AdjustedOutput!A48</f>
        <v>NWHZ2CZ2_2688n_25hp85_des0</v>
      </c>
      <c r="C50" s="310" t="str">
        <f>LEFT(AdjustedOutput!W48,6)</f>
        <v>HZ2CZ2</v>
      </c>
      <c r="D50" s="303">
        <f>AdjustedOutput!F48</f>
        <v>445.51968099999999</v>
      </c>
      <c r="E50" s="303">
        <f>AdjustedOutput!U48</f>
        <v>5381.5066407752902</v>
      </c>
      <c r="F50" s="303">
        <f>IF(MID(B50,18,2)="hp",AdjustedOutput!X48*14.5/analysis!$E$2,AdjustedOutput!X48)</f>
        <v>569.11849364285706</v>
      </c>
      <c r="H50" s="303"/>
      <c r="I50" s="303"/>
      <c r="J50" s="303"/>
      <c r="M50" s="303"/>
    </row>
    <row r="51" spans="1:13">
      <c r="A51" s="622"/>
      <c r="B51" s="296" t="str">
        <f>AdjustedOutput!A49</f>
        <v>NWHZ2CZ3_2688n_25hp85_des0</v>
      </c>
      <c r="C51" s="310" t="str">
        <f>LEFT(AdjustedOutput!W49,6)</f>
        <v>HZ2CZ3</v>
      </c>
      <c r="D51" s="303">
        <f>AdjustedOutput!F49</f>
        <v>445.51968099999999</v>
      </c>
      <c r="E51" s="303">
        <f>AdjustedOutput!U49</f>
        <v>5381.5066407752902</v>
      </c>
      <c r="F51" s="303">
        <f>IF(MID(B51,18,2)="hp",AdjustedOutput!X49*14.5/analysis!$E$2,AdjustedOutput!X49)</f>
        <v>970.46567046428572</v>
      </c>
      <c r="H51" s="303"/>
      <c r="I51" s="303"/>
      <c r="J51" s="303"/>
      <c r="M51" s="303"/>
    </row>
    <row r="52" spans="1:13">
      <c r="A52" s="622"/>
      <c r="B52" s="296" t="str">
        <f>AdjustedOutput!A50</f>
        <v>WxHZ2CZ1_2688e_25hp85_des0</v>
      </c>
      <c r="C52" s="310" t="str">
        <f>LEFT(AdjustedOutput!W50,6)</f>
        <v>HZ2CZ1</v>
      </c>
      <c r="D52" s="303">
        <f>AdjustedOutput!F50</f>
        <v>479.98236900000001</v>
      </c>
      <c r="E52" s="303">
        <f>AdjustedOutput!U50</f>
        <v>5816.6398858303528</v>
      </c>
      <c r="F52" s="303">
        <f>IF(MID(B52,18,2)="hp",AdjustedOutput!X50*14.5/analysis!$E$2,AdjustedOutput!X50)</f>
        <v>283.93777164285717</v>
      </c>
      <c r="H52" s="303"/>
      <c r="I52" s="303"/>
      <c r="J52" s="303"/>
      <c r="M52" s="303"/>
    </row>
    <row r="53" spans="1:13">
      <c r="A53" s="622"/>
      <c r="B53" s="296" t="str">
        <f>AdjustedOutput!A51</f>
        <v>WxHZ2CZ2_2688e_25hp85_des0</v>
      </c>
      <c r="C53" s="310" t="str">
        <f>LEFT(AdjustedOutput!W51,6)</f>
        <v>HZ2CZ2</v>
      </c>
      <c r="D53" s="303">
        <f>AdjustedOutput!F51</f>
        <v>479.98236900000001</v>
      </c>
      <c r="E53" s="303">
        <f>AdjustedOutput!U51</f>
        <v>5816.6398858303528</v>
      </c>
      <c r="F53" s="303">
        <f>IF(MID(B53,18,2)="hp",AdjustedOutput!X51*14.5/analysis!$E$2,AdjustedOutput!X51)</f>
        <v>584.44028632142863</v>
      </c>
      <c r="H53" s="303"/>
      <c r="I53" s="303"/>
      <c r="J53" s="303"/>
      <c r="M53" s="303"/>
    </row>
    <row r="54" spans="1:13">
      <c r="A54" s="622"/>
      <c r="B54" s="296" t="str">
        <f>AdjustedOutput!A52</f>
        <v>WxHZ2CZ3_2688e_25hp85_des0</v>
      </c>
      <c r="C54" s="310" t="str">
        <f>LEFT(AdjustedOutput!W52,6)</f>
        <v>HZ2CZ3</v>
      </c>
      <c r="D54" s="303">
        <f>AdjustedOutput!F52</f>
        <v>479.98236900000001</v>
      </c>
      <c r="E54" s="303">
        <f>AdjustedOutput!U52</f>
        <v>5816.6398858303528</v>
      </c>
      <c r="F54" s="303">
        <f>IF(MID(B54,18,2)="hp",AdjustedOutput!X52*14.5/analysis!$E$2,AdjustedOutput!X52)</f>
        <v>1005.3001442142858</v>
      </c>
      <c r="H54" s="303"/>
      <c r="I54" s="303"/>
      <c r="J54" s="303"/>
      <c r="M54" s="303"/>
    </row>
    <row r="55" spans="1:13">
      <c r="A55" s="622"/>
      <c r="B55" s="296" t="str">
        <f>AdjustedOutput!A53</f>
        <v>NWHZ3CZ1_2688n_25hp85_des0</v>
      </c>
      <c r="C55" s="310" t="str">
        <f>LEFT(AdjustedOutput!W53,6)</f>
        <v>HZ3CZ1</v>
      </c>
      <c r="D55" s="303">
        <f>AdjustedOutput!F53</f>
        <v>438.57444400000003</v>
      </c>
      <c r="E55" s="303">
        <f>AdjustedOutput!U53</f>
        <v>6385.3749732911447</v>
      </c>
      <c r="F55" s="303">
        <f>IF(MID(B55,18,2)="hp",AdjustedOutput!X53*14.5/analysis!$E$2,AdjustedOutput!X53)</f>
        <v>282.48533460714287</v>
      </c>
      <c r="H55" s="303"/>
      <c r="I55" s="303"/>
      <c r="J55" s="303"/>
      <c r="M55" s="303"/>
    </row>
    <row r="56" spans="1:13">
      <c r="A56" s="622"/>
      <c r="B56" s="296" t="str">
        <f>AdjustedOutput!A54</f>
        <v>NWHZ3CZ2_2688n_25hp85_des0</v>
      </c>
      <c r="C56" s="310" t="str">
        <f>LEFT(AdjustedOutput!W54,6)</f>
        <v>HZ3CZ2</v>
      </c>
      <c r="D56" s="303">
        <f>AdjustedOutput!F54</f>
        <v>438.57444400000003</v>
      </c>
      <c r="E56" s="303">
        <f>AdjustedOutput!U54</f>
        <v>6385.3749732911447</v>
      </c>
      <c r="F56" s="303">
        <f>IF(MID(B56,18,2)="hp",AdjustedOutput!X54*14.5/analysis!$E$2,AdjustedOutput!X54)</f>
        <v>569.11849364285706</v>
      </c>
      <c r="H56" s="303"/>
      <c r="I56" s="303"/>
      <c r="J56" s="303"/>
      <c r="M56" s="303"/>
    </row>
    <row r="57" spans="1:13">
      <c r="A57" s="622"/>
      <c r="B57" s="296" t="str">
        <f>AdjustedOutput!A55</f>
        <v>NWHZ3CZ3_2688n_25hp85_des0</v>
      </c>
      <c r="C57" s="310" t="str">
        <f>LEFT(AdjustedOutput!W55,6)</f>
        <v>HZ3CZ3</v>
      </c>
      <c r="D57" s="303">
        <f>AdjustedOutput!F55</f>
        <v>438.57444400000003</v>
      </c>
      <c r="E57" s="303">
        <f>AdjustedOutput!U55</f>
        <v>6385.3749732911447</v>
      </c>
      <c r="F57" s="303">
        <f>IF(MID(B57,18,2)="hp",AdjustedOutput!X55*14.5/analysis!$E$2,AdjustedOutput!X55)</f>
        <v>970.46567046428572</v>
      </c>
      <c r="H57" s="303"/>
      <c r="I57" s="303"/>
      <c r="J57" s="303"/>
      <c r="M57" s="303"/>
    </row>
    <row r="58" spans="1:13">
      <c r="A58" s="622"/>
      <c r="B58" s="296" t="str">
        <f>AdjustedOutput!A56</f>
        <v>WxHZ3CZ1_2688e_25hp85_des0</v>
      </c>
      <c r="C58" s="310" t="str">
        <f>LEFT(AdjustedOutput!W56,6)</f>
        <v>HZ3CZ1</v>
      </c>
      <c r="D58" s="303">
        <f>AdjustedOutput!F56</f>
        <v>472.42126500000001</v>
      </c>
      <c r="E58" s="303">
        <f>AdjustedOutput!U56</f>
        <v>6904.4476472594879</v>
      </c>
      <c r="F58" s="303">
        <f>IF(MID(B58,18,2)="hp",AdjustedOutput!X56*14.5/analysis!$E$2,AdjustedOutput!X56)</f>
        <v>283.93777164285717</v>
      </c>
      <c r="H58" s="303"/>
      <c r="I58" s="303"/>
      <c r="J58" s="303"/>
      <c r="M58" s="303"/>
    </row>
    <row r="59" spans="1:13">
      <c r="A59" s="622"/>
      <c r="B59" s="296" t="str">
        <f>AdjustedOutput!A57</f>
        <v>WxHZ3CZ2_2688e_25hp85_des0</v>
      </c>
      <c r="C59" s="310" t="str">
        <f>LEFT(AdjustedOutput!W57,6)</f>
        <v>HZ3CZ2</v>
      </c>
      <c r="D59" s="303">
        <f>AdjustedOutput!F57</f>
        <v>472.42126500000001</v>
      </c>
      <c r="E59" s="303">
        <f>AdjustedOutput!U57</f>
        <v>6904.4476472594879</v>
      </c>
      <c r="F59" s="303">
        <f>IF(MID(B59,18,2)="hp",AdjustedOutput!X57*14.5/analysis!$E$2,AdjustedOutput!X57)</f>
        <v>584.44028632142863</v>
      </c>
      <c r="H59" s="303"/>
      <c r="I59" s="303"/>
      <c r="J59" s="303"/>
      <c r="M59" s="303"/>
    </row>
    <row r="60" spans="1:13">
      <c r="A60" s="622"/>
      <c r="B60" s="296" t="str">
        <f>AdjustedOutput!A58</f>
        <v>WxHZ3CZ3_2688e_25hp85_des0</v>
      </c>
      <c r="C60" s="310" t="str">
        <f>LEFT(AdjustedOutput!W58,6)</f>
        <v>HZ3CZ3</v>
      </c>
      <c r="D60" s="303">
        <f>AdjustedOutput!F58</f>
        <v>472.42126500000001</v>
      </c>
      <c r="E60" s="303">
        <f>AdjustedOutput!U58</f>
        <v>6904.4476472594879</v>
      </c>
      <c r="F60" s="303">
        <f>IF(MID(B60,18,2)="hp",AdjustedOutput!X58*14.5/analysis!$E$2,AdjustedOutput!X58)</f>
        <v>1005.3001442142858</v>
      </c>
      <c r="H60" s="303"/>
      <c r="I60" s="303"/>
      <c r="J60" s="303"/>
      <c r="M60" s="303"/>
    </row>
    <row r="61" spans="1:13">
      <c r="A61" s="622"/>
      <c r="B61" s="296" t="str">
        <f>AdjustedOutput!A59</f>
        <v>NWHZ1CZ1_5000n_35hp85_des0</v>
      </c>
      <c r="C61" s="310" t="str">
        <f>LEFT(AdjustedOutput!W59,6)</f>
        <v>HZ1CZ1</v>
      </c>
      <c r="D61" s="303">
        <f>AdjustedOutput!F59</f>
        <v>763.02839900000004</v>
      </c>
      <c r="E61" s="303">
        <f>AdjustedOutput!U59</f>
        <v>7396.2052885511248</v>
      </c>
      <c r="F61" s="303">
        <f>IF(MID(B61,18,2)="hp",AdjustedOutput!X59*14.5/analysis!$E$2,AdjustedOutput!X59)</f>
        <v>493.48192614285711</v>
      </c>
      <c r="H61" s="303"/>
      <c r="I61" s="303"/>
      <c r="J61" s="303"/>
      <c r="M61" s="303"/>
    </row>
    <row r="62" spans="1:13">
      <c r="A62" s="622"/>
      <c r="B62" s="296" t="str">
        <f>AdjustedOutput!A60</f>
        <v>NWHZ1CZ2_5000n_35hp85_des0</v>
      </c>
      <c r="C62" s="310" t="str">
        <f>LEFT(AdjustedOutput!W60,6)</f>
        <v>HZ1CZ2</v>
      </c>
      <c r="D62" s="303">
        <f>AdjustedOutput!F60</f>
        <v>763.02839900000004</v>
      </c>
      <c r="E62" s="303">
        <f>AdjustedOutput!U60</f>
        <v>7396.2052885511248</v>
      </c>
      <c r="F62" s="303">
        <f>IF(MID(B62,18,2)="hp",AdjustedOutput!X60*14.5/analysis!$E$2,AdjustedOutput!X60)</f>
        <v>1023.0599979642857</v>
      </c>
      <c r="H62" s="303"/>
      <c r="I62" s="303"/>
      <c r="J62" s="303"/>
      <c r="M62" s="303"/>
    </row>
    <row r="63" spans="1:13">
      <c r="A63" s="622"/>
      <c r="B63" s="296" t="str">
        <f>AdjustedOutput!A61</f>
        <v>NWHZ1CZ3_5000n_35hp85_des0</v>
      </c>
      <c r="C63" s="310" t="str">
        <f>LEFT(AdjustedOutput!W61,6)</f>
        <v>HZ1CZ3</v>
      </c>
      <c r="D63" s="303">
        <f>AdjustedOutput!F61</f>
        <v>763.02839900000004</v>
      </c>
      <c r="E63" s="303">
        <f>AdjustedOutput!U61</f>
        <v>7396.2052885511248</v>
      </c>
      <c r="F63" s="303">
        <f>IF(MID(B63,18,2)="hp",AdjustedOutput!X61*14.5/analysis!$E$2,AdjustedOutput!X61)</f>
        <v>1752.8575311428572</v>
      </c>
      <c r="H63" s="303"/>
      <c r="I63" s="303"/>
      <c r="J63" s="303"/>
      <c r="M63" s="303"/>
    </row>
    <row r="64" spans="1:13">
      <c r="A64" s="622"/>
      <c r="B64" s="296" t="str">
        <f>AdjustedOutput!A62</f>
        <v>WxHZ1CZ1_5000e_40hp85_des0</v>
      </c>
      <c r="C64" s="310" t="str">
        <f>LEFT(AdjustedOutput!W62,6)</f>
        <v>HZ1CZ1</v>
      </c>
      <c r="D64" s="303">
        <f>AdjustedOutput!F62</f>
        <v>826.11945800000001</v>
      </c>
      <c r="E64" s="303">
        <f>AdjustedOutput!U62</f>
        <v>7707.8743576502493</v>
      </c>
      <c r="F64" s="303">
        <f>IF(MID(B64,18,2)="hp",AdjustedOutput!X62*14.5/analysis!$E$2,AdjustedOutput!X62)</f>
        <v>506.17234374999998</v>
      </c>
      <c r="H64" s="303"/>
      <c r="I64" s="303"/>
      <c r="J64" s="303"/>
      <c r="M64" s="303"/>
    </row>
    <row r="65" spans="1:17">
      <c r="A65" s="622"/>
      <c r="B65" s="296" t="str">
        <f>AdjustedOutput!A63</f>
        <v>WxHZ1CZ2_5000e_40hp85_des0</v>
      </c>
      <c r="C65" s="310" t="str">
        <f>LEFT(AdjustedOutput!W63,6)</f>
        <v>HZ1CZ2</v>
      </c>
      <c r="D65" s="303">
        <f>AdjustedOutput!F63</f>
        <v>826.11945800000001</v>
      </c>
      <c r="E65" s="303">
        <f>AdjustedOutput!U63</f>
        <v>7707.8743576502493</v>
      </c>
      <c r="F65" s="303">
        <f>IF(MID(B65,18,2)="hp",AdjustedOutput!X63*14.5/analysis!$E$2,AdjustedOutput!X63)</f>
        <v>1063.0088340357142</v>
      </c>
      <c r="H65" s="303"/>
      <c r="I65" s="303"/>
      <c r="J65" s="303"/>
      <c r="M65" s="303"/>
    </row>
    <row r="66" spans="1:17">
      <c r="A66" s="622"/>
      <c r="B66" s="296" t="str">
        <f>AdjustedOutput!A64</f>
        <v>WxHZ1CZ3_5000e_40hp85_des0</v>
      </c>
      <c r="C66" s="310" t="str">
        <f>LEFT(AdjustedOutput!W64,6)</f>
        <v>HZ1CZ3</v>
      </c>
      <c r="D66" s="303">
        <f>AdjustedOutput!F64</f>
        <v>826.11945800000001</v>
      </c>
      <c r="E66" s="303">
        <f>AdjustedOutput!U64</f>
        <v>7707.8743576502493</v>
      </c>
      <c r="F66" s="303">
        <f>IF(MID(B66,18,2)="hp",AdjustedOutput!X64*14.5/analysis!$E$2,AdjustedOutput!X64)</f>
        <v>1831.4705198571428</v>
      </c>
      <c r="H66" s="303"/>
      <c r="I66" s="303"/>
      <c r="J66" s="303"/>
      <c r="M66" s="303"/>
    </row>
    <row r="67" spans="1:17">
      <c r="A67" s="622"/>
      <c r="B67" s="296" t="str">
        <f>AdjustedOutput!A65</f>
        <v>NWHZ2CZ1_5000n_35hp85_des0</v>
      </c>
      <c r="C67" s="310" t="str">
        <f>LEFT(AdjustedOutput!W65,6)</f>
        <v>HZ2CZ1</v>
      </c>
      <c r="D67" s="303">
        <f>AdjustedOutput!F65</f>
        <v>780.28733299999999</v>
      </c>
      <c r="E67" s="303">
        <f>AdjustedOutput!U65</f>
        <v>11230.767369213305</v>
      </c>
      <c r="F67" s="303">
        <f>IF(MID(B67,18,2)="hp",AdjustedOutput!X65*14.5/analysis!$E$2,AdjustedOutput!X65)</f>
        <v>493.48192614285711</v>
      </c>
      <c r="H67" s="303"/>
      <c r="I67" s="303"/>
      <c r="J67" s="303"/>
      <c r="M67" s="303"/>
    </row>
    <row r="68" spans="1:17">
      <c r="A68" s="622"/>
      <c r="B68" s="296" t="str">
        <f>AdjustedOutput!A66</f>
        <v>NWHZ2CZ2_5000n_35hp85_des0</v>
      </c>
      <c r="C68" s="310" t="str">
        <f>LEFT(AdjustedOutput!W66,6)</f>
        <v>HZ2CZ2</v>
      </c>
      <c r="D68" s="303">
        <f>AdjustedOutput!F66</f>
        <v>780.28733299999999</v>
      </c>
      <c r="E68" s="303">
        <f>AdjustedOutput!U66</f>
        <v>11230.767369213305</v>
      </c>
      <c r="F68" s="303">
        <f>IF(MID(B68,18,2)="hp",AdjustedOutput!X66*14.5/analysis!$E$2,AdjustedOutput!X66)</f>
        <v>1023.0599979642857</v>
      </c>
      <c r="H68" s="303"/>
      <c r="I68" s="303"/>
      <c r="J68" s="303"/>
      <c r="M68" s="303"/>
    </row>
    <row r="69" spans="1:17">
      <c r="A69" s="622"/>
      <c r="B69" s="296" t="str">
        <f>AdjustedOutput!A67</f>
        <v>NWHZ2CZ3_5000n_35hp85_des0</v>
      </c>
      <c r="C69" s="310" t="str">
        <f>LEFT(AdjustedOutput!W67,6)</f>
        <v>HZ2CZ3</v>
      </c>
      <c r="D69" s="303">
        <f>AdjustedOutput!F67</f>
        <v>780.28733299999999</v>
      </c>
      <c r="E69" s="303">
        <f>AdjustedOutput!U67</f>
        <v>11230.767369213305</v>
      </c>
      <c r="F69" s="303">
        <f>IF(MID(B69,18,2)="hp",AdjustedOutput!X67*14.5/analysis!$E$2,AdjustedOutput!X67)</f>
        <v>1752.8575311428572</v>
      </c>
      <c r="H69" s="303"/>
      <c r="I69" s="303"/>
      <c r="J69" s="303"/>
      <c r="M69" s="303"/>
    </row>
    <row r="70" spans="1:17">
      <c r="A70" s="622"/>
      <c r="B70" s="296" t="str">
        <f>AdjustedOutput!A68</f>
        <v>WxHZ2CZ1_5000e_40hp85_des0</v>
      </c>
      <c r="C70" s="310" t="str">
        <f>LEFT(AdjustedOutput!W68,6)</f>
        <v>HZ2CZ1</v>
      </c>
      <c r="D70" s="303">
        <f>AdjustedOutput!F68</f>
        <v>844.06600600000002</v>
      </c>
      <c r="E70" s="303">
        <f>AdjustedOutput!U68</f>
        <v>11463.22596714083</v>
      </c>
      <c r="F70" s="303">
        <f>IF(MID(B70,18,2)="hp",AdjustedOutput!X68*14.5/analysis!$E$2,AdjustedOutput!X68)</f>
        <v>506.17234374999998</v>
      </c>
      <c r="H70" s="303"/>
      <c r="I70" s="303"/>
      <c r="J70" s="303"/>
      <c r="M70" s="303"/>
    </row>
    <row r="71" spans="1:17">
      <c r="A71" s="622"/>
      <c r="B71" s="296" t="str">
        <f>AdjustedOutput!A69</f>
        <v>WxHZ2CZ2_5000e_40hp85_des0</v>
      </c>
      <c r="C71" s="310" t="str">
        <f>LEFT(AdjustedOutput!W69,6)</f>
        <v>HZ2CZ2</v>
      </c>
      <c r="D71" s="303">
        <f>AdjustedOutput!F69</f>
        <v>844.06600600000002</v>
      </c>
      <c r="E71" s="303">
        <f>AdjustedOutput!U69</f>
        <v>11463.22596714083</v>
      </c>
      <c r="F71" s="303">
        <f>IF(MID(B71,18,2)="hp",AdjustedOutput!X69*14.5/analysis!$E$2,AdjustedOutput!X69)</f>
        <v>1063.0088340357142</v>
      </c>
      <c r="H71" s="303"/>
      <c r="I71" s="303"/>
      <c r="J71" s="303"/>
      <c r="M71" s="303"/>
    </row>
    <row r="72" spans="1:17">
      <c r="A72" s="622"/>
      <c r="B72" s="296" t="str">
        <f>AdjustedOutput!A70</f>
        <v>WxHZ2CZ3_5000e_40hp85_des0</v>
      </c>
      <c r="C72" s="310" t="str">
        <f>LEFT(AdjustedOutput!W70,6)</f>
        <v>HZ2CZ3</v>
      </c>
      <c r="D72" s="303">
        <f>AdjustedOutput!F70</f>
        <v>844.06600600000002</v>
      </c>
      <c r="E72" s="303">
        <f>AdjustedOutput!U70</f>
        <v>11463.22596714083</v>
      </c>
      <c r="F72" s="303">
        <f>IF(MID(B72,18,2)="hp",AdjustedOutput!X70*14.5/analysis!$E$2,AdjustedOutput!X70)</f>
        <v>1831.4705198571428</v>
      </c>
      <c r="H72" s="303"/>
      <c r="I72" s="303"/>
      <c r="J72" s="303"/>
      <c r="M72" s="303"/>
    </row>
    <row r="73" spans="1:17">
      <c r="A73" s="622"/>
      <c r="B73" s="296" t="str">
        <f>AdjustedOutput!A71</f>
        <v>NWHZ3CZ1_5000n_35hp85_des0</v>
      </c>
      <c r="C73" s="310" t="str">
        <f>LEFT(AdjustedOutput!W71,6)</f>
        <v>HZ3CZ1</v>
      </c>
      <c r="D73" s="303">
        <f>AdjustedOutput!F71</f>
        <v>769.49839299999996</v>
      </c>
      <c r="E73" s="303">
        <f>AdjustedOutput!U71</f>
        <v>13371.96736061636</v>
      </c>
      <c r="F73" s="303">
        <f>IF(MID(B73,18,2)="hp",AdjustedOutput!X71*14.5/analysis!$E$2,AdjustedOutput!X71)</f>
        <v>493.48192614285711</v>
      </c>
      <c r="H73" s="303"/>
      <c r="I73" s="303"/>
      <c r="J73" s="303"/>
      <c r="M73" s="303"/>
    </row>
    <row r="74" spans="1:17">
      <c r="A74" s="622"/>
      <c r="B74" s="296" t="str">
        <f>AdjustedOutput!A72</f>
        <v>NWHZ3CZ2_5000n_35hp85_des0</v>
      </c>
      <c r="C74" s="310" t="str">
        <f>LEFT(AdjustedOutput!W72,6)</f>
        <v>HZ3CZ2</v>
      </c>
      <c r="D74" s="303">
        <f>AdjustedOutput!F72</f>
        <v>769.49839299999996</v>
      </c>
      <c r="E74" s="303">
        <f>AdjustedOutput!U72</f>
        <v>13371.96736061636</v>
      </c>
      <c r="F74" s="303">
        <f>IF(MID(B74,18,2)="hp",AdjustedOutput!X72*14.5/analysis!$E$2,AdjustedOutput!X72)</f>
        <v>1023.0599979642857</v>
      </c>
      <c r="H74" s="303"/>
      <c r="I74" s="303"/>
      <c r="J74" s="303"/>
      <c r="M74" s="303"/>
    </row>
    <row r="75" spans="1:17">
      <c r="A75" s="622"/>
      <c r="B75" s="296" t="str">
        <f>AdjustedOutput!A73</f>
        <v>NWHZ3CZ3_5000n_35hp85_des0</v>
      </c>
      <c r="C75" s="310" t="str">
        <f>LEFT(AdjustedOutput!W73,6)</f>
        <v>HZ3CZ3</v>
      </c>
      <c r="D75" s="303">
        <f>AdjustedOutput!F73</f>
        <v>769.49839299999996</v>
      </c>
      <c r="E75" s="303">
        <f>AdjustedOutput!U73</f>
        <v>13371.96736061636</v>
      </c>
      <c r="F75" s="303">
        <f>IF(MID(B75,18,2)="hp",AdjustedOutput!X73*14.5/analysis!$E$2,AdjustedOutput!X73)</f>
        <v>1752.8575311428572</v>
      </c>
      <c r="H75" s="303"/>
      <c r="I75" s="303"/>
      <c r="J75" s="303"/>
      <c r="M75" s="303"/>
    </row>
    <row r="76" spans="1:17">
      <c r="A76" s="622"/>
      <c r="B76" s="296" t="str">
        <f>AdjustedOutput!A74</f>
        <v>WxHZ3CZ1_5000e_40hp85_des0</v>
      </c>
      <c r="C76" s="310" t="str">
        <f>LEFT(AdjustedOutput!W74,6)</f>
        <v>HZ3CZ1</v>
      </c>
      <c r="D76" s="303">
        <f>AdjustedOutput!F74</f>
        <v>831.96580400000005</v>
      </c>
      <c r="E76" s="303">
        <f>AdjustedOutput!U74</f>
        <v>13576.824640358684</v>
      </c>
      <c r="F76" s="303">
        <f>IF(MID(B76,18,2)="hp",AdjustedOutput!X74*14.5/analysis!$E$2,AdjustedOutput!X74)</f>
        <v>506.17234374999998</v>
      </c>
      <c r="H76" s="303"/>
      <c r="I76" s="303"/>
      <c r="J76" s="303"/>
      <c r="M76" s="303"/>
    </row>
    <row r="77" spans="1:17">
      <c r="A77" s="622"/>
      <c r="B77" s="296" t="str">
        <f>AdjustedOutput!A75</f>
        <v>WxHZ3CZ2_5000e_40hp85_des0</v>
      </c>
      <c r="C77" s="310" t="str">
        <f>LEFT(AdjustedOutput!W75,6)</f>
        <v>HZ3CZ2</v>
      </c>
      <c r="D77" s="303">
        <f>AdjustedOutput!F75</f>
        <v>831.96580400000005</v>
      </c>
      <c r="E77" s="303">
        <f>AdjustedOutput!U75</f>
        <v>13576.824640358684</v>
      </c>
      <c r="F77" s="303">
        <f>IF(MID(B77,18,2)="hp",AdjustedOutput!X75*14.5/analysis!$E$2,AdjustedOutput!X75)</f>
        <v>1063.0088340357142</v>
      </c>
      <c r="H77" s="303"/>
      <c r="I77" s="303"/>
      <c r="J77" s="303"/>
      <c r="M77" s="303"/>
    </row>
    <row r="78" spans="1:17" s="308" customFormat="1" ht="15.75" thickBot="1">
      <c r="A78" s="623"/>
      <c r="B78" s="308" t="str">
        <f>AdjustedOutput!A76</f>
        <v>WxHZ3CZ3_5000e_40hp85_des0</v>
      </c>
      <c r="C78" s="310" t="str">
        <f>LEFT(AdjustedOutput!W76,6)</f>
        <v>HZ3CZ3</v>
      </c>
      <c r="D78" s="303">
        <f>AdjustedOutput!F76</f>
        <v>831.96580400000005</v>
      </c>
      <c r="E78" s="303">
        <f>AdjustedOutput!U76</f>
        <v>13576.824640358684</v>
      </c>
      <c r="F78" s="309">
        <f>IF(MID(B78,18,2)="hp",AdjustedOutput!X76*14.5/analysis!$E$2,AdjustedOutput!X76)</f>
        <v>1831.4705198571428</v>
      </c>
      <c r="H78" s="309"/>
      <c r="I78" s="309"/>
      <c r="J78" s="309"/>
      <c r="K78" s="309"/>
      <c r="L78" s="309"/>
      <c r="M78" s="309"/>
    </row>
    <row r="79" spans="1:17" ht="15" customHeight="1">
      <c r="A79" s="621" t="s">
        <v>1055</v>
      </c>
      <c r="B79" s="296" t="str">
        <f>AdjustedOutput!A77</f>
        <v>NWHZ1CZ1_1568n_20gshp_des0</v>
      </c>
      <c r="C79" s="310" t="str">
        <f>LEFT(AdjustedOutput!W77,6)</f>
        <v>HZ1CZ1</v>
      </c>
      <c r="D79" s="303">
        <f>AdjustedOutput!F77</f>
        <v>338.485769</v>
      </c>
      <c r="E79" s="303">
        <f>AdjustedOutput!U77</f>
        <v>2424.4886044746145</v>
      </c>
      <c r="F79" s="303">
        <f>IF(MID(B79,18,2)="hp",AdjustedOutput!X77*14.5/analysis!$E$2,AdjustedOutput!X77)</f>
        <v>290.60138899999998</v>
      </c>
      <c r="H79" s="303">
        <f t="shared" ref="H79:H142" si="0">VLOOKUP(Q79,B$7:F$78,4,FALSE)-E79</f>
        <v>635.55649332988514</v>
      </c>
      <c r="I79" s="303">
        <f t="shared" ref="I79:I142" si="1">VLOOKUP(Q79,B$7:F$78,5,FALSE)-F79</f>
        <v>27.353272857142883</v>
      </c>
      <c r="J79" s="303">
        <f>AdjustedOutput!Y77*$H$1</f>
        <v>0</v>
      </c>
      <c r="M79" s="303">
        <f t="shared" ref="M79:M142" si="2">SUM(H79:J79)</f>
        <v>662.90976618702803</v>
      </c>
      <c r="Q79" s="296" t="str">
        <f t="shared" ref="Q79:Q142" si="3">LEFT(B79,17)&amp;"hp85"&amp;MID(B79,22,4)&amp;"0"</f>
        <v>NWHZ1CZ1_1568n_20hp85_des0</v>
      </c>
    </row>
    <row r="80" spans="1:17">
      <c r="A80" s="622"/>
      <c r="B80" s="296" t="str">
        <f>AdjustedOutput!A78</f>
        <v>NWHZ1CZ2_1568n_20gshp_des0</v>
      </c>
      <c r="C80" s="310" t="str">
        <f>LEFT(AdjustedOutput!W78,6)</f>
        <v>HZ1CZ2</v>
      </c>
      <c r="D80" s="303">
        <f>AdjustedOutput!F78</f>
        <v>338.485769</v>
      </c>
      <c r="E80" s="303">
        <f>AdjustedOutput!U78</f>
        <v>2424.4886044746145</v>
      </c>
      <c r="F80" s="303">
        <f>IF(MID(B80,18,2)="hp",AdjustedOutput!X78*14.5/analysis!$E$2,AdjustedOutput!X78)</f>
        <v>495.07978000000003</v>
      </c>
      <c r="H80" s="303">
        <f t="shared" si="0"/>
        <v>635.55649332988514</v>
      </c>
      <c r="I80" s="303">
        <f t="shared" si="1"/>
        <v>90.281314321428567</v>
      </c>
      <c r="J80" s="303">
        <f>AdjustedOutput!Y78*$H$1</f>
        <v>0</v>
      </c>
      <c r="M80" s="303">
        <f t="shared" si="2"/>
        <v>725.83780765131371</v>
      </c>
      <c r="Q80" s="296" t="str">
        <f t="shared" si="3"/>
        <v>NWHZ1CZ2_1568n_20hp85_des0</v>
      </c>
    </row>
    <row r="81" spans="1:17">
      <c r="A81" s="622"/>
      <c r="B81" s="296" t="str">
        <f>AdjustedOutput!A79</f>
        <v>NWHZ1CZ3_1568n_20gshp_des0</v>
      </c>
      <c r="C81" s="310" t="str">
        <f>LEFT(AdjustedOutput!W79,6)</f>
        <v>HZ1CZ3</v>
      </c>
      <c r="D81" s="303">
        <f>AdjustedOutput!F79</f>
        <v>338.485769</v>
      </c>
      <c r="E81" s="303">
        <f>AdjustedOutput!U79</f>
        <v>2424.4886044746145</v>
      </c>
      <c r="F81" s="303">
        <f>IF(MID(B81,18,2)="hp",AdjustedOutput!X79*14.5/analysis!$E$2,AdjustedOutput!X79)</f>
        <v>735.715868</v>
      </c>
      <c r="H81" s="303">
        <f t="shared" si="0"/>
        <v>635.55649332988514</v>
      </c>
      <c r="I81" s="303">
        <f t="shared" si="1"/>
        <v>193.9451857142858</v>
      </c>
      <c r="J81" s="303">
        <f>AdjustedOutput!Y79*$H$1</f>
        <v>0</v>
      </c>
      <c r="M81" s="303">
        <f t="shared" si="2"/>
        <v>829.50167904417094</v>
      </c>
      <c r="Q81" s="296" t="str">
        <f t="shared" si="3"/>
        <v>NWHZ1CZ3_1568n_20hp85_des0</v>
      </c>
    </row>
    <row r="82" spans="1:17">
      <c r="A82" s="622"/>
      <c r="B82" s="296" t="str">
        <f>AdjustedOutput!A80</f>
        <v>WxHZ1CZ1_1568e_20gshp_des0</v>
      </c>
      <c r="C82" s="310" t="str">
        <f>LEFT(AdjustedOutput!W80,6)</f>
        <v>HZ1CZ1</v>
      </c>
      <c r="D82" s="303">
        <f>AdjustedOutput!F80</f>
        <v>377.46163300000001</v>
      </c>
      <c r="E82" s="303">
        <f>AdjustedOutput!U80</f>
        <v>2712.6309445879715</v>
      </c>
      <c r="F82" s="303">
        <f>IF(MID(B82,18,2)="hp",AdjustedOutput!X80*14.5/analysis!$E$2,AdjustedOutput!X80)</f>
        <v>266.85212000000001</v>
      </c>
      <c r="H82" s="303">
        <f t="shared" si="0"/>
        <v>715.4474870658587</v>
      </c>
      <c r="I82" s="303">
        <f t="shared" si="1"/>
        <v>27.119184535714282</v>
      </c>
      <c r="J82" s="303">
        <f>AdjustedOutput!Y80*$H$1</f>
        <v>0</v>
      </c>
      <c r="M82" s="303">
        <f t="shared" si="2"/>
        <v>742.56667160157303</v>
      </c>
      <c r="Q82" s="296" t="str">
        <f t="shared" si="3"/>
        <v>WxHZ1CZ1_1568e_20hp85_des0</v>
      </c>
    </row>
    <row r="83" spans="1:17">
      <c r="A83" s="622"/>
      <c r="B83" s="296" t="str">
        <f>AdjustedOutput!A81</f>
        <v>WxHZ1CZ2_1568e_20gshp_des0</v>
      </c>
      <c r="C83" s="310" t="str">
        <f>LEFT(AdjustedOutput!W81,6)</f>
        <v>HZ1CZ2</v>
      </c>
      <c r="D83" s="303">
        <f>AdjustedOutput!F81</f>
        <v>377.46163300000001</v>
      </c>
      <c r="E83" s="303">
        <f>AdjustedOutput!U81</f>
        <v>2712.6309445879715</v>
      </c>
      <c r="F83" s="303">
        <f>IF(MID(B83,18,2)="hp",AdjustedOutput!X81*14.5/analysis!$E$2,AdjustedOutput!X81)</f>
        <v>478.57834500000001</v>
      </c>
      <c r="H83" s="303">
        <f t="shared" si="0"/>
        <v>715.4474870658587</v>
      </c>
      <c r="I83" s="303">
        <f t="shared" si="1"/>
        <v>91.034953892857175</v>
      </c>
      <c r="J83" s="303">
        <f>AdjustedOutput!Y81*$H$1</f>
        <v>0</v>
      </c>
      <c r="M83" s="303">
        <f t="shared" si="2"/>
        <v>806.48244095871587</v>
      </c>
      <c r="Q83" s="296" t="str">
        <f t="shared" si="3"/>
        <v>WxHZ1CZ2_1568e_20hp85_des0</v>
      </c>
    </row>
    <row r="84" spans="1:17">
      <c r="A84" s="622"/>
      <c r="B84" s="296" t="str">
        <f>AdjustedOutput!A82</f>
        <v>WxHZ1CZ3_1568e_20gshp_des0</v>
      </c>
      <c r="C84" s="310" t="str">
        <f>LEFT(AdjustedOutput!W82,6)</f>
        <v>HZ1CZ3</v>
      </c>
      <c r="D84" s="303">
        <f>AdjustedOutput!F82</f>
        <v>377.46163300000001</v>
      </c>
      <c r="E84" s="303">
        <f>AdjustedOutput!U82</f>
        <v>2712.6309445879715</v>
      </c>
      <c r="F84" s="303">
        <f>IF(MID(B84,18,2)="hp",AdjustedOutput!X82*14.5/analysis!$E$2,AdjustedOutput!X82)</f>
        <v>730.34534399999995</v>
      </c>
      <c r="H84" s="303">
        <f t="shared" si="0"/>
        <v>715.4474870658587</v>
      </c>
      <c r="I84" s="303">
        <f t="shared" si="1"/>
        <v>198.12232553571425</v>
      </c>
      <c r="J84" s="303">
        <f>AdjustedOutput!Y82*$H$1</f>
        <v>0</v>
      </c>
      <c r="M84" s="303">
        <f t="shared" si="2"/>
        <v>913.56981260157295</v>
      </c>
      <c r="Q84" s="296" t="str">
        <f t="shared" si="3"/>
        <v>WxHZ1CZ3_1568e_20hp85_des0</v>
      </c>
    </row>
    <row r="85" spans="1:17">
      <c r="A85" s="622"/>
      <c r="B85" s="296" t="str">
        <f>AdjustedOutput!A83</f>
        <v>NWHZ2CZ1_1568n_20gshp_des0</v>
      </c>
      <c r="C85" s="310" t="str">
        <f>LEFT(AdjustedOutput!W83,6)</f>
        <v>HZ2CZ1</v>
      </c>
      <c r="D85" s="303">
        <f>AdjustedOutput!F83</f>
        <v>340.89578</v>
      </c>
      <c r="E85" s="303">
        <f>AdjustedOutput!U83</f>
        <v>3164.5283538475546</v>
      </c>
      <c r="F85" s="303">
        <f>IF(MID(B85,18,2)="hp",AdjustedOutput!X83*14.5/analysis!$E$2,AdjustedOutput!X83)</f>
        <v>290.60138899999998</v>
      </c>
      <c r="H85" s="303">
        <f t="shared" si="0"/>
        <v>1432.5334368660228</v>
      </c>
      <c r="I85" s="303">
        <f t="shared" si="1"/>
        <v>27.353272857142883</v>
      </c>
      <c r="J85" s="303">
        <f>AdjustedOutput!Y83*$H$1</f>
        <v>0</v>
      </c>
      <c r="M85" s="303">
        <f t="shared" si="2"/>
        <v>1459.8867097231657</v>
      </c>
      <c r="Q85" s="296" t="str">
        <f t="shared" si="3"/>
        <v>NWHZ2CZ1_1568n_20hp85_des0</v>
      </c>
    </row>
    <row r="86" spans="1:17">
      <c r="A86" s="622"/>
      <c r="B86" s="296" t="str">
        <f>AdjustedOutput!A84</f>
        <v>NWHZ2CZ2_1568n_20gshp_des0</v>
      </c>
      <c r="C86" s="310" t="str">
        <f>LEFT(AdjustedOutput!W84,6)</f>
        <v>HZ2CZ2</v>
      </c>
      <c r="D86" s="303">
        <f>AdjustedOutput!F84</f>
        <v>340.89578</v>
      </c>
      <c r="E86" s="303">
        <f>AdjustedOutput!U84</f>
        <v>3164.5283538475546</v>
      </c>
      <c r="F86" s="303">
        <f>IF(MID(B86,18,2)="hp",AdjustedOutput!X84*14.5/analysis!$E$2,AdjustedOutput!X84)</f>
        <v>495.07978000000003</v>
      </c>
      <c r="H86" s="303">
        <f t="shared" si="0"/>
        <v>1432.5334368660228</v>
      </c>
      <c r="I86" s="303">
        <f t="shared" si="1"/>
        <v>90.281314321428567</v>
      </c>
      <c r="J86" s="303">
        <f>AdjustedOutput!Y84*$H$1</f>
        <v>0</v>
      </c>
      <c r="M86" s="303">
        <f t="shared" si="2"/>
        <v>1522.8147511874513</v>
      </c>
      <c r="Q86" s="296" t="str">
        <f t="shared" si="3"/>
        <v>NWHZ2CZ2_1568n_20hp85_des0</v>
      </c>
    </row>
    <row r="87" spans="1:17">
      <c r="A87" s="622"/>
      <c r="B87" s="296" t="str">
        <f>AdjustedOutput!A85</f>
        <v>NWHZ2CZ3_1568n_20gshp_des0</v>
      </c>
      <c r="C87" s="310" t="str">
        <f>LEFT(AdjustedOutput!W85,6)</f>
        <v>HZ2CZ3</v>
      </c>
      <c r="D87" s="303">
        <f>AdjustedOutput!F85</f>
        <v>340.89578</v>
      </c>
      <c r="E87" s="303">
        <f>AdjustedOutput!U85</f>
        <v>3164.5283538475546</v>
      </c>
      <c r="F87" s="303">
        <f>IF(MID(B87,18,2)="hp",AdjustedOutput!X85*14.5/analysis!$E$2,AdjustedOutput!X85)</f>
        <v>735.715868</v>
      </c>
      <c r="H87" s="303">
        <f t="shared" si="0"/>
        <v>1432.5334368660228</v>
      </c>
      <c r="I87" s="303">
        <f t="shared" si="1"/>
        <v>193.9451857142858</v>
      </c>
      <c r="J87" s="303">
        <f>AdjustedOutput!Y85*$H$1</f>
        <v>0</v>
      </c>
      <c r="M87" s="303">
        <f t="shared" si="2"/>
        <v>1626.4786225803086</v>
      </c>
      <c r="Q87" s="296" t="str">
        <f t="shared" si="3"/>
        <v>NWHZ2CZ3_1568n_20hp85_des0</v>
      </c>
    </row>
    <row r="88" spans="1:17">
      <c r="A88" s="622"/>
      <c r="B88" s="296" t="str">
        <f>AdjustedOutput!A86</f>
        <v>WxHZ2CZ1_1568e_20gshp_des0</v>
      </c>
      <c r="C88" s="310" t="str">
        <f>LEFT(AdjustedOutput!W86,6)</f>
        <v>HZ2CZ1</v>
      </c>
      <c r="D88" s="303">
        <f>AdjustedOutput!F86</f>
        <v>380.01735500000001</v>
      </c>
      <c r="E88" s="303">
        <f>AdjustedOutput!U86</f>
        <v>3497.7274164795213</v>
      </c>
      <c r="F88" s="303">
        <f>IF(MID(B88,18,2)="hp",AdjustedOutput!X86*14.5/analysis!$E$2,AdjustedOutput!X86)</f>
        <v>266.85212000000001</v>
      </c>
      <c r="H88" s="303">
        <f t="shared" si="0"/>
        <v>1605.7880373830581</v>
      </c>
      <c r="I88" s="303">
        <f t="shared" si="1"/>
        <v>27.119184535714282</v>
      </c>
      <c r="J88" s="303">
        <f>AdjustedOutput!Y86*$H$1</f>
        <v>0</v>
      </c>
      <c r="M88" s="303">
        <f t="shared" si="2"/>
        <v>1632.9072219187724</v>
      </c>
      <c r="Q88" s="296" t="str">
        <f t="shared" si="3"/>
        <v>WxHZ2CZ1_1568e_20hp85_des0</v>
      </c>
    </row>
    <row r="89" spans="1:17">
      <c r="A89" s="622"/>
      <c r="B89" s="296" t="str">
        <f>AdjustedOutput!A87</f>
        <v>WxHZ2CZ2_1568e_20gshp_des0</v>
      </c>
      <c r="C89" s="310" t="str">
        <f>LEFT(AdjustedOutput!W87,6)</f>
        <v>HZ2CZ2</v>
      </c>
      <c r="D89" s="303">
        <f>AdjustedOutput!F87</f>
        <v>380.01735500000001</v>
      </c>
      <c r="E89" s="303">
        <f>AdjustedOutput!U87</f>
        <v>3497.7274164795213</v>
      </c>
      <c r="F89" s="303">
        <f>IF(MID(B89,18,2)="hp",AdjustedOutput!X87*14.5/analysis!$E$2,AdjustedOutput!X87)</f>
        <v>478.57834500000001</v>
      </c>
      <c r="H89" s="303">
        <f t="shared" si="0"/>
        <v>1605.7880373830581</v>
      </c>
      <c r="I89" s="303">
        <f t="shared" si="1"/>
        <v>91.034953892857175</v>
      </c>
      <c r="J89" s="303">
        <f>AdjustedOutput!Y87*$H$1</f>
        <v>0</v>
      </c>
      <c r="M89" s="303">
        <f t="shared" si="2"/>
        <v>1696.8229912759152</v>
      </c>
      <c r="Q89" s="296" t="str">
        <f t="shared" si="3"/>
        <v>WxHZ2CZ2_1568e_20hp85_des0</v>
      </c>
    </row>
    <row r="90" spans="1:17">
      <c r="A90" s="622"/>
      <c r="B90" s="296" t="str">
        <f>AdjustedOutput!A88</f>
        <v>WxHZ2CZ3_1568e_20gshp_des0</v>
      </c>
      <c r="C90" s="310" t="str">
        <f>LEFT(AdjustedOutput!W88,6)</f>
        <v>HZ2CZ3</v>
      </c>
      <c r="D90" s="303">
        <f>AdjustedOutput!F88</f>
        <v>380.01735500000001</v>
      </c>
      <c r="E90" s="303">
        <f>AdjustedOutput!U88</f>
        <v>3497.7274164795213</v>
      </c>
      <c r="F90" s="303">
        <f>IF(MID(B90,18,2)="hp",AdjustedOutput!X88*14.5/analysis!$E$2,AdjustedOutput!X88)</f>
        <v>730.34534399999995</v>
      </c>
      <c r="H90" s="303">
        <f t="shared" si="0"/>
        <v>1605.7880373830581</v>
      </c>
      <c r="I90" s="303">
        <f t="shared" si="1"/>
        <v>198.12232553571425</v>
      </c>
      <c r="J90" s="303">
        <f>AdjustedOutput!Y88*$H$1</f>
        <v>0</v>
      </c>
      <c r="M90" s="303">
        <f t="shared" si="2"/>
        <v>1803.9103629187723</v>
      </c>
      <c r="Q90" s="296" t="str">
        <f t="shared" si="3"/>
        <v>WxHZ2CZ3_1568e_20hp85_des0</v>
      </c>
    </row>
    <row r="91" spans="1:17">
      <c r="A91" s="622"/>
      <c r="B91" s="296" t="str">
        <f>AdjustedOutput!A89</f>
        <v>NWHZ3CZ1_1568n_20gshp_des0</v>
      </c>
      <c r="C91" s="310" t="str">
        <f>LEFT(AdjustedOutput!W89,6)</f>
        <v>HZ3CZ1</v>
      </c>
      <c r="D91" s="303">
        <f>AdjustedOutput!F89</f>
        <v>338.42481900000001</v>
      </c>
      <c r="E91" s="303">
        <f>AdjustedOutput!U89</f>
        <v>3393.1703833726633</v>
      </c>
      <c r="F91" s="303">
        <f>IF(MID(B91,18,2)="hp",AdjustedOutput!X89*14.5/analysis!$E$2,AdjustedOutput!X89)</f>
        <v>290.60138899999998</v>
      </c>
      <c r="H91" s="303">
        <f t="shared" si="0"/>
        <v>2019.0296758868699</v>
      </c>
      <c r="I91" s="303">
        <f t="shared" si="1"/>
        <v>27.353272857142883</v>
      </c>
      <c r="J91" s="303">
        <f>AdjustedOutput!Y89*$H$1</f>
        <v>0</v>
      </c>
      <c r="M91" s="303">
        <f t="shared" si="2"/>
        <v>2046.3829487440128</v>
      </c>
      <c r="Q91" s="296" t="str">
        <f t="shared" si="3"/>
        <v>NWHZ3CZ1_1568n_20hp85_des0</v>
      </c>
    </row>
    <row r="92" spans="1:17">
      <c r="A92" s="622"/>
      <c r="B92" s="296" t="str">
        <f>AdjustedOutput!A90</f>
        <v>NWHZ3CZ2_1568n_20gshp_des0</v>
      </c>
      <c r="C92" s="310" t="str">
        <f>LEFT(AdjustedOutput!W90,6)</f>
        <v>HZ3CZ2</v>
      </c>
      <c r="D92" s="303">
        <f>AdjustedOutput!F90</f>
        <v>338.42481900000001</v>
      </c>
      <c r="E92" s="303">
        <f>AdjustedOutput!U90</f>
        <v>3393.1703833726633</v>
      </c>
      <c r="F92" s="303">
        <f>IF(MID(B92,18,2)="hp",AdjustedOutput!X90*14.5/analysis!$E$2,AdjustedOutput!X90)</f>
        <v>495.07978000000003</v>
      </c>
      <c r="H92" s="303">
        <f t="shared" si="0"/>
        <v>2019.0296758868699</v>
      </c>
      <c r="I92" s="303">
        <f t="shared" si="1"/>
        <v>90.281314321428567</v>
      </c>
      <c r="J92" s="303">
        <f>AdjustedOutput!Y90*$H$1</f>
        <v>0</v>
      </c>
      <c r="M92" s="303">
        <f t="shared" si="2"/>
        <v>2109.3109902082983</v>
      </c>
      <c r="Q92" s="296" t="str">
        <f t="shared" si="3"/>
        <v>NWHZ3CZ2_1568n_20hp85_des0</v>
      </c>
    </row>
    <row r="93" spans="1:17">
      <c r="A93" s="622"/>
      <c r="B93" s="296" t="str">
        <f>AdjustedOutput!A91</f>
        <v>NWHZ3CZ3_1568n_20gshp_des0</v>
      </c>
      <c r="C93" s="310" t="str">
        <f>LEFT(AdjustedOutput!W91,6)</f>
        <v>HZ3CZ3</v>
      </c>
      <c r="D93" s="303">
        <f>AdjustedOutput!F91</f>
        <v>338.42481900000001</v>
      </c>
      <c r="E93" s="303">
        <f>AdjustedOutput!U91</f>
        <v>3393.1703833726633</v>
      </c>
      <c r="F93" s="303">
        <f>IF(MID(B93,18,2)="hp",AdjustedOutput!X91*14.5/analysis!$E$2,AdjustedOutput!X91)</f>
        <v>735.715868</v>
      </c>
      <c r="H93" s="303">
        <f t="shared" si="0"/>
        <v>2019.0296758868699</v>
      </c>
      <c r="I93" s="303">
        <f t="shared" si="1"/>
        <v>193.9451857142858</v>
      </c>
      <c r="J93" s="303">
        <f>AdjustedOutput!Y91*$H$1</f>
        <v>0</v>
      </c>
      <c r="M93" s="303">
        <f t="shared" si="2"/>
        <v>2212.9748616011557</v>
      </c>
      <c r="Q93" s="296" t="str">
        <f t="shared" si="3"/>
        <v>NWHZ3CZ3_1568n_20hp85_des0</v>
      </c>
    </row>
    <row r="94" spans="1:17">
      <c r="A94" s="622"/>
      <c r="B94" s="296" t="str">
        <f>AdjustedOutput!A92</f>
        <v>WxHZ3CZ1_1568e_20gshp_des0</v>
      </c>
      <c r="C94" s="310" t="str">
        <f>LEFT(AdjustedOutput!W92,6)</f>
        <v>HZ3CZ1</v>
      </c>
      <c r="D94" s="303">
        <f>AdjustedOutput!F92</f>
        <v>377.47136499999999</v>
      </c>
      <c r="E94" s="303">
        <f>AdjustedOutput!U92</f>
        <v>3755.9806478559367</v>
      </c>
      <c r="F94" s="303">
        <f>IF(MID(B94,18,2)="hp",AdjustedOutput!X92*14.5/analysis!$E$2,AdjustedOutput!X92)</f>
        <v>266.85212000000001</v>
      </c>
      <c r="H94" s="303">
        <f t="shared" si="0"/>
        <v>2251.3094993042077</v>
      </c>
      <c r="I94" s="303">
        <f t="shared" si="1"/>
        <v>27.119184535714282</v>
      </c>
      <c r="J94" s="303">
        <f>AdjustedOutput!Y92*$H$1</f>
        <v>0</v>
      </c>
      <c r="M94" s="303">
        <f t="shared" si="2"/>
        <v>2278.4286838399221</v>
      </c>
      <c r="Q94" s="296" t="str">
        <f t="shared" si="3"/>
        <v>WxHZ3CZ1_1568e_20hp85_des0</v>
      </c>
    </row>
    <row r="95" spans="1:17">
      <c r="A95" s="622"/>
      <c r="B95" s="296" t="str">
        <f>AdjustedOutput!A93</f>
        <v>WxHZ3CZ2_1568e_20gshp_des0</v>
      </c>
      <c r="C95" s="310" t="str">
        <f>LEFT(AdjustedOutput!W93,6)</f>
        <v>HZ3CZ2</v>
      </c>
      <c r="D95" s="303">
        <f>AdjustedOutput!F93</f>
        <v>377.47136499999999</v>
      </c>
      <c r="E95" s="303">
        <f>AdjustedOutput!U93</f>
        <v>3755.9806478559367</v>
      </c>
      <c r="F95" s="303">
        <f>IF(MID(B95,18,2)="hp",AdjustedOutput!X93*14.5/analysis!$E$2,AdjustedOutput!X93)</f>
        <v>478.57834500000001</v>
      </c>
      <c r="H95" s="303">
        <f t="shared" si="0"/>
        <v>2251.3094993042077</v>
      </c>
      <c r="I95" s="303">
        <f t="shared" si="1"/>
        <v>91.034953892857175</v>
      </c>
      <c r="J95" s="303">
        <f>AdjustedOutput!Y93*$H$1</f>
        <v>0</v>
      </c>
      <c r="M95" s="303">
        <f t="shared" si="2"/>
        <v>2342.3444531970649</v>
      </c>
      <c r="Q95" s="296" t="str">
        <f t="shared" si="3"/>
        <v>WxHZ3CZ2_1568e_20hp85_des0</v>
      </c>
    </row>
    <row r="96" spans="1:17">
      <c r="A96" s="622"/>
      <c r="B96" s="296" t="str">
        <f>AdjustedOutput!A94</f>
        <v>WxHZ3CZ3_1568e_20gshp_des0</v>
      </c>
      <c r="C96" s="310" t="str">
        <f>LEFT(AdjustedOutput!W94,6)</f>
        <v>HZ3CZ3</v>
      </c>
      <c r="D96" s="303">
        <f>AdjustedOutput!F94</f>
        <v>377.47136499999999</v>
      </c>
      <c r="E96" s="303">
        <f>AdjustedOutput!U94</f>
        <v>3755.9806478559367</v>
      </c>
      <c r="F96" s="303">
        <f>IF(MID(B96,18,2)="hp",AdjustedOutput!X94*14.5/analysis!$E$2,AdjustedOutput!X94)</f>
        <v>730.34534399999995</v>
      </c>
      <c r="H96" s="303">
        <f t="shared" si="0"/>
        <v>2251.3094993042077</v>
      </c>
      <c r="I96" s="303">
        <f t="shared" si="1"/>
        <v>198.12232553571425</v>
      </c>
      <c r="J96" s="303">
        <f>AdjustedOutput!Y94*$H$1</f>
        <v>0</v>
      </c>
      <c r="M96" s="303">
        <f t="shared" si="2"/>
        <v>2449.4318248399222</v>
      </c>
      <c r="Q96" s="296" t="str">
        <f t="shared" si="3"/>
        <v>WxHZ3CZ3_1568e_20hp85_des0</v>
      </c>
    </row>
    <row r="97" spans="1:17">
      <c r="A97" s="622"/>
      <c r="B97" s="296" t="str">
        <f>AdjustedOutput!A95</f>
        <v>NWHZ1CZ1_2200n_25gshp_des0</v>
      </c>
      <c r="C97" s="310" t="str">
        <f>LEFT(AdjustedOutput!W95,6)</f>
        <v>HZ1CZ1</v>
      </c>
      <c r="D97" s="303">
        <f>AdjustedOutput!F95</f>
        <v>418.84601099999998</v>
      </c>
      <c r="E97" s="303">
        <f>AdjustedOutput!U95</f>
        <v>3409.9596026869517</v>
      </c>
      <c r="F97" s="303">
        <f>IF(MID(B97,18,2)="hp",AdjustedOutput!X95*14.5/analysis!$E$2,AdjustedOutput!X95)</f>
        <v>408.95325100000002</v>
      </c>
      <c r="H97" s="303">
        <f t="shared" si="0"/>
        <v>1034.5443121852654</v>
      </c>
      <c r="I97" s="303">
        <f t="shared" si="1"/>
        <v>45.550705214285699</v>
      </c>
      <c r="J97" s="303">
        <f>AdjustedOutput!Y95*$H$1</f>
        <v>0</v>
      </c>
      <c r="M97" s="303">
        <f t="shared" si="2"/>
        <v>1080.0950173995511</v>
      </c>
      <c r="Q97" s="296" t="str">
        <f t="shared" si="3"/>
        <v>NWHZ1CZ1_2200n_25hp85_des0</v>
      </c>
    </row>
    <row r="98" spans="1:17">
      <c r="A98" s="622"/>
      <c r="B98" s="296" t="str">
        <f>AdjustedOutput!A96</f>
        <v>NWHZ1CZ2_2200n_25gshp_des0</v>
      </c>
      <c r="C98" s="310" t="str">
        <f>LEFT(AdjustedOutput!W96,6)</f>
        <v>HZ1CZ2</v>
      </c>
      <c r="D98" s="303">
        <f>AdjustedOutput!F96</f>
        <v>418.84601099999998</v>
      </c>
      <c r="E98" s="303">
        <f>AdjustedOutput!U96</f>
        <v>3409.9596026869517</v>
      </c>
      <c r="F98" s="303">
        <f>IF(MID(B98,18,2)="hp",AdjustedOutput!X96*14.5/analysis!$E$2,AdjustedOutput!X96)</f>
        <v>701.82783700000005</v>
      </c>
      <c r="H98" s="303">
        <f t="shared" si="0"/>
        <v>1034.5443121852654</v>
      </c>
      <c r="I98" s="303">
        <f t="shared" si="1"/>
        <v>135.93796699999996</v>
      </c>
      <c r="J98" s="303">
        <f>AdjustedOutput!Y96*$H$1</f>
        <v>0</v>
      </c>
      <c r="M98" s="303">
        <f t="shared" si="2"/>
        <v>1170.4822791852653</v>
      </c>
      <c r="Q98" s="296" t="str">
        <f t="shared" si="3"/>
        <v>NWHZ1CZ2_2200n_25hp85_des0</v>
      </c>
    </row>
    <row r="99" spans="1:17">
      <c r="A99" s="622"/>
      <c r="B99" s="296" t="str">
        <f>AdjustedOutput!A97</f>
        <v>NWHZ1CZ3_2200n_25gshp_des0</v>
      </c>
      <c r="C99" s="310" t="str">
        <f>LEFT(AdjustedOutput!W97,6)</f>
        <v>HZ1CZ3</v>
      </c>
      <c r="D99" s="303">
        <f>AdjustedOutput!F97</f>
        <v>418.84601099999998</v>
      </c>
      <c r="E99" s="303">
        <f>AdjustedOutput!U97</f>
        <v>3409.9596026869517</v>
      </c>
      <c r="F99" s="303">
        <f>IF(MID(B99,18,2)="hp",AdjustedOutput!X97*14.5/analysis!$E$2,AdjustedOutput!X97)</f>
        <v>1048.330596</v>
      </c>
      <c r="H99" s="303">
        <f t="shared" si="0"/>
        <v>1034.5443121852654</v>
      </c>
      <c r="I99" s="303">
        <f t="shared" si="1"/>
        <v>281.70456335714289</v>
      </c>
      <c r="J99" s="303">
        <f>AdjustedOutput!Y97*$H$1</f>
        <v>0</v>
      </c>
      <c r="M99" s="303">
        <f t="shared" si="2"/>
        <v>1316.2488755424083</v>
      </c>
      <c r="Q99" s="296" t="str">
        <f t="shared" si="3"/>
        <v>NWHZ1CZ3_2200n_25hp85_des0</v>
      </c>
    </row>
    <row r="100" spans="1:17">
      <c r="A100" s="622"/>
      <c r="B100" s="296" t="str">
        <f>AdjustedOutput!A98</f>
        <v>WxHZ1CZ1_2200e_30gshp_des0</v>
      </c>
      <c r="C100" s="310" t="str">
        <f>LEFT(AdjustedOutput!W98,6)</f>
        <v>HZ1CZ1</v>
      </c>
      <c r="D100" s="303">
        <f>AdjustedOutput!F98</f>
        <v>484.56612999999999</v>
      </c>
      <c r="E100" s="303">
        <f>AdjustedOutput!U98</f>
        <v>3979.0880606706651</v>
      </c>
      <c r="F100" s="303">
        <f>IF(MID(B100,18,2)="hp",AdjustedOutput!X98*14.5/analysis!$E$2,AdjustedOutput!X98)</f>
        <v>398.34715699999998</v>
      </c>
      <c r="H100" s="303">
        <f t="shared" si="0"/>
        <v>1150.1594007451995</v>
      </c>
      <c r="I100" s="303">
        <f t="shared" si="1"/>
        <v>48.067089714285714</v>
      </c>
      <c r="J100" s="303">
        <f>AdjustedOutput!Y98*$H$1</f>
        <v>0</v>
      </c>
      <c r="M100" s="303">
        <f t="shared" si="2"/>
        <v>1198.2264904594851</v>
      </c>
      <c r="Q100" s="296" t="str">
        <f t="shared" si="3"/>
        <v>WxHZ1CZ1_2200e_30hp85_des0</v>
      </c>
    </row>
    <row r="101" spans="1:17">
      <c r="A101" s="622"/>
      <c r="B101" s="296" t="str">
        <f>AdjustedOutput!A99</f>
        <v>WxHZ1CZ2_2200e_30gshp_des0</v>
      </c>
      <c r="C101" s="310" t="str">
        <f>LEFT(AdjustedOutput!W99,6)</f>
        <v>HZ1CZ2</v>
      </c>
      <c r="D101" s="303">
        <f>AdjustedOutput!F99</f>
        <v>484.56612999999999</v>
      </c>
      <c r="E101" s="303">
        <f>AdjustedOutput!U99</f>
        <v>3979.0880606706651</v>
      </c>
      <c r="F101" s="303">
        <f>IF(MID(B101,18,2)="hp",AdjustedOutput!X99*14.5/analysis!$E$2,AdjustedOutput!X99)</f>
        <v>715.893642</v>
      </c>
      <c r="H101" s="303">
        <f t="shared" si="0"/>
        <v>1150.1594007451995</v>
      </c>
      <c r="I101" s="303">
        <f t="shared" si="1"/>
        <v>146.07521400000007</v>
      </c>
      <c r="J101" s="303">
        <f>AdjustedOutput!Y99*$H$1</f>
        <v>0</v>
      </c>
      <c r="M101" s="303">
        <f t="shared" si="2"/>
        <v>1296.2346147451995</v>
      </c>
      <c r="Q101" s="296" t="str">
        <f t="shared" si="3"/>
        <v>WxHZ1CZ2_2200e_30hp85_des0</v>
      </c>
    </row>
    <row r="102" spans="1:17">
      <c r="A102" s="622"/>
      <c r="B102" s="296" t="str">
        <f>AdjustedOutput!A100</f>
        <v>WxHZ1CZ3_2200e_30gshp_des0</v>
      </c>
      <c r="C102" s="310" t="str">
        <f>LEFT(AdjustedOutput!W100,6)</f>
        <v>HZ1CZ3</v>
      </c>
      <c r="D102" s="303">
        <f>AdjustedOutput!F100</f>
        <v>484.56612999999999</v>
      </c>
      <c r="E102" s="303">
        <f>AdjustedOutput!U100</f>
        <v>3979.0880606706651</v>
      </c>
      <c r="F102" s="303">
        <f>IF(MID(B102,18,2)="hp",AdjustedOutput!X100*14.5/analysis!$E$2,AdjustedOutput!X100)</f>
        <v>1093.609475</v>
      </c>
      <c r="H102" s="303">
        <f t="shared" si="0"/>
        <v>1150.1594007451995</v>
      </c>
      <c r="I102" s="303">
        <f t="shared" si="1"/>
        <v>306.69597482142854</v>
      </c>
      <c r="J102" s="303">
        <f>AdjustedOutput!Y100*$H$1</f>
        <v>0</v>
      </c>
      <c r="M102" s="303">
        <f t="shared" si="2"/>
        <v>1456.855375566628</v>
      </c>
      <c r="Q102" s="296" t="str">
        <f t="shared" si="3"/>
        <v>WxHZ1CZ3_2200e_30hp85_des0</v>
      </c>
    </row>
    <row r="103" spans="1:17">
      <c r="A103" s="622"/>
      <c r="B103" s="296" t="str">
        <f>AdjustedOutput!A101</f>
        <v>NWHZ2CZ1_2200n_25gshp_des0</v>
      </c>
      <c r="C103" s="310" t="str">
        <f>LEFT(AdjustedOutput!W101,6)</f>
        <v>HZ2CZ1</v>
      </c>
      <c r="D103" s="303">
        <f>AdjustedOutput!F101</f>
        <v>425.73406999999997</v>
      </c>
      <c r="E103" s="303">
        <f>AdjustedOutput!U101</f>
        <v>4573.3715376605105</v>
      </c>
      <c r="F103" s="303">
        <f>IF(MID(B103,18,2)="hp",AdjustedOutput!X101*14.5/analysis!$E$2,AdjustedOutput!X101)</f>
        <v>408.95325100000002</v>
      </c>
      <c r="H103" s="303">
        <f t="shared" si="0"/>
        <v>2261.7601454162304</v>
      </c>
      <c r="I103" s="303">
        <f t="shared" si="1"/>
        <v>45.550705214285699</v>
      </c>
      <c r="J103" s="303">
        <f>AdjustedOutput!Y101*$H$1</f>
        <v>0</v>
      </c>
      <c r="M103" s="303">
        <f t="shared" si="2"/>
        <v>2307.3108506305161</v>
      </c>
      <c r="Q103" s="296" t="str">
        <f t="shared" si="3"/>
        <v>NWHZ2CZ1_2200n_25hp85_des0</v>
      </c>
    </row>
    <row r="104" spans="1:17">
      <c r="A104" s="622"/>
      <c r="B104" s="296" t="str">
        <f>AdjustedOutput!A102</f>
        <v>NWHZ2CZ2_2200n_25gshp_des0</v>
      </c>
      <c r="C104" s="310" t="str">
        <f>LEFT(AdjustedOutput!W102,6)</f>
        <v>HZ2CZ2</v>
      </c>
      <c r="D104" s="303">
        <f>AdjustedOutput!F102</f>
        <v>425.73406999999997</v>
      </c>
      <c r="E104" s="303">
        <f>AdjustedOutput!U102</f>
        <v>4573.3715376605105</v>
      </c>
      <c r="F104" s="303">
        <f>IF(MID(B104,18,2)="hp",AdjustedOutput!X102*14.5/analysis!$E$2,AdjustedOutput!X102)</f>
        <v>701.82783700000005</v>
      </c>
      <c r="H104" s="303">
        <f t="shared" si="0"/>
        <v>2261.7601454162304</v>
      </c>
      <c r="I104" s="303">
        <f t="shared" si="1"/>
        <v>135.93796699999996</v>
      </c>
      <c r="J104" s="303">
        <f>AdjustedOutput!Y102*$H$1</f>
        <v>0</v>
      </c>
      <c r="M104" s="303">
        <f t="shared" si="2"/>
        <v>2397.6981124162303</v>
      </c>
      <c r="Q104" s="296" t="str">
        <f t="shared" si="3"/>
        <v>NWHZ2CZ2_2200n_25hp85_des0</v>
      </c>
    </row>
    <row r="105" spans="1:17">
      <c r="A105" s="622"/>
      <c r="B105" s="296" t="str">
        <f>AdjustedOutput!A103</f>
        <v>NWHZ2CZ3_2200n_25gshp_des0</v>
      </c>
      <c r="C105" s="310" t="str">
        <f>LEFT(AdjustedOutput!W103,6)</f>
        <v>HZ2CZ3</v>
      </c>
      <c r="D105" s="303">
        <f>AdjustedOutput!F103</f>
        <v>425.73406999999997</v>
      </c>
      <c r="E105" s="303">
        <f>AdjustedOutput!U103</f>
        <v>4573.3715376605105</v>
      </c>
      <c r="F105" s="303">
        <f>IF(MID(B105,18,2)="hp",AdjustedOutput!X103*14.5/analysis!$E$2,AdjustedOutput!X103)</f>
        <v>1048.330596</v>
      </c>
      <c r="H105" s="303">
        <f t="shared" si="0"/>
        <v>2261.7601454162304</v>
      </c>
      <c r="I105" s="303">
        <f t="shared" si="1"/>
        <v>281.70456335714289</v>
      </c>
      <c r="J105" s="303">
        <f>AdjustedOutput!Y103*$H$1</f>
        <v>0</v>
      </c>
      <c r="M105" s="303">
        <f t="shared" si="2"/>
        <v>2543.4647087733733</v>
      </c>
      <c r="Q105" s="296" t="str">
        <f t="shared" si="3"/>
        <v>NWHZ2CZ3_2200n_25hp85_des0</v>
      </c>
    </row>
    <row r="106" spans="1:17">
      <c r="A106" s="622"/>
      <c r="B106" s="296" t="str">
        <f>AdjustedOutput!A104</f>
        <v>WxHZ2CZ1_2200e_30gshp_des0</v>
      </c>
      <c r="C106" s="310" t="str">
        <f>LEFT(AdjustedOutput!W104,6)</f>
        <v>HZ2CZ1</v>
      </c>
      <c r="D106" s="303">
        <f>AdjustedOutput!F104</f>
        <v>491.69026400000001</v>
      </c>
      <c r="E106" s="303">
        <f>AdjustedOutput!U104</f>
        <v>5158.5375200872104</v>
      </c>
      <c r="F106" s="303">
        <f>IF(MID(B106,18,2)="hp",AdjustedOutput!X104*14.5/analysis!$E$2,AdjustedOutput!X104)</f>
        <v>398.34715699999998</v>
      </c>
      <c r="H106" s="303">
        <f t="shared" si="0"/>
        <v>2523.1850636332456</v>
      </c>
      <c r="I106" s="303">
        <f t="shared" si="1"/>
        <v>48.067089714285714</v>
      </c>
      <c r="J106" s="303">
        <f>AdjustedOutput!Y104*$H$1</f>
        <v>0</v>
      </c>
      <c r="M106" s="303">
        <f t="shared" si="2"/>
        <v>2571.2521533475315</v>
      </c>
      <c r="Q106" s="296" t="str">
        <f t="shared" si="3"/>
        <v>WxHZ2CZ1_2200e_30hp85_des0</v>
      </c>
    </row>
    <row r="107" spans="1:17">
      <c r="A107" s="622"/>
      <c r="B107" s="296" t="str">
        <f>AdjustedOutput!A105</f>
        <v>WxHZ2CZ2_2200e_30gshp_des0</v>
      </c>
      <c r="C107" s="310" t="str">
        <f>LEFT(AdjustedOutput!W105,6)</f>
        <v>HZ2CZ2</v>
      </c>
      <c r="D107" s="303">
        <f>AdjustedOutput!F105</f>
        <v>491.69026400000001</v>
      </c>
      <c r="E107" s="303">
        <f>AdjustedOutput!U105</f>
        <v>5158.5375200872104</v>
      </c>
      <c r="F107" s="303">
        <f>IF(MID(B107,18,2)="hp",AdjustedOutput!X105*14.5/analysis!$E$2,AdjustedOutput!X105)</f>
        <v>715.893642</v>
      </c>
      <c r="H107" s="303">
        <f t="shared" si="0"/>
        <v>2523.1850636332456</v>
      </c>
      <c r="I107" s="303">
        <f t="shared" si="1"/>
        <v>146.07521400000007</v>
      </c>
      <c r="J107" s="303">
        <f>AdjustedOutput!Y105*$H$1</f>
        <v>0</v>
      </c>
      <c r="M107" s="303">
        <f t="shared" si="2"/>
        <v>2669.2602776332456</v>
      </c>
      <c r="Q107" s="296" t="str">
        <f t="shared" si="3"/>
        <v>WxHZ2CZ2_2200e_30hp85_des0</v>
      </c>
    </row>
    <row r="108" spans="1:17">
      <c r="A108" s="622"/>
      <c r="B108" s="296" t="str">
        <f>AdjustedOutput!A106</f>
        <v>WxHZ2CZ3_2200e_30gshp_des0</v>
      </c>
      <c r="C108" s="310" t="str">
        <f>LEFT(AdjustedOutput!W106,6)</f>
        <v>HZ2CZ3</v>
      </c>
      <c r="D108" s="303">
        <f>AdjustedOutput!F106</f>
        <v>491.69026400000001</v>
      </c>
      <c r="E108" s="303">
        <f>AdjustedOutput!U106</f>
        <v>5158.5375200872104</v>
      </c>
      <c r="F108" s="303">
        <f>IF(MID(B108,18,2)="hp",AdjustedOutput!X106*14.5/analysis!$E$2,AdjustedOutput!X106)</f>
        <v>1093.609475</v>
      </c>
      <c r="H108" s="303">
        <f t="shared" si="0"/>
        <v>2523.1850636332456</v>
      </c>
      <c r="I108" s="303">
        <f t="shared" si="1"/>
        <v>306.69597482142854</v>
      </c>
      <c r="J108" s="303">
        <f>AdjustedOutput!Y106*$H$1</f>
        <v>0</v>
      </c>
      <c r="M108" s="303">
        <f t="shared" si="2"/>
        <v>2829.8810384546741</v>
      </c>
      <c r="Q108" s="296" t="str">
        <f t="shared" si="3"/>
        <v>WxHZ2CZ3_2200e_30hp85_des0</v>
      </c>
    </row>
    <row r="109" spans="1:17">
      <c r="A109" s="622"/>
      <c r="B109" s="296" t="str">
        <f>AdjustedOutput!A107</f>
        <v>NWHZ3CZ1_2200n_25gshp_des0</v>
      </c>
      <c r="C109" s="310" t="str">
        <f>LEFT(AdjustedOutput!W107,6)</f>
        <v>HZ3CZ1</v>
      </c>
      <c r="D109" s="303">
        <f>AdjustedOutput!F107</f>
        <v>421.99188099999998</v>
      </c>
      <c r="E109" s="303">
        <f>AdjustedOutput!U107</f>
        <v>4978.7548292291467</v>
      </c>
      <c r="F109" s="303">
        <f>IF(MID(B109,18,2)="hp",AdjustedOutput!X107*14.5/analysis!$E$2,AdjustedOutput!X107)</f>
        <v>408.95325100000002</v>
      </c>
      <c r="H109" s="303">
        <f t="shared" si="0"/>
        <v>3118.7017942953025</v>
      </c>
      <c r="I109" s="303">
        <f t="shared" si="1"/>
        <v>45.550705214285699</v>
      </c>
      <c r="J109" s="303">
        <f>AdjustedOutput!Y107*$H$1</f>
        <v>0</v>
      </c>
      <c r="M109" s="303">
        <f t="shared" si="2"/>
        <v>3164.2524995095882</v>
      </c>
      <c r="Q109" s="296" t="str">
        <f t="shared" si="3"/>
        <v>NWHZ3CZ1_2200n_25hp85_des0</v>
      </c>
    </row>
    <row r="110" spans="1:17">
      <c r="A110" s="622"/>
      <c r="B110" s="296" t="str">
        <f>AdjustedOutput!A108</f>
        <v>NWHZ3CZ2_2200n_25gshp_des0</v>
      </c>
      <c r="C110" s="310" t="str">
        <f>LEFT(AdjustedOutput!W108,6)</f>
        <v>HZ3CZ2</v>
      </c>
      <c r="D110" s="303">
        <f>AdjustedOutput!F108</f>
        <v>421.99188099999998</v>
      </c>
      <c r="E110" s="303">
        <f>AdjustedOutput!U108</f>
        <v>4978.7548292291467</v>
      </c>
      <c r="F110" s="303">
        <f>IF(MID(B110,18,2)="hp",AdjustedOutput!X108*14.5/analysis!$E$2,AdjustedOutput!X108)</f>
        <v>701.82783700000005</v>
      </c>
      <c r="H110" s="303">
        <f t="shared" si="0"/>
        <v>3118.7017942953025</v>
      </c>
      <c r="I110" s="303">
        <f t="shared" si="1"/>
        <v>135.93796699999996</v>
      </c>
      <c r="J110" s="303">
        <f>AdjustedOutput!Y108*$H$1</f>
        <v>0</v>
      </c>
      <c r="M110" s="303">
        <f t="shared" si="2"/>
        <v>3254.6397612953024</v>
      </c>
      <c r="Q110" s="296" t="str">
        <f t="shared" si="3"/>
        <v>NWHZ3CZ2_2200n_25hp85_des0</v>
      </c>
    </row>
    <row r="111" spans="1:17">
      <c r="A111" s="622"/>
      <c r="B111" s="296" t="str">
        <f>AdjustedOutput!A109</f>
        <v>NWHZ3CZ3_2200n_25gshp_des0</v>
      </c>
      <c r="C111" s="310" t="str">
        <f>LEFT(AdjustedOutput!W109,6)</f>
        <v>HZ3CZ3</v>
      </c>
      <c r="D111" s="303">
        <f>AdjustedOutput!F109</f>
        <v>421.99188099999998</v>
      </c>
      <c r="E111" s="303">
        <f>AdjustedOutput!U109</f>
        <v>4978.7548292291467</v>
      </c>
      <c r="F111" s="303">
        <f>IF(MID(B111,18,2)="hp",AdjustedOutput!X109*14.5/analysis!$E$2,AdjustedOutput!X109)</f>
        <v>1048.330596</v>
      </c>
      <c r="H111" s="303">
        <f t="shared" si="0"/>
        <v>3118.7017942953025</v>
      </c>
      <c r="I111" s="303">
        <f t="shared" si="1"/>
        <v>281.70456335714289</v>
      </c>
      <c r="J111" s="303">
        <f>AdjustedOutput!Y109*$H$1</f>
        <v>0</v>
      </c>
      <c r="M111" s="303">
        <f t="shared" si="2"/>
        <v>3400.4063576524454</v>
      </c>
      <c r="Q111" s="296" t="str">
        <f t="shared" si="3"/>
        <v>NWHZ3CZ3_2200n_25hp85_des0</v>
      </c>
    </row>
    <row r="112" spans="1:17">
      <c r="A112" s="622"/>
      <c r="B112" s="296" t="str">
        <f>AdjustedOutput!A110</f>
        <v>WxHZ3CZ1_2200e_30gshp_des0</v>
      </c>
      <c r="C112" s="310" t="str">
        <f>LEFT(AdjustedOutput!W110,6)</f>
        <v>HZ3CZ1</v>
      </c>
      <c r="D112" s="303">
        <f>AdjustedOutput!F110</f>
        <v>488.52372100000002</v>
      </c>
      <c r="E112" s="303">
        <f>AdjustedOutput!U110</f>
        <v>5542.4418181605379</v>
      </c>
      <c r="F112" s="303">
        <f>IF(MID(B112,18,2)="hp",AdjustedOutput!X110*14.5/analysis!$E$2,AdjustedOutput!X110)</f>
        <v>398.34715699999998</v>
      </c>
      <c r="H112" s="303">
        <f t="shared" si="0"/>
        <v>3498.9638531732326</v>
      </c>
      <c r="I112" s="303">
        <f t="shared" si="1"/>
        <v>48.067089714285714</v>
      </c>
      <c r="J112" s="303">
        <f>AdjustedOutput!Y110*$H$1</f>
        <v>0</v>
      </c>
      <c r="M112" s="303">
        <f t="shared" si="2"/>
        <v>3547.0309428875184</v>
      </c>
      <c r="Q112" s="296" t="str">
        <f t="shared" si="3"/>
        <v>WxHZ3CZ1_2200e_30hp85_des0</v>
      </c>
    </row>
    <row r="113" spans="1:17">
      <c r="A113" s="622"/>
      <c r="B113" s="296" t="str">
        <f>AdjustedOutput!A111</f>
        <v>WxHZ3CZ2_2200e_30gshp_des0</v>
      </c>
      <c r="C113" s="310" t="str">
        <f>LEFT(AdjustedOutput!W111,6)</f>
        <v>HZ3CZ2</v>
      </c>
      <c r="D113" s="303">
        <f>AdjustedOutput!F111</f>
        <v>488.52372100000002</v>
      </c>
      <c r="E113" s="303">
        <f>AdjustedOutput!U111</f>
        <v>5542.4418181605379</v>
      </c>
      <c r="F113" s="303">
        <f>IF(MID(B113,18,2)="hp",AdjustedOutput!X111*14.5/analysis!$E$2,AdjustedOutput!X111)</f>
        <v>715.893642</v>
      </c>
      <c r="H113" s="303">
        <f t="shared" si="0"/>
        <v>3498.9638531732326</v>
      </c>
      <c r="I113" s="303">
        <f t="shared" si="1"/>
        <v>146.07521400000007</v>
      </c>
      <c r="J113" s="303">
        <f>AdjustedOutput!Y111*$H$1</f>
        <v>0</v>
      </c>
      <c r="M113" s="303">
        <f t="shared" si="2"/>
        <v>3645.0390671732325</v>
      </c>
      <c r="Q113" s="296" t="str">
        <f t="shared" si="3"/>
        <v>WxHZ3CZ2_2200e_30hp85_des0</v>
      </c>
    </row>
    <row r="114" spans="1:17">
      <c r="A114" s="622"/>
      <c r="B114" s="296" t="str">
        <f>AdjustedOutput!A112</f>
        <v>WxHZ3CZ3_2200e_30gshp_des0</v>
      </c>
      <c r="C114" s="310" t="str">
        <f>LEFT(AdjustedOutput!W112,6)</f>
        <v>HZ3CZ3</v>
      </c>
      <c r="D114" s="303">
        <f>AdjustedOutput!F112</f>
        <v>488.52372100000002</v>
      </c>
      <c r="E114" s="303">
        <f>AdjustedOutput!U112</f>
        <v>5542.4418181605379</v>
      </c>
      <c r="F114" s="303">
        <f>IF(MID(B114,18,2)="hp",AdjustedOutput!X112*14.5/analysis!$E$2,AdjustedOutput!X112)</f>
        <v>1093.609475</v>
      </c>
      <c r="H114" s="303">
        <f t="shared" si="0"/>
        <v>3498.9638531732326</v>
      </c>
      <c r="I114" s="303">
        <f t="shared" si="1"/>
        <v>306.69597482142854</v>
      </c>
      <c r="J114" s="303">
        <f>AdjustedOutput!Y112*$H$1</f>
        <v>0</v>
      </c>
      <c r="M114" s="303">
        <f t="shared" si="2"/>
        <v>3805.6598279946611</v>
      </c>
      <c r="Q114" s="296" t="str">
        <f t="shared" si="3"/>
        <v>WxHZ3CZ3_2200e_30hp85_des0</v>
      </c>
    </row>
    <row r="115" spans="1:17">
      <c r="A115" s="622"/>
      <c r="B115" s="296" t="str">
        <f>AdjustedOutput!A113</f>
        <v>NWHZ1CZ1_2688n_25gshp_des0</v>
      </c>
      <c r="C115" s="310" t="str">
        <f>LEFT(AdjustedOutput!W113,6)</f>
        <v>HZ1CZ1</v>
      </c>
      <c r="D115" s="303">
        <f>AdjustedOutput!F113</f>
        <v>439.51049399999999</v>
      </c>
      <c r="E115" s="303">
        <f>AdjustedOutput!U113</f>
        <v>2874.6359588393689</v>
      </c>
      <c r="F115" s="303">
        <f>IF(MID(B115,18,2)="hp",AdjustedOutput!X113*14.5/analysis!$E$2,AdjustedOutput!X113)</f>
        <v>254.22847300000001</v>
      </c>
      <c r="H115" s="303">
        <f t="shared" si="0"/>
        <v>708.78095571453059</v>
      </c>
      <c r="I115" s="303">
        <f t="shared" si="1"/>
        <v>28.256861607142866</v>
      </c>
      <c r="J115" s="303">
        <f>AdjustedOutput!Y113*$H$1</f>
        <v>0</v>
      </c>
      <c r="M115" s="303">
        <f t="shared" si="2"/>
        <v>737.0378173216734</v>
      </c>
      <c r="Q115" s="296" t="str">
        <f t="shared" si="3"/>
        <v>NWHZ1CZ1_2688n_25hp85_des0</v>
      </c>
    </row>
    <row r="116" spans="1:17">
      <c r="A116" s="622"/>
      <c r="B116" s="296" t="str">
        <f>AdjustedOutput!A114</f>
        <v>NWHZ1CZ2_2688n_25gshp_des0</v>
      </c>
      <c r="C116" s="310" t="str">
        <f>LEFT(AdjustedOutput!W114,6)</f>
        <v>HZ1CZ2</v>
      </c>
      <c r="D116" s="303">
        <f>AdjustedOutput!F114</f>
        <v>439.51049399999999</v>
      </c>
      <c r="E116" s="303">
        <f>AdjustedOutput!U114</f>
        <v>2874.6359588393689</v>
      </c>
      <c r="F116" s="303">
        <f>IF(MID(B116,18,2)="hp",AdjustedOutput!X114*14.5/analysis!$E$2,AdjustedOutput!X114)</f>
        <v>475.210576</v>
      </c>
      <c r="H116" s="303">
        <f t="shared" si="0"/>
        <v>708.78095571453059</v>
      </c>
      <c r="I116" s="303">
        <f t="shared" si="1"/>
        <v>93.907917642857058</v>
      </c>
      <c r="J116" s="303">
        <f>AdjustedOutput!Y114*$H$1</f>
        <v>0</v>
      </c>
      <c r="M116" s="303">
        <f t="shared" si="2"/>
        <v>802.68887335738759</v>
      </c>
      <c r="Q116" s="296" t="str">
        <f t="shared" si="3"/>
        <v>NWHZ1CZ2_2688n_25hp85_des0</v>
      </c>
    </row>
    <row r="117" spans="1:17">
      <c r="A117" s="622"/>
      <c r="B117" s="296" t="str">
        <f>AdjustedOutput!A115</f>
        <v>NWHZ1CZ3_2688n_25gshp_des0</v>
      </c>
      <c r="C117" s="310" t="str">
        <f>LEFT(AdjustedOutput!W115,6)</f>
        <v>HZ1CZ3</v>
      </c>
      <c r="D117" s="303">
        <f>AdjustedOutput!F115</f>
        <v>439.51049399999999</v>
      </c>
      <c r="E117" s="303">
        <f>AdjustedOutput!U115</f>
        <v>2874.6359588393689</v>
      </c>
      <c r="F117" s="303">
        <f>IF(MID(B117,18,2)="hp",AdjustedOutput!X115*14.5/analysis!$E$2,AdjustedOutput!X115)</f>
        <v>765.58667300000002</v>
      </c>
      <c r="H117" s="303">
        <f t="shared" si="0"/>
        <v>708.78095571453059</v>
      </c>
      <c r="I117" s="303">
        <f t="shared" si="1"/>
        <v>204.8789974642857</v>
      </c>
      <c r="J117" s="303">
        <f>AdjustedOutput!Y115*$H$1</f>
        <v>0</v>
      </c>
      <c r="M117" s="303">
        <f t="shared" si="2"/>
        <v>913.65995317881629</v>
      </c>
      <c r="Q117" s="296" t="str">
        <f t="shared" si="3"/>
        <v>NWHZ1CZ3_2688n_25hp85_des0</v>
      </c>
    </row>
    <row r="118" spans="1:17">
      <c r="A118" s="622"/>
      <c r="B118" s="296" t="str">
        <f>AdjustedOutput!A116</f>
        <v>WxHZ1CZ1_2688e_25gshp_des0</v>
      </c>
      <c r="C118" s="310" t="str">
        <f>LEFT(AdjustedOutput!W116,6)</f>
        <v>HZ1CZ1</v>
      </c>
      <c r="D118" s="303">
        <f>AdjustedOutput!F116</f>
        <v>473.93993399999999</v>
      </c>
      <c r="E118" s="303">
        <f>AdjustedOutput!U116</f>
        <v>3115.3325689938465</v>
      </c>
      <c r="F118" s="303">
        <f>IF(MID(B118,18,2)="hp",AdjustedOutput!X116*14.5/analysis!$E$2,AdjustedOutput!X116)</f>
        <v>254.07849400000001</v>
      </c>
      <c r="H118" s="303">
        <f t="shared" si="0"/>
        <v>782.54506817511992</v>
      </c>
      <c r="I118" s="303">
        <f t="shared" si="1"/>
        <v>29.859277642857165</v>
      </c>
      <c r="J118" s="303">
        <f>AdjustedOutput!Y116*$H$1</f>
        <v>0</v>
      </c>
      <c r="M118" s="303">
        <f t="shared" si="2"/>
        <v>812.40434581797706</v>
      </c>
      <c r="Q118" s="296" t="str">
        <f t="shared" si="3"/>
        <v>WxHZ1CZ1_2688e_25hp85_des0</v>
      </c>
    </row>
    <row r="119" spans="1:17">
      <c r="A119" s="622"/>
      <c r="B119" s="296" t="str">
        <f>AdjustedOutput!A117</f>
        <v>WxHZ1CZ2_2688e_25gshp_des0</v>
      </c>
      <c r="C119" s="310" t="str">
        <f>LEFT(AdjustedOutput!W117,6)</f>
        <v>HZ1CZ2</v>
      </c>
      <c r="D119" s="303">
        <f>AdjustedOutput!F117</f>
        <v>473.93993399999999</v>
      </c>
      <c r="E119" s="303">
        <f>AdjustedOutput!U117</f>
        <v>3115.3325689938465</v>
      </c>
      <c r="F119" s="303">
        <f>IF(MID(B119,18,2)="hp",AdjustedOutput!X117*14.5/analysis!$E$2,AdjustedOutput!X117)</f>
        <v>485.69930900000003</v>
      </c>
      <c r="H119" s="303">
        <f t="shared" si="0"/>
        <v>782.54506817511992</v>
      </c>
      <c r="I119" s="303">
        <f t="shared" si="1"/>
        <v>98.740977321428602</v>
      </c>
      <c r="J119" s="303">
        <f>AdjustedOutput!Y117*$H$1</f>
        <v>0</v>
      </c>
      <c r="M119" s="303">
        <f t="shared" si="2"/>
        <v>881.28604549654847</v>
      </c>
      <c r="Q119" s="296" t="str">
        <f t="shared" si="3"/>
        <v>WxHZ1CZ2_2688e_25hp85_des0</v>
      </c>
    </row>
    <row r="120" spans="1:17">
      <c r="A120" s="622"/>
      <c r="B120" s="296" t="str">
        <f>AdjustedOutput!A118</f>
        <v>WxHZ1CZ3_2688e_25gshp_des0</v>
      </c>
      <c r="C120" s="310" t="str">
        <f>LEFT(AdjustedOutput!W118,6)</f>
        <v>HZ1CZ3</v>
      </c>
      <c r="D120" s="303">
        <f>AdjustedOutput!F118</f>
        <v>473.93993399999999</v>
      </c>
      <c r="E120" s="303">
        <f>AdjustedOutput!U118</f>
        <v>3115.3325689938465</v>
      </c>
      <c r="F120" s="303">
        <f>IF(MID(B120,18,2)="hp",AdjustedOutput!X118*14.5/analysis!$E$2,AdjustedOutput!X118)</f>
        <v>789.35498199999995</v>
      </c>
      <c r="H120" s="303">
        <f t="shared" si="0"/>
        <v>782.54506817511992</v>
      </c>
      <c r="I120" s="303">
        <f t="shared" si="1"/>
        <v>215.9451622142858</v>
      </c>
      <c r="J120" s="303">
        <f>AdjustedOutput!Y118*$H$1</f>
        <v>0</v>
      </c>
      <c r="M120" s="303">
        <f t="shared" si="2"/>
        <v>998.49023038940572</v>
      </c>
      <c r="Q120" s="296" t="str">
        <f t="shared" si="3"/>
        <v>WxHZ1CZ3_2688e_25hp85_des0</v>
      </c>
    </row>
    <row r="121" spans="1:17">
      <c r="A121" s="622"/>
      <c r="B121" s="296" t="str">
        <f>AdjustedOutput!A119</f>
        <v>NWHZ2CZ1_2688n_25gshp_des0</v>
      </c>
      <c r="C121" s="310" t="str">
        <f>LEFT(AdjustedOutput!W119,6)</f>
        <v>HZ2CZ1</v>
      </c>
      <c r="D121" s="303">
        <f>AdjustedOutput!F119</f>
        <v>445.51737500000002</v>
      </c>
      <c r="E121" s="303">
        <f>AdjustedOutput!U119</f>
        <v>3769.8486350108878</v>
      </c>
      <c r="F121" s="303">
        <f>IF(MID(B121,18,2)="hp",AdjustedOutput!X119*14.5/analysis!$E$2,AdjustedOutput!X119)</f>
        <v>254.22847300000001</v>
      </c>
      <c r="H121" s="303">
        <f t="shared" si="0"/>
        <v>1611.6580057644023</v>
      </c>
      <c r="I121" s="303">
        <f t="shared" si="1"/>
        <v>28.256861607142866</v>
      </c>
      <c r="J121" s="303">
        <f>AdjustedOutput!Y119*$H$1</f>
        <v>0</v>
      </c>
      <c r="M121" s="303">
        <f t="shared" si="2"/>
        <v>1639.9148673715451</v>
      </c>
      <c r="Q121" s="296" t="str">
        <f t="shared" si="3"/>
        <v>NWHZ2CZ1_2688n_25hp85_des0</v>
      </c>
    </row>
    <row r="122" spans="1:17">
      <c r="A122" s="622"/>
      <c r="B122" s="296" t="str">
        <f>AdjustedOutput!A120</f>
        <v>NWHZ2CZ2_2688n_25gshp_des0</v>
      </c>
      <c r="C122" s="310" t="str">
        <f>LEFT(AdjustedOutput!W120,6)</f>
        <v>HZ2CZ2</v>
      </c>
      <c r="D122" s="303">
        <f>AdjustedOutput!F120</f>
        <v>445.51737500000002</v>
      </c>
      <c r="E122" s="303">
        <f>AdjustedOutput!U120</f>
        <v>3769.8486350108878</v>
      </c>
      <c r="F122" s="303">
        <f>IF(MID(B122,18,2)="hp",AdjustedOutput!X120*14.5/analysis!$E$2,AdjustedOutput!X120)</f>
        <v>475.210576</v>
      </c>
      <c r="H122" s="303">
        <f t="shared" si="0"/>
        <v>1611.6580057644023</v>
      </c>
      <c r="I122" s="303">
        <f t="shared" si="1"/>
        <v>93.907917642857058</v>
      </c>
      <c r="J122" s="303">
        <f>AdjustedOutput!Y120*$H$1</f>
        <v>0</v>
      </c>
      <c r="M122" s="303">
        <f t="shared" si="2"/>
        <v>1705.5659234072593</v>
      </c>
      <c r="Q122" s="296" t="str">
        <f t="shared" si="3"/>
        <v>NWHZ2CZ2_2688n_25hp85_des0</v>
      </c>
    </row>
    <row r="123" spans="1:17">
      <c r="A123" s="622"/>
      <c r="B123" s="296" t="str">
        <f>AdjustedOutput!A121</f>
        <v>NWHZ2CZ3_2688n_25gshp_des0</v>
      </c>
      <c r="C123" s="310" t="str">
        <f>LEFT(AdjustedOutput!W121,6)</f>
        <v>HZ2CZ3</v>
      </c>
      <c r="D123" s="303">
        <f>AdjustedOutput!F121</f>
        <v>445.51737500000002</v>
      </c>
      <c r="E123" s="303">
        <f>AdjustedOutput!U121</f>
        <v>3769.8486350108878</v>
      </c>
      <c r="F123" s="303">
        <f>IF(MID(B123,18,2)="hp",AdjustedOutput!X121*14.5/analysis!$E$2,AdjustedOutput!X121)</f>
        <v>765.58667300000002</v>
      </c>
      <c r="H123" s="303">
        <f t="shared" si="0"/>
        <v>1611.6580057644023</v>
      </c>
      <c r="I123" s="303">
        <f t="shared" si="1"/>
        <v>204.8789974642857</v>
      </c>
      <c r="J123" s="303">
        <f>AdjustedOutput!Y121*$H$1</f>
        <v>0</v>
      </c>
      <c r="M123" s="303">
        <f t="shared" si="2"/>
        <v>1816.537003228688</v>
      </c>
      <c r="Q123" s="296" t="str">
        <f t="shared" si="3"/>
        <v>NWHZ2CZ3_2688n_25hp85_des0</v>
      </c>
    </row>
    <row r="124" spans="1:17">
      <c r="A124" s="622"/>
      <c r="B124" s="296" t="str">
        <f>AdjustedOutput!A122</f>
        <v>WxHZ2CZ1_2688e_25gshp_des0</v>
      </c>
      <c r="C124" s="310" t="str">
        <f>LEFT(AdjustedOutput!W122,6)</f>
        <v>HZ2CZ1</v>
      </c>
      <c r="D124" s="303">
        <f>AdjustedOutput!F122</f>
        <v>480.03186599999998</v>
      </c>
      <c r="E124" s="303">
        <f>AdjustedOutput!U122</f>
        <v>4048.2202039383255</v>
      </c>
      <c r="F124" s="303">
        <f>IF(MID(B124,18,2)="hp",AdjustedOutput!X122*14.5/analysis!$E$2,AdjustedOutput!X122)</f>
        <v>254.07849400000001</v>
      </c>
      <c r="H124" s="303">
        <f t="shared" si="0"/>
        <v>1768.4196818920273</v>
      </c>
      <c r="I124" s="303">
        <f t="shared" si="1"/>
        <v>29.859277642857165</v>
      </c>
      <c r="J124" s="303">
        <f>AdjustedOutput!Y122*$H$1</f>
        <v>0</v>
      </c>
      <c r="M124" s="303">
        <f t="shared" si="2"/>
        <v>1798.2789595348845</v>
      </c>
      <c r="Q124" s="296" t="str">
        <f t="shared" si="3"/>
        <v>WxHZ2CZ1_2688e_25hp85_des0</v>
      </c>
    </row>
    <row r="125" spans="1:17">
      <c r="A125" s="622"/>
      <c r="B125" s="296" t="str">
        <f>AdjustedOutput!A123</f>
        <v>WxHZ2CZ2_2688e_25gshp_des0</v>
      </c>
      <c r="C125" s="310" t="str">
        <f>LEFT(AdjustedOutput!W123,6)</f>
        <v>HZ2CZ2</v>
      </c>
      <c r="D125" s="303">
        <f>AdjustedOutput!F123</f>
        <v>480.03186599999998</v>
      </c>
      <c r="E125" s="303">
        <f>AdjustedOutput!U123</f>
        <v>4048.2202039383255</v>
      </c>
      <c r="F125" s="303">
        <f>IF(MID(B125,18,2)="hp",AdjustedOutput!X123*14.5/analysis!$E$2,AdjustedOutput!X123)</f>
        <v>485.69930900000003</v>
      </c>
      <c r="H125" s="303">
        <f t="shared" si="0"/>
        <v>1768.4196818920273</v>
      </c>
      <c r="I125" s="303">
        <f t="shared" si="1"/>
        <v>98.740977321428602</v>
      </c>
      <c r="J125" s="303">
        <f>AdjustedOutput!Y123*$H$1</f>
        <v>0</v>
      </c>
      <c r="M125" s="303">
        <f t="shared" si="2"/>
        <v>1867.1606592134558</v>
      </c>
      <c r="Q125" s="296" t="str">
        <f t="shared" si="3"/>
        <v>WxHZ2CZ2_2688e_25hp85_des0</v>
      </c>
    </row>
    <row r="126" spans="1:17">
      <c r="A126" s="622"/>
      <c r="B126" s="296" t="str">
        <f>AdjustedOutput!A124</f>
        <v>WxHZ2CZ3_2688e_25gshp_des0</v>
      </c>
      <c r="C126" s="310" t="str">
        <f>LEFT(AdjustedOutput!W124,6)</f>
        <v>HZ2CZ3</v>
      </c>
      <c r="D126" s="303">
        <f>AdjustedOutput!F124</f>
        <v>480.03186599999998</v>
      </c>
      <c r="E126" s="303">
        <f>AdjustedOutput!U124</f>
        <v>4048.2202039383255</v>
      </c>
      <c r="F126" s="303">
        <f>IF(MID(B126,18,2)="hp",AdjustedOutput!X124*14.5/analysis!$E$2,AdjustedOutput!X124)</f>
        <v>789.35498199999995</v>
      </c>
      <c r="H126" s="303">
        <f t="shared" si="0"/>
        <v>1768.4196818920273</v>
      </c>
      <c r="I126" s="303">
        <f t="shared" si="1"/>
        <v>215.9451622142858</v>
      </c>
      <c r="J126" s="303">
        <f>AdjustedOutput!Y124*$H$1</f>
        <v>0</v>
      </c>
      <c r="M126" s="303">
        <f t="shared" si="2"/>
        <v>1984.3648441063131</v>
      </c>
      <c r="Q126" s="296" t="str">
        <f t="shared" si="3"/>
        <v>WxHZ2CZ3_2688e_25hp85_des0</v>
      </c>
    </row>
    <row r="127" spans="1:17">
      <c r="A127" s="622"/>
      <c r="B127" s="296" t="str">
        <f>AdjustedOutput!A125</f>
        <v>NWHZ3CZ1_2688n_25gshp_des0</v>
      </c>
      <c r="C127" s="310" t="str">
        <f>LEFT(AdjustedOutput!W125,6)</f>
        <v>HZ3CZ1</v>
      </c>
      <c r="D127" s="303">
        <f>AdjustedOutput!F125</f>
        <v>438.548675</v>
      </c>
      <c r="E127" s="303">
        <f>AdjustedOutput!U125</f>
        <v>4076.6212390782503</v>
      </c>
      <c r="F127" s="303">
        <f>IF(MID(B127,18,2)="hp",AdjustedOutput!X125*14.5/analysis!$E$2,AdjustedOutput!X125)</f>
        <v>254.22847300000001</v>
      </c>
      <c r="H127" s="303">
        <f t="shared" si="0"/>
        <v>2308.7537342128944</v>
      </c>
      <c r="I127" s="303">
        <f t="shared" si="1"/>
        <v>28.256861607142866</v>
      </c>
      <c r="J127" s="303">
        <f>AdjustedOutput!Y125*$H$1</f>
        <v>0</v>
      </c>
      <c r="M127" s="303">
        <f t="shared" si="2"/>
        <v>2337.0105958200375</v>
      </c>
      <c r="Q127" s="296" t="str">
        <f t="shared" si="3"/>
        <v>NWHZ3CZ1_2688n_25hp85_des0</v>
      </c>
    </row>
    <row r="128" spans="1:17">
      <c r="A128" s="622"/>
      <c r="B128" s="296" t="str">
        <f>AdjustedOutput!A126</f>
        <v>NWHZ3CZ2_2688n_25gshp_des0</v>
      </c>
      <c r="C128" s="310" t="str">
        <f>LEFT(AdjustedOutput!W126,6)</f>
        <v>HZ3CZ2</v>
      </c>
      <c r="D128" s="303">
        <f>AdjustedOutput!F126</f>
        <v>438.548675</v>
      </c>
      <c r="E128" s="303">
        <f>AdjustedOutput!U126</f>
        <v>4076.6212390782503</v>
      </c>
      <c r="F128" s="303">
        <f>IF(MID(B128,18,2)="hp",AdjustedOutput!X126*14.5/analysis!$E$2,AdjustedOutput!X126)</f>
        <v>475.210576</v>
      </c>
      <c r="H128" s="303">
        <f t="shared" si="0"/>
        <v>2308.7537342128944</v>
      </c>
      <c r="I128" s="303">
        <f t="shared" si="1"/>
        <v>93.907917642857058</v>
      </c>
      <c r="J128" s="303">
        <f>AdjustedOutput!Y126*$H$1</f>
        <v>0</v>
      </c>
      <c r="M128" s="303">
        <f t="shared" si="2"/>
        <v>2402.6616518557516</v>
      </c>
      <c r="Q128" s="296" t="str">
        <f t="shared" si="3"/>
        <v>NWHZ3CZ2_2688n_25hp85_des0</v>
      </c>
    </row>
    <row r="129" spans="1:17">
      <c r="A129" s="622"/>
      <c r="B129" s="296" t="str">
        <f>AdjustedOutput!A127</f>
        <v>NWHZ3CZ3_2688n_25gshp_des0</v>
      </c>
      <c r="C129" s="310" t="str">
        <f>LEFT(AdjustedOutput!W127,6)</f>
        <v>HZ3CZ3</v>
      </c>
      <c r="D129" s="303">
        <f>AdjustedOutput!F127</f>
        <v>438.548675</v>
      </c>
      <c r="E129" s="303">
        <f>AdjustedOutput!U127</f>
        <v>4076.6212390782503</v>
      </c>
      <c r="F129" s="303">
        <f>IF(MID(B129,18,2)="hp",AdjustedOutput!X127*14.5/analysis!$E$2,AdjustedOutput!X127)</f>
        <v>765.58667300000002</v>
      </c>
      <c r="H129" s="303">
        <f t="shared" si="0"/>
        <v>2308.7537342128944</v>
      </c>
      <c r="I129" s="303">
        <f t="shared" si="1"/>
        <v>204.8789974642857</v>
      </c>
      <c r="J129" s="303">
        <f>AdjustedOutput!Y127*$H$1</f>
        <v>0</v>
      </c>
      <c r="M129" s="303">
        <f t="shared" si="2"/>
        <v>2513.6327316771803</v>
      </c>
      <c r="Q129" s="296" t="str">
        <f t="shared" si="3"/>
        <v>NWHZ3CZ3_2688n_25hp85_des0</v>
      </c>
    </row>
    <row r="130" spans="1:17">
      <c r="A130" s="622"/>
      <c r="B130" s="296" t="str">
        <f>AdjustedOutput!A128</f>
        <v>WxHZ3CZ1_2688e_25gshp_des0</v>
      </c>
      <c r="C130" s="310" t="str">
        <f>LEFT(AdjustedOutput!W128,6)</f>
        <v>HZ3CZ1</v>
      </c>
      <c r="D130" s="303">
        <f>AdjustedOutput!F128</f>
        <v>472.45068199999997</v>
      </c>
      <c r="E130" s="303">
        <f>AdjustedOutput!U128</f>
        <v>4377.2795367397848</v>
      </c>
      <c r="F130" s="303">
        <f>IF(MID(B130,18,2)="hp",AdjustedOutput!X128*14.5/analysis!$E$2,AdjustedOutput!X128)</f>
        <v>254.07849400000001</v>
      </c>
      <c r="H130" s="303">
        <f t="shared" si="0"/>
        <v>2527.1681105197031</v>
      </c>
      <c r="I130" s="303">
        <f t="shared" si="1"/>
        <v>29.859277642857165</v>
      </c>
      <c r="J130" s="303">
        <f>AdjustedOutput!Y128*$H$1</f>
        <v>0</v>
      </c>
      <c r="M130" s="303">
        <f t="shared" si="2"/>
        <v>2557.0273881625603</v>
      </c>
      <c r="Q130" s="296" t="str">
        <f t="shared" si="3"/>
        <v>WxHZ3CZ1_2688e_25hp85_des0</v>
      </c>
    </row>
    <row r="131" spans="1:17">
      <c r="A131" s="622"/>
      <c r="B131" s="296" t="str">
        <f>AdjustedOutput!A129</f>
        <v>WxHZ3CZ2_2688e_25gshp_des0</v>
      </c>
      <c r="C131" s="310" t="str">
        <f>LEFT(AdjustedOutput!W129,6)</f>
        <v>HZ3CZ2</v>
      </c>
      <c r="D131" s="303">
        <f>AdjustedOutput!F129</f>
        <v>472.45068199999997</v>
      </c>
      <c r="E131" s="303">
        <f>AdjustedOutput!U129</f>
        <v>4377.2795367397848</v>
      </c>
      <c r="F131" s="303">
        <f>IF(MID(B131,18,2)="hp",AdjustedOutput!X129*14.5/analysis!$E$2,AdjustedOutput!X129)</f>
        <v>485.69930900000003</v>
      </c>
      <c r="H131" s="303">
        <f t="shared" si="0"/>
        <v>2527.1681105197031</v>
      </c>
      <c r="I131" s="303">
        <f t="shared" si="1"/>
        <v>98.740977321428602</v>
      </c>
      <c r="J131" s="303">
        <f>AdjustedOutput!Y129*$H$1</f>
        <v>0</v>
      </c>
      <c r="M131" s="303">
        <f t="shared" si="2"/>
        <v>2625.9090878411316</v>
      </c>
      <c r="Q131" s="296" t="str">
        <f t="shared" si="3"/>
        <v>WxHZ3CZ2_2688e_25hp85_des0</v>
      </c>
    </row>
    <row r="132" spans="1:17">
      <c r="A132" s="622"/>
      <c r="B132" s="296" t="str">
        <f>AdjustedOutput!A130</f>
        <v>WxHZ3CZ3_2688e_25gshp_des0</v>
      </c>
      <c r="C132" s="310" t="str">
        <f>LEFT(AdjustedOutput!W130,6)</f>
        <v>HZ3CZ3</v>
      </c>
      <c r="D132" s="303">
        <f>AdjustedOutput!F130</f>
        <v>472.45068199999997</v>
      </c>
      <c r="E132" s="303">
        <f>AdjustedOutput!U130</f>
        <v>4377.2795367397848</v>
      </c>
      <c r="F132" s="303">
        <f>IF(MID(B132,18,2)="hp",AdjustedOutput!X130*14.5/analysis!$E$2,AdjustedOutput!X130)</f>
        <v>789.35498199999995</v>
      </c>
      <c r="H132" s="303">
        <f t="shared" si="0"/>
        <v>2527.1681105197031</v>
      </c>
      <c r="I132" s="303">
        <f t="shared" si="1"/>
        <v>215.9451622142858</v>
      </c>
      <c r="J132" s="303">
        <f>AdjustedOutput!Y130*$H$1</f>
        <v>0</v>
      </c>
      <c r="M132" s="303">
        <f t="shared" si="2"/>
        <v>2743.1132727339891</v>
      </c>
      <c r="Q132" s="296" t="str">
        <f t="shared" si="3"/>
        <v>WxHZ3CZ3_2688e_25hp85_des0</v>
      </c>
    </row>
    <row r="133" spans="1:17">
      <c r="A133" s="622"/>
      <c r="B133" s="296" t="str">
        <f>AdjustedOutput!A131</f>
        <v>NWHZ1CZ1_5000n_35gshp_des0</v>
      </c>
      <c r="C133" s="310" t="str">
        <f>LEFT(AdjustedOutput!W131,6)</f>
        <v>HZ1CZ1</v>
      </c>
      <c r="D133" s="303">
        <f>AdjustedOutput!F131</f>
        <v>763.92564400000003</v>
      </c>
      <c r="E133" s="303">
        <f>AdjustedOutput!U131</f>
        <v>5709.5225539974781</v>
      </c>
      <c r="F133" s="303">
        <f>IF(MID(B133,18,2)="hp",AdjustedOutput!X131*14.5/analysis!$E$2,AdjustedOutput!X131)</f>
        <v>434.82343700000001</v>
      </c>
      <c r="H133" s="303">
        <f t="shared" si="0"/>
        <v>1686.6827345536467</v>
      </c>
      <c r="I133" s="303">
        <f t="shared" si="1"/>
        <v>58.658489142857093</v>
      </c>
      <c r="J133" s="303">
        <f>AdjustedOutput!Y131*$H$1</f>
        <v>0</v>
      </c>
      <c r="M133" s="303">
        <f t="shared" si="2"/>
        <v>1745.3412236965037</v>
      </c>
      <c r="Q133" s="296" t="str">
        <f t="shared" si="3"/>
        <v>NWHZ1CZ1_5000n_35hp85_des0</v>
      </c>
    </row>
    <row r="134" spans="1:17">
      <c r="A134" s="622"/>
      <c r="B134" s="296" t="str">
        <f>AdjustedOutput!A132</f>
        <v>NWHZ1CZ2_5000n_35gshp_des0</v>
      </c>
      <c r="C134" s="310" t="str">
        <f>LEFT(AdjustedOutput!W132,6)</f>
        <v>HZ1CZ2</v>
      </c>
      <c r="D134" s="303">
        <f>AdjustedOutput!F132</f>
        <v>763.92564400000003</v>
      </c>
      <c r="E134" s="303">
        <f>AdjustedOutput!U132</f>
        <v>5709.5225539974781</v>
      </c>
      <c r="F134" s="303">
        <f>IF(MID(B134,18,2)="hp",AdjustedOutput!X132*14.5/analysis!$E$2,AdjustedOutput!X132)</f>
        <v>850.30146000000002</v>
      </c>
      <c r="H134" s="303">
        <f t="shared" si="0"/>
        <v>1686.6827345536467</v>
      </c>
      <c r="I134" s="303">
        <f t="shared" si="1"/>
        <v>172.75853796428567</v>
      </c>
      <c r="J134" s="303">
        <f>AdjustedOutput!Y132*$H$1</f>
        <v>0</v>
      </c>
      <c r="M134" s="303">
        <f t="shared" si="2"/>
        <v>1859.4412725179322</v>
      </c>
      <c r="Q134" s="296" t="str">
        <f t="shared" si="3"/>
        <v>NWHZ1CZ2_5000n_35hp85_des0</v>
      </c>
    </row>
    <row r="135" spans="1:17">
      <c r="A135" s="622"/>
      <c r="B135" s="296" t="str">
        <f>AdjustedOutput!A133</f>
        <v>NWHZ1CZ3_5000n_35gshp_des0</v>
      </c>
      <c r="C135" s="310" t="str">
        <f>LEFT(AdjustedOutput!W133,6)</f>
        <v>HZ1CZ3</v>
      </c>
      <c r="D135" s="303">
        <f>AdjustedOutput!F133</f>
        <v>763.92564400000003</v>
      </c>
      <c r="E135" s="303">
        <f>AdjustedOutput!U133</f>
        <v>5709.5225539974781</v>
      </c>
      <c r="F135" s="303">
        <f>IF(MID(B135,18,2)="hp",AdjustedOutput!X133*14.5/analysis!$E$2,AdjustedOutput!X133)</f>
        <v>1391.288996</v>
      </c>
      <c r="H135" s="303">
        <f t="shared" si="0"/>
        <v>1686.6827345536467</v>
      </c>
      <c r="I135" s="303">
        <f t="shared" si="1"/>
        <v>361.56853514285717</v>
      </c>
      <c r="J135" s="303">
        <f>AdjustedOutput!Y133*$H$1</f>
        <v>0</v>
      </c>
      <c r="M135" s="303">
        <f t="shared" si="2"/>
        <v>2048.2512696965041</v>
      </c>
      <c r="Q135" s="296" t="str">
        <f t="shared" si="3"/>
        <v>NWHZ1CZ3_5000n_35hp85_des0</v>
      </c>
    </row>
    <row r="136" spans="1:17">
      <c r="A136" s="622"/>
      <c r="B136" s="296" t="str">
        <f>AdjustedOutput!A134</f>
        <v>WxHZ1CZ1_5000e_40gshp_des0</v>
      </c>
      <c r="C136" s="310" t="str">
        <f>LEFT(AdjustedOutput!W134,6)</f>
        <v>HZ1CZ1</v>
      </c>
      <c r="D136" s="303">
        <f>AdjustedOutput!F134</f>
        <v>826.941959</v>
      </c>
      <c r="E136" s="303">
        <f>AdjustedOutput!U134</f>
        <v>6014.3079942022123</v>
      </c>
      <c r="F136" s="303">
        <f>IF(MID(B136,18,2)="hp",AdjustedOutput!X134*14.5/analysis!$E$2,AdjustedOutput!X134)</f>
        <v>444.86369200000001</v>
      </c>
      <c r="H136" s="303">
        <f t="shared" si="0"/>
        <v>1693.566363448037</v>
      </c>
      <c r="I136" s="303">
        <f t="shared" si="1"/>
        <v>61.308651749999967</v>
      </c>
      <c r="J136" s="303">
        <f>AdjustedOutput!Y134*$H$1</f>
        <v>0</v>
      </c>
      <c r="M136" s="303">
        <f t="shared" si="2"/>
        <v>1754.8750151980371</v>
      </c>
      <c r="Q136" s="296" t="str">
        <f t="shared" si="3"/>
        <v>WxHZ1CZ1_5000e_40hp85_des0</v>
      </c>
    </row>
    <row r="137" spans="1:17">
      <c r="A137" s="622"/>
      <c r="B137" s="296" t="str">
        <f>AdjustedOutput!A135</f>
        <v>WxHZ1CZ2_5000e_40gshp_des0</v>
      </c>
      <c r="C137" s="310" t="str">
        <f>LEFT(AdjustedOutput!W135,6)</f>
        <v>HZ1CZ2</v>
      </c>
      <c r="D137" s="303">
        <f>AdjustedOutput!F135</f>
        <v>826.941959</v>
      </c>
      <c r="E137" s="303">
        <f>AdjustedOutput!U135</f>
        <v>6014.3079942022123</v>
      </c>
      <c r="F137" s="303">
        <f>IF(MID(B137,18,2)="hp",AdjustedOutput!X135*14.5/analysis!$E$2,AdjustedOutput!X135)</f>
        <v>881.28218600000002</v>
      </c>
      <c r="H137" s="303">
        <f t="shared" si="0"/>
        <v>1693.566363448037</v>
      </c>
      <c r="I137" s="303">
        <f t="shared" si="1"/>
        <v>181.72664803571422</v>
      </c>
      <c r="J137" s="303">
        <f>AdjustedOutput!Y135*$H$1</f>
        <v>0</v>
      </c>
      <c r="M137" s="303">
        <f t="shared" si="2"/>
        <v>1875.2930114837513</v>
      </c>
      <c r="Q137" s="296" t="str">
        <f t="shared" si="3"/>
        <v>WxHZ1CZ2_5000e_40hp85_des0</v>
      </c>
    </row>
    <row r="138" spans="1:17">
      <c r="A138" s="622"/>
      <c r="B138" s="296" t="str">
        <f>AdjustedOutput!A136</f>
        <v>WxHZ1CZ3_5000e_40gshp_des0</v>
      </c>
      <c r="C138" s="310" t="str">
        <f>LEFT(AdjustedOutput!W136,6)</f>
        <v>HZ1CZ3</v>
      </c>
      <c r="D138" s="303">
        <f>AdjustedOutput!F136</f>
        <v>826.941959</v>
      </c>
      <c r="E138" s="303">
        <f>AdjustedOutput!U136</f>
        <v>6014.3079942022123</v>
      </c>
      <c r="F138" s="303">
        <f>IF(MID(B138,18,2)="hp",AdjustedOutput!X136*14.5/analysis!$E$2,AdjustedOutput!X136)</f>
        <v>1449.887874</v>
      </c>
      <c r="H138" s="303">
        <f t="shared" si="0"/>
        <v>1693.566363448037</v>
      </c>
      <c r="I138" s="303">
        <f t="shared" si="1"/>
        <v>381.58264585714278</v>
      </c>
      <c r="J138" s="303">
        <f>AdjustedOutput!Y136*$H$1</f>
        <v>0</v>
      </c>
      <c r="M138" s="303">
        <f t="shared" si="2"/>
        <v>2075.1490093051798</v>
      </c>
      <c r="Q138" s="296" t="str">
        <f t="shared" si="3"/>
        <v>WxHZ1CZ3_5000e_40hp85_des0</v>
      </c>
    </row>
    <row r="139" spans="1:17">
      <c r="A139" s="622"/>
      <c r="B139" s="296" t="str">
        <f>AdjustedOutput!A137</f>
        <v>NWHZ2CZ1_5000n_35gshp_des0</v>
      </c>
      <c r="C139" s="310" t="str">
        <f>LEFT(AdjustedOutput!W137,6)</f>
        <v>HZ2CZ1</v>
      </c>
      <c r="D139" s="303">
        <f>AdjustedOutput!F137</f>
        <v>780.68315500000006</v>
      </c>
      <c r="E139" s="303">
        <f>AdjustedOutput!U137</f>
        <v>7601.0457648944957</v>
      </c>
      <c r="F139" s="303">
        <f>IF(MID(B139,18,2)="hp",AdjustedOutput!X137*14.5/analysis!$E$2,AdjustedOutput!X137)</f>
        <v>434.82343700000001</v>
      </c>
      <c r="H139" s="303">
        <f t="shared" si="0"/>
        <v>3629.7216043188091</v>
      </c>
      <c r="I139" s="303">
        <f t="shared" si="1"/>
        <v>58.658489142857093</v>
      </c>
      <c r="J139" s="303">
        <f>AdjustedOutput!Y137*$H$1</f>
        <v>0</v>
      </c>
      <c r="M139" s="303">
        <f t="shared" si="2"/>
        <v>3688.3800934616661</v>
      </c>
      <c r="Q139" s="296" t="str">
        <f t="shared" si="3"/>
        <v>NWHZ2CZ1_5000n_35hp85_des0</v>
      </c>
    </row>
    <row r="140" spans="1:17">
      <c r="A140" s="622"/>
      <c r="B140" s="296" t="str">
        <f>AdjustedOutput!A138</f>
        <v>NWHZ2CZ2_5000n_35gshp_des0</v>
      </c>
      <c r="C140" s="310" t="str">
        <f>LEFT(AdjustedOutput!W138,6)</f>
        <v>HZ2CZ2</v>
      </c>
      <c r="D140" s="303">
        <f>AdjustedOutput!F138</f>
        <v>780.68315500000006</v>
      </c>
      <c r="E140" s="303">
        <f>AdjustedOutput!U138</f>
        <v>7601.0457648944957</v>
      </c>
      <c r="F140" s="303">
        <f>IF(MID(B140,18,2)="hp",AdjustedOutput!X138*14.5/analysis!$E$2,AdjustedOutput!X138)</f>
        <v>850.30146000000002</v>
      </c>
      <c r="H140" s="303">
        <f t="shared" si="0"/>
        <v>3629.7216043188091</v>
      </c>
      <c r="I140" s="303">
        <f t="shared" si="1"/>
        <v>172.75853796428567</v>
      </c>
      <c r="J140" s="303">
        <f>AdjustedOutput!Y138*$H$1</f>
        <v>0</v>
      </c>
      <c r="M140" s="303">
        <f t="shared" si="2"/>
        <v>3802.4801422830947</v>
      </c>
      <c r="Q140" s="296" t="str">
        <f t="shared" si="3"/>
        <v>NWHZ2CZ2_5000n_35hp85_des0</v>
      </c>
    </row>
    <row r="141" spans="1:17">
      <c r="A141" s="622"/>
      <c r="B141" s="296" t="str">
        <f>AdjustedOutput!A139</f>
        <v>NWHZ2CZ3_5000n_35gshp_des0</v>
      </c>
      <c r="C141" s="310" t="str">
        <f>LEFT(AdjustedOutput!W139,6)</f>
        <v>HZ2CZ3</v>
      </c>
      <c r="D141" s="303">
        <f>AdjustedOutput!F139</f>
        <v>780.68315500000006</v>
      </c>
      <c r="E141" s="303">
        <f>AdjustedOutput!U139</f>
        <v>7601.0457648944957</v>
      </c>
      <c r="F141" s="303">
        <f>IF(MID(B141,18,2)="hp",AdjustedOutput!X139*14.5/analysis!$E$2,AdjustedOutput!X139)</f>
        <v>1391.288996</v>
      </c>
      <c r="H141" s="303">
        <f t="shared" si="0"/>
        <v>3629.7216043188091</v>
      </c>
      <c r="I141" s="303">
        <f t="shared" si="1"/>
        <v>361.56853514285717</v>
      </c>
      <c r="J141" s="303">
        <f>AdjustedOutput!Y139*$H$1</f>
        <v>0</v>
      </c>
      <c r="M141" s="303">
        <f t="shared" si="2"/>
        <v>3991.2901394616665</v>
      </c>
      <c r="Q141" s="296" t="str">
        <f t="shared" si="3"/>
        <v>NWHZ2CZ3_5000n_35hp85_des0</v>
      </c>
    </row>
    <row r="142" spans="1:17">
      <c r="A142" s="622"/>
      <c r="B142" s="296" t="str">
        <f>AdjustedOutput!A140</f>
        <v>WxHZ2CZ1_5000e_40gshp_des0</v>
      </c>
      <c r="C142" s="310" t="str">
        <f>LEFT(AdjustedOutput!W140,6)</f>
        <v>HZ2CZ1</v>
      </c>
      <c r="D142" s="303">
        <f>AdjustedOutput!F140</f>
        <v>844.42966200000001</v>
      </c>
      <c r="E142" s="303">
        <f>AdjustedOutput!U140</f>
        <v>7790.93420459962</v>
      </c>
      <c r="F142" s="303">
        <f>IF(MID(B142,18,2)="hp",AdjustedOutput!X140*14.5/analysis!$E$2,AdjustedOutput!X140)</f>
        <v>444.86369200000001</v>
      </c>
      <c r="H142" s="303">
        <f t="shared" si="0"/>
        <v>3672.2917625412101</v>
      </c>
      <c r="I142" s="303">
        <f t="shared" si="1"/>
        <v>61.308651749999967</v>
      </c>
      <c r="J142" s="303">
        <f>AdjustedOutput!Y140*$H$1</f>
        <v>0</v>
      </c>
      <c r="M142" s="303">
        <f t="shared" si="2"/>
        <v>3733.6004142912102</v>
      </c>
      <c r="Q142" s="296" t="str">
        <f t="shared" si="3"/>
        <v>WxHZ2CZ1_5000e_40hp85_des0</v>
      </c>
    </row>
    <row r="143" spans="1:17">
      <c r="A143" s="622"/>
      <c r="B143" s="296" t="str">
        <f>AdjustedOutput!A141</f>
        <v>WxHZ2CZ2_5000e_40gshp_des0</v>
      </c>
      <c r="C143" s="310" t="str">
        <f>LEFT(AdjustedOutput!W141,6)</f>
        <v>HZ2CZ2</v>
      </c>
      <c r="D143" s="303">
        <f>AdjustedOutput!F141</f>
        <v>844.42966200000001</v>
      </c>
      <c r="E143" s="303">
        <f>AdjustedOutput!U141</f>
        <v>7790.93420459962</v>
      </c>
      <c r="F143" s="303">
        <f>IF(MID(B143,18,2)="hp",AdjustedOutput!X141*14.5/analysis!$E$2,AdjustedOutput!X141)</f>
        <v>881.28218600000002</v>
      </c>
      <c r="H143" s="303">
        <f t="shared" ref="H143:H206" si="4">VLOOKUP(Q143,B$7:F$78,4,FALSE)-E143</f>
        <v>3672.2917625412101</v>
      </c>
      <c r="I143" s="303">
        <f t="shared" ref="I143:I206" si="5">VLOOKUP(Q143,B$7:F$78,5,FALSE)-F143</f>
        <v>181.72664803571422</v>
      </c>
      <c r="J143" s="303">
        <f>AdjustedOutput!Y141*$H$1</f>
        <v>0</v>
      </c>
      <c r="M143" s="303">
        <f t="shared" ref="M143:M206" si="6">SUM(H143:J143)</f>
        <v>3854.0184105769245</v>
      </c>
      <c r="Q143" s="296" t="str">
        <f t="shared" ref="Q143:Q206" si="7">LEFT(B143,17)&amp;"hp85"&amp;MID(B143,22,4)&amp;"0"</f>
        <v>WxHZ2CZ2_5000e_40hp85_des0</v>
      </c>
    </row>
    <row r="144" spans="1:17">
      <c r="A144" s="622"/>
      <c r="B144" s="296" t="str">
        <f>AdjustedOutput!A142</f>
        <v>WxHZ2CZ3_5000e_40gshp_des0</v>
      </c>
      <c r="C144" s="310" t="str">
        <f>LEFT(AdjustedOutput!W142,6)</f>
        <v>HZ2CZ3</v>
      </c>
      <c r="D144" s="303">
        <f>AdjustedOutput!F142</f>
        <v>844.42966200000001</v>
      </c>
      <c r="E144" s="303">
        <f>AdjustedOutput!U142</f>
        <v>7790.93420459962</v>
      </c>
      <c r="F144" s="303">
        <f>IF(MID(B144,18,2)="hp",AdjustedOutput!X142*14.5/analysis!$E$2,AdjustedOutput!X142)</f>
        <v>1449.887874</v>
      </c>
      <c r="H144" s="303">
        <f t="shared" si="4"/>
        <v>3672.2917625412101</v>
      </c>
      <c r="I144" s="303">
        <f t="shared" si="5"/>
        <v>381.58264585714278</v>
      </c>
      <c r="J144" s="303">
        <f>AdjustedOutput!Y142*$H$1</f>
        <v>0</v>
      </c>
      <c r="M144" s="303">
        <f t="shared" si="6"/>
        <v>4053.8744083983529</v>
      </c>
      <c r="Q144" s="296" t="str">
        <f t="shared" si="7"/>
        <v>WxHZ2CZ3_5000e_40hp85_des0</v>
      </c>
    </row>
    <row r="145" spans="1:17">
      <c r="A145" s="622"/>
      <c r="B145" s="296" t="str">
        <f>AdjustedOutput!A143</f>
        <v>NWHZ3CZ1_5000n_35gshp_des0</v>
      </c>
      <c r="C145" s="310" t="str">
        <f>LEFT(AdjustedOutput!W143,6)</f>
        <v>HZ3CZ1</v>
      </c>
      <c r="D145" s="303">
        <f>AdjustedOutput!F143</f>
        <v>770.03105200000005</v>
      </c>
      <c r="E145" s="303">
        <f>AdjustedOutput!U143</f>
        <v>8419.838997731862</v>
      </c>
      <c r="F145" s="303">
        <f>IF(MID(B145,18,2)="hp",AdjustedOutput!X143*14.5/analysis!$E$2,AdjustedOutput!X143)</f>
        <v>434.82343700000001</v>
      </c>
      <c r="H145" s="303">
        <f t="shared" si="4"/>
        <v>4952.1283628844976</v>
      </c>
      <c r="I145" s="303">
        <f t="shared" si="5"/>
        <v>58.658489142857093</v>
      </c>
      <c r="J145" s="303">
        <f>AdjustedOutput!Y143*$H$1</f>
        <v>0</v>
      </c>
      <c r="M145" s="303">
        <f t="shared" si="6"/>
        <v>5010.7868520273551</v>
      </c>
      <c r="Q145" s="296" t="str">
        <f t="shared" si="7"/>
        <v>NWHZ3CZ1_5000n_35hp85_des0</v>
      </c>
    </row>
    <row r="146" spans="1:17">
      <c r="A146" s="622"/>
      <c r="B146" s="296" t="str">
        <f>AdjustedOutput!A144</f>
        <v>NWHZ3CZ2_5000n_35gshp_des0</v>
      </c>
      <c r="C146" s="310" t="str">
        <f>LEFT(AdjustedOutput!W144,6)</f>
        <v>HZ3CZ2</v>
      </c>
      <c r="D146" s="303">
        <f>AdjustedOutput!F144</f>
        <v>770.03105200000005</v>
      </c>
      <c r="E146" s="303">
        <f>AdjustedOutput!U144</f>
        <v>8419.838997731862</v>
      </c>
      <c r="F146" s="303">
        <f>IF(MID(B146,18,2)="hp",AdjustedOutput!X144*14.5/analysis!$E$2,AdjustedOutput!X144)</f>
        <v>850.30146000000002</v>
      </c>
      <c r="H146" s="303">
        <f t="shared" si="4"/>
        <v>4952.1283628844976</v>
      </c>
      <c r="I146" s="303">
        <f t="shared" si="5"/>
        <v>172.75853796428567</v>
      </c>
      <c r="J146" s="303">
        <f>AdjustedOutput!Y144*$H$1</f>
        <v>0</v>
      </c>
      <c r="M146" s="303">
        <f t="shared" si="6"/>
        <v>5124.8869008487836</v>
      </c>
      <c r="Q146" s="296" t="str">
        <f t="shared" si="7"/>
        <v>NWHZ3CZ2_5000n_35hp85_des0</v>
      </c>
    </row>
    <row r="147" spans="1:17">
      <c r="A147" s="622"/>
      <c r="B147" s="296" t="str">
        <f>AdjustedOutput!A145</f>
        <v>NWHZ3CZ3_5000n_35gshp_des0</v>
      </c>
      <c r="C147" s="310" t="str">
        <f>LEFT(AdjustedOutput!W145,6)</f>
        <v>HZ3CZ3</v>
      </c>
      <c r="D147" s="303">
        <f>AdjustedOutput!F145</f>
        <v>770.03105200000005</v>
      </c>
      <c r="E147" s="303">
        <f>AdjustedOutput!U145</f>
        <v>8419.838997731862</v>
      </c>
      <c r="F147" s="303">
        <f>IF(MID(B147,18,2)="hp",AdjustedOutput!X145*14.5/analysis!$E$2,AdjustedOutput!X145)</f>
        <v>1391.288996</v>
      </c>
      <c r="H147" s="303">
        <f t="shared" si="4"/>
        <v>4952.1283628844976</v>
      </c>
      <c r="I147" s="303">
        <f t="shared" si="5"/>
        <v>361.56853514285717</v>
      </c>
      <c r="J147" s="303">
        <f>AdjustedOutput!Y145*$H$1</f>
        <v>0</v>
      </c>
      <c r="M147" s="303">
        <f t="shared" si="6"/>
        <v>5313.696898027355</v>
      </c>
      <c r="Q147" s="296" t="str">
        <f t="shared" si="7"/>
        <v>NWHZ3CZ3_5000n_35hp85_des0</v>
      </c>
    </row>
    <row r="148" spans="1:17">
      <c r="A148" s="622"/>
      <c r="B148" s="296" t="str">
        <f>AdjustedOutput!A146</f>
        <v>WxHZ3CZ1_5000e_40gshp_des0</v>
      </c>
      <c r="C148" s="310" t="str">
        <f>LEFT(AdjustedOutput!W146,6)</f>
        <v>HZ3CZ1</v>
      </c>
      <c r="D148" s="303">
        <f>AdjustedOutput!F146</f>
        <v>832.29929900000002</v>
      </c>
      <c r="E148" s="303">
        <f>AdjustedOutput!U146</f>
        <v>8507.5970883361661</v>
      </c>
      <c r="F148" s="303">
        <f>IF(MID(B148,18,2)="hp",AdjustedOutput!X146*14.5/analysis!$E$2,AdjustedOutput!X146)</f>
        <v>444.86369200000001</v>
      </c>
      <c r="H148" s="303">
        <f t="shared" si="4"/>
        <v>5069.2275520225176</v>
      </c>
      <c r="I148" s="303">
        <f t="shared" si="5"/>
        <v>61.308651749999967</v>
      </c>
      <c r="J148" s="303">
        <f>AdjustedOutput!Y146*$H$1</f>
        <v>0</v>
      </c>
      <c r="M148" s="303">
        <f t="shared" si="6"/>
        <v>5130.5362037725172</v>
      </c>
      <c r="Q148" s="296" t="str">
        <f t="shared" si="7"/>
        <v>WxHZ3CZ1_5000e_40hp85_des0</v>
      </c>
    </row>
    <row r="149" spans="1:17">
      <c r="A149" s="622"/>
      <c r="B149" s="296" t="str">
        <f>AdjustedOutput!A147</f>
        <v>WxHZ3CZ2_5000e_40gshp_des0</v>
      </c>
      <c r="C149" s="310" t="str">
        <f>LEFT(AdjustedOutput!W147,6)</f>
        <v>HZ3CZ2</v>
      </c>
      <c r="D149" s="303">
        <f>AdjustedOutput!F147</f>
        <v>832.29929900000002</v>
      </c>
      <c r="E149" s="303">
        <f>AdjustedOutput!U147</f>
        <v>8507.5970883361661</v>
      </c>
      <c r="F149" s="303">
        <f>IF(MID(B149,18,2)="hp",AdjustedOutput!X147*14.5/analysis!$E$2,AdjustedOutput!X147)</f>
        <v>881.28218600000002</v>
      </c>
      <c r="H149" s="303">
        <f t="shared" si="4"/>
        <v>5069.2275520225176</v>
      </c>
      <c r="I149" s="303">
        <f t="shared" si="5"/>
        <v>181.72664803571422</v>
      </c>
      <c r="J149" s="303">
        <f>AdjustedOutput!Y147*$H$1</f>
        <v>0</v>
      </c>
      <c r="M149" s="303">
        <f t="shared" si="6"/>
        <v>5250.9542000582314</v>
      </c>
      <c r="Q149" s="296" t="str">
        <f t="shared" si="7"/>
        <v>WxHZ3CZ2_5000e_40hp85_des0</v>
      </c>
    </row>
    <row r="150" spans="1:17" s="308" customFormat="1" ht="15.75" thickBot="1">
      <c r="A150" s="623"/>
      <c r="B150" s="308" t="str">
        <f>AdjustedOutput!A148</f>
        <v>WxHZ3CZ3_5000e_40gshp_des0</v>
      </c>
      <c r="C150" s="310" t="str">
        <f>LEFT(AdjustedOutput!W148,6)</f>
        <v>HZ3CZ3</v>
      </c>
      <c r="D150" s="303">
        <f>AdjustedOutput!F148</f>
        <v>832.29929900000002</v>
      </c>
      <c r="E150" s="303">
        <f>AdjustedOutput!U148</f>
        <v>8507.5970883361661</v>
      </c>
      <c r="F150" s="309">
        <f>IF(MID(B150,18,2)="hp",AdjustedOutput!X148*14.5/analysis!$E$2,AdjustedOutput!X148)</f>
        <v>1449.887874</v>
      </c>
      <c r="H150" s="309">
        <f t="shared" si="4"/>
        <v>5069.2275520225176</v>
      </c>
      <c r="I150" s="309">
        <f t="shared" si="5"/>
        <v>381.58264585714278</v>
      </c>
      <c r="J150" s="303">
        <f>AdjustedOutput!Y148*$H$1</f>
        <v>0</v>
      </c>
      <c r="M150" s="309">
        <f t="shared" si="6"/>
        <v>5450.8101978796603</v>
      </c>
      <c r="Q150" s="308" t="str">
        <f t="shared" si="7"/>
        <v>WxHZ3CZ3_5000e_40hp85_des0</v>
      </c>
    </row>
    <row r="151" spans="1:17">
      <c r="A151" s="621" t="s">
        <v>1056</v>
      </c>
      <c r="B151" s="296" t="str">
        <f>AdjustedOutput!A149</f>
        <v>NWHZ1CZ1_1568n_20gshp_des1</v>
      </c>
      <c r="C151" s="310" t="str">
        <f>LEFT(AdjustedOutput!W149,6)</f>
        <v>HZ1CZ1</v>
      </c>
      <c r="D151" s="303">
        <f>AdjustedOutput!F149</f>
        <v>339.39983799999999</v>
      </c>
      <c r="E151" s="303">
        <f>AdjustedOutput!U149</f>
        <v>2917.9769630303572</v>
      </c>
      <c r="F151" s="303">
        <f>IF(MID(B151,18,2)="hp",AdjustedOutput!X149*14.5/analysis!$E$2,AdjustedOutput!X149)</f>
        <v>290.641097</v>
      </c>
      <c r="H151" s="303">
        <f>VLOOKUP(Q151,B$7:F$78,4,FALSE)-E151</f>
        <v>142.06813477414244</v>
      </c>
      <c r="I151" s="303">
        <f t="shared" si="5"/>
        <v>27.313564857142865</v>
      </c>
      <c r="J151" s="303">
        <f>AdjustedOutput!Y149*$H$1</f>
        <v>1382.7207517500001</v>
      </c>
      <c r="M151" s="303">
        <f t="shared" si="6"/>
        <v>1552.1024513812854</v>
      </c>
      <c r="Q151" s="296" t="str">
        <f t="shared" si="7"/>
        <v>NWHZ1CZ1_1568n_20hp85_des0</v>
      </c>
    </row>
    <row r="152" spans="1:17">
      <c r="A152" s="621"/>
      <c r="B152" s="296" t="str">
        <f>AdjustedOutput!A150</f>
        <v>NWHZ1CZ2_1568n_20gshp_des1</v>
      </c>
      <c r="C152" s="310" t="str">
        <f>LEFT(AdjustedOutput!W150,6)</f>
        <v>HZ1CZ2</v>
      </c>
      <c r="D152" s="303">
        <f>AdjustedOutput!F150</f>
        <v>339.39983799999999</v>
      </c>
      <c r="E152" s="303">
        <f>AdjustedOutput!U150</f>
        <v>2917.9769630303572</v>
      </c>
      <c r="F152" s="303">
        <f>IF(MID(B152,18,2)="hp",AdjustedOutput!X150*14.5/analysis!$E$2,AdjustedOutput!X150)</f>
        <v>495.13447600000001</v>
      </c>
      <c r="H152" s="303">
        <f t="shared" si="4"/>
        <v>142.06813477414244</v>
      </c>
      <c r="I152" s="303">
        <f t="shared" si="5"/>
        <v>90.226618321428589</v>
      </c>
      <c r="J152" s="303">
        <f>AdjustedOutput!Y150*$H$1</f>
        <v>1382.7207517500001</v>
      </c>
      <c r="M152" s="303">
        <f t="shared" si="6"/>
        <v>1615.0155048455711</v>
      </c>
      <c r="Q152" s="296" t="str">
        <f t="shared" si="7"/>
        <v>NWHZ1CZ2_1568n_20hp85_des0</v>
      </c>
    </row>
    <row r="153" spans="1:17">
      <c r="A153" s="621"/>
      <c r="B153" s="296" t="str">
        <f>AdjustedOutput!A151</f>
        <v>NWHZ1CZ3_1568n_20gshp_des1</v>
      </c>
      <c r="C153" s="310" t="str">
        <f>LEFT(AdjustedOutput!W151,6)</f>
        <v>HZ1CZ3</v>
      </c>
      <c r="D153" s="303">
        <f>AdjustedOutput!F151</f>
        <v>339.39983799999999</v>
      </c>
      <c r="E153" s="303">
        <f>AdjustedOutput!U151</f>
        <v>2917.9769630303572</v>
      </c>
      <c r="F153" s="303">
        <f>IF(MID(B153,18,2)="hp",AdjustedOutput!X151*14.5/analysis!$E$2,AdjustedOutput!X151)</f>
        <v>735.77215899999999</v>
      </c>
      <c r="H153" s="303">
        <f t="shared" si="4"/>
        <v>142.06813477414244</v>
      </c>
      <c r="I153" s="303">
        <f t="shared" si="5"/>
        <v>193.88889471428581</v>
      </c>
      <c r="J153" s="303">
        <f>AdjustedOutput!Y151*$H$1</f>
        <v>1382.7207517500001</v>
      </c>
      <c r="M153" s="303">
        <f t="shared" si="6"/>
        <v>1718.6777812384285</v>
      </c>
      <c r="Q153" s="296" t="str">
        <f t="shared" si="7"/>
        <v>NWHZ1CZ3_1568n_20hp85_des0</v>
      </c>
    </row>
    <row r="154" spans="1:17">
      <c r="A154" s="621"/>
      <c r="B154" s="296" t="str">
        <f>AdjustedOutput!A152</f>
        <v>WxHZ1CZ1_1568e_20gshp_des1</v>
      </c>
      <c r="C154" s="310" t="str">
        <f>LEFT(AdjustedOutput!W152,6)</f>
        <v>HZ1CZ1</v>
      </c>
      <c r="D154" s="303">
        <f>AdjustedOutput!F152</f>
        <v>378.43549400000001</v>
      </c>
      <c r="E154" s="303">
        <f>AdjustedOutput!U152</f>
        <v>3267.9139644963475</v>
      </c>
      <c r="F154" s="303">
        <f>IF(MID(B154,18,2)="hp",AdjustedOutput!X152*14.5/analysis!$E$2,AdjustedOutput!X152)</f>
        <v>266.89881100000002</v>
      </c>
      <c r="H154" s="303">
        <f t="shared" si="4"/>
        <v>160.1644671574827</v>
      </c>
      <c r="I154" s="303">
        <f t="shared" si="5"/>
        <v>27.072493535714273</v>
      </c>
      <c r="J154" s="303">
        <f>AdjustedOutput!Y152*$H$1</f>
        <v>1556.3866710000002</v>
      </c>
      <c r="M154" s="303">
        <f t="shared" si="6"/>
        <v>1743.6236316931972</v>
      </c>
      <c r="Q154" s="296" t="str">
        <f t="shared" si="7"/>
        <v>WxHZ1CZ1_1568e_20hp85_des0</v>
      </c>
    </row>
    <row r="155" spans="1:17">
      <c r="A155" s="621"/>
      <c r="B155" s="296" t="str">
        <f>AdjustedOutput!A153</f>
        <v>WxHZ1CZ2_1568e_20gshp_des1</v>
      </c>
      <c r="C155" s="310" t="str">
        <f>LEFT(AdjustedOutput!W153,6)</f>
        <v>HZ1CZ2</v>
      </c>
      <c r="D155" s="303">
        <f>AdjustedOutput!F153</f>
        <v>378.43549400000001</v>
      </c>
      <c r="E155" s="303">
        <f>AdjustedOutput!U153</f>
        <v>3267.9139644963475</v>
      </c>
      <c r="F155" s="303">
        <f>IF(MID(B155,18,2)="hp",AdjustedOutput!X153*14.5/analysis!$E$2,AdjustedOutput!X153)</f>
        <v>478.64828899999998</v>
      </c>
      <c r="H155" s="303">
        <f t="shared" si="4"/>
        <v>160.1644671574827</v>
      </c>
      <c r="I155" s="303">
        <f t="shared" si="5"/>
        <v>90.965009892857211</v>
      </c>
      <c r="J155" s="303">
        <f>AdjustedOutput!Y153*$H$1</f>
        <v>1556.3866710000002</v>
      </c>
      <c r="M155" s="303">
        <f t="shared" si="6"/>
        <v>1807.5161480503402</v>
      </c>
      <c r="Q155" s="296" t="str">
        <f t="shared" si="7"/>
        <v>WxHZ1CZ2_1568e_20hp85_des0</v>
      </c>
    </row>
    <row r="156" spans="1:17">
      <c r="A156" s="621"/>
      <c r="B156" s="296" t="str">
        <f>AdjustedOutput!A154</f>
        <v>WxHZ1CZ3_1568e_20gshp_des1</v>
      </c>
      <c r="C156" s="310" t="str">
        <f>LEFT(AdjustedOutput!W154,6)</f>
        <v>HZ1CZ3</v>
      </c>
      <c r="D156" s="303">
        <f>AdjustedOutput!F154</f>
        <v>378.43549400000001</v>
      </c>
      <c r="E156" s="303">
        <f>AdjustedOutput!U154</f>
        <v>3267.9139644963475</v>
      </c>
      <c r="F156" s="303">
        <f>IF(MID(B156,18,2)="hp",AdjustedOutput!X154*14.5/analysis!$E$2,AdjustedOutput!X154)</f>
        <v>730.41414699999996</v>
      </c>
      <c r="H156" s="303">
        <f t="shared" si="4"/>
        <v>160.1644671574827</v>
      </c>
      <c r="I156" s="303">
        <f t="shared" si="5"/>
        <v>198.05352253571425</v>
      </c>
      <c r="J156" s="303">
        <f>AdjustedOutput!Y154*$H$1</f>
        <v>1556.3866710000002</v>
      </c>
      <c r="M156" s="303">
        <f t="shared" si="6"/>
        <v>1914.6046606931973</v>
      </c>
      <c r="Q156" s="296" t="str">
        <f t="shared" si="7"/>
        <v>WxHZ1CZ3_1568e_20hp85_des0</v>
      </c>
    </row>
    <row r="157" spans="1:17">
      <c r="A157" s="621"/>
      <c r="B157" s="296" t="str">
        <f>AdjustedOutput!A155</f>
        <v>NWHZ2CZ1_1568n_20gshp_des1</v>
      </c>
      <c r="C157" s="310" t="str">
        <f>LEFT(AdjustedOutput!W155,6)</f>
        <v>HZ2CZ1</v>
      </c>
      <c r="D157" s="303">
        <f>AdjustedOutput!F155</f>
        <v>341.996756</v>
      </c>
      <c r="E157" s="303">
        <f>AdjustedOutput!U155</f>
        <v>3855.752143606881</v>
      </c>
      <c r="F157" s="303">
        <f>IF(MID(B157,18,2)="hp",AdjustedOutput!X155*14.5/analysis!$E$2,AdjustedOutput!X155)</f>
        <v>290.641097</v>
      </c>
      <c r="H157" s="303">
        <f t="shared" si="4"/>
        <v>741.3096471066965</v>
      </c>
      <c r="I157" s="303">
        <f t="shared" si="5"/>
        <v>27.313564857142865</v>
      </c>
      <c r="J157" s="303">
        <f>AdjustedOutput!Y155*$H$1</f>
        <v>1933.5492165000001</v>
      </c>
      <c r="M157" s="303">
        <f t="shared" si="6"/>
        <v>2702.1724284638394</v>
      </c>
      <c r="Q157" s="296" t="str">
        <f t="shared" si="7"/>
        <v>NWHZ2CZ1_1568n_20hp85_des0</v>
      </c>
    </row>
    <row r="158" spans="1:17">
      <c r="A158" s="621"/>
      <c r="B158" s="296" t="str">
        <f>AdjustedOutput!A156</f>
        <v>NWHZ2CZ2_1568n_20gshp_des1</v>
      </c>
      <c r="C158" s="310" t="str">
        <f>LEFT(AdjustedOutput!W156,6)</f>
        <v>HZ2CZ2</v>
      </c>
      <c r="D158" s="303">
        <f>AdjustedOutput!F156</f>
        <v>341.996756</v>
      </c>
      <c r="E158" s="303">
        <f>AdjustedOutput!U156</f>
        <v>3855.752143606881</v>
      </c>
      <c r="F158" s="303">
        <f>IF(MID(B158,18,2)="hp",AdjustedOutput!X156*14.5/analysis!$E$2,AdjustedOutput!X156)</f>
        <v>495.13447600000001</v>
      </c>
      <c r="H158" s="303">
        <f t="shared" si="4"/>
        <v>741.3096471066965</v>
      </c>
      <c r="I158" s="303">
        <f t="shared" si="5"/>
        <v>90.226618321428589</v>
      </c>
      <c r="J158" s="303">
        <f>AdjustedOutput!Y156*$H$1</f>
        <v>1933.5492165000001</v>
      </c>
      <c r="M158" s="303">
        <f t="shared" si="6"/>
        <v>2765.0854819281249</v>
      </c>
      <c r="Q158" s="296" t="str">
        <f t="shared" si="7"/>
        <v>NWHZ2CZ2_1568n_20hp85_des0</v>
      </c>
    </row>
    <row r="159" spans="1:17">
      <c r="A159" s="621"/>
      <c r="B159" s="296" t="str">
        <f>AdjustedOutput!A157</f>
        <v>NWHZ2CZ3_1568n_20gshp_des1</v>
      </c>
      <c r="C159" s="310" t="str">
        <f>LEFT(AdjustedOutput!W157,6)</f>
        <v>HZ2CZ3</v>
      </c>
      <c r="D159" s="303">
        <f>AdjustedOutput!F157</f>
        <v>341.996756</v>
      </c>
      <c r="E159" s="303">
        <f>AdjustedOutput!U157</f>
        <v>3855.752143606881</v>
      </c>
      <c r="F159" s="303">
        <f>IF(MID(B159,18,2)="hp",AdjustedOutput!X157*14.5/analysis!$E$2,AdjustedOutput!X157)</f>
        <v>735.77215899999999</v>
      </c>
      <c r="H159" s="303">
        <f t="shared" si="4"/>
        <v>741.3096471066965</v>
      </c>
      <c r="I159" s="303">
        <f t="shared" si="5"/>
        <v>193.88889471428581</v>
      </c>
      <c r="J159" s="303">
        <f>AdjustedOutput!Y157*$H$1</f>
        <v>1933.5492165000001</v>
      </c>
      <c r="M159" s="303">
        <f t="shared" si="6"/>
        <v>2868.7477583209825</v>
      </c>
      <c r="Q159" s="296" t="str">
        <f t="shared" si="7"/>
        <v>NWHZ2CZ3_1568n_20hp85_des0</v>
      </c>
    </row>
    <row r="160" spans="1:17">
      <c r="A160" s="621"/>
      <c r="B160" s="296" t="str">
        <f>AdjustedOutput!A158</f>
        <v>WxHZ2CZ1_1568e_20gshp_des1</v>
      </c>
      <c r="C160" s="310" t="str">
        <f>LEFT(AdjustedOutput!W158,6)</f>
        <v>HZ2CZ1</v>
      </c>
      <c r="D160" s="303">
        <f>AdjustedOutput!F158</f>
        <v>381.17033400000003</v>
      </c>
      <c r="E160" s="303">
        <f>AdjustedOutput!U158</f>
        <v>4275.7567559854706</v>
      </c>
      <c r="F160" s="303">
        <f>IF(MID(B160,18,2)="hp",AdjustedOutput!X158*14.5/analysis!$E$2,AdjustedOutput!X158)</f>
        <v>266.89881100000002</v>
      </c>
      <c r="H160" s="303">
        <f t="shared" si="4"/>
        <v>827.75869787710872</v>
      </c>
      <c r="I160" s="303">
        <f t="shared" si="5"/>
        <v>27.072493535714273</v>
      </c>
      <c r="J160" s="303">
        <f>AdjustedOutput!Y158*$H$1</f>
        <v>2151.3428954999999</v>
      </c>
      <c r="M160" s="303">
        <f t="shared" si="6"/>
        <v>3006.174086912823</v>
      </c>
      <c r="Q160" s="296" t="str">
        <f t="shared" si="7"/>
        <v>WxHZ2CZ1_1568e_20hp85_des0</v>
      </c>
    </row>
    <row r="161" spans="1:17">
      <c r="A161" s="621"/>
      <c r="B161" s="296" t="str">
        <f>AdjustedOutput!A159</f>
        <v>WxHZ2CZ2_1568e_20gshp_des1</v>
      </c>
      <c r="C161" s="310" t="str">
        <f>LEFT(AdjustedOutput!W159,6)</f>
        <v>HZ2CZ2</v>
      </c>
      <c r="D161" s="303">
        <f>AdjustedOutput!F159</f>
        <v>381.17033400000003</v>
      </c>
      <c r="E161" s="303">
        <f>AdjustedOutput!U159</f>
        <v>4275.7567559854706</v>
      </c>
      <c r="F161" s="303">
        <f>IF(MID(B161,18,2)="hp",AdjustedOutput!X159*14.5/analysis!$E$2,AdjustedOutput!X159)</f>
        <v>478.64828899999998</v>
      </c>
      <c r="H161" s="303">
        <f t="shared" si="4"/>
        <v>827.75869787710872</v>
      </c>
      <c r="I161" s="303">
        <f t="shared" si="5"/>
        <v>90.965009892857211</v>
      </c>
      <c r="J161" s="303">
        <f>AdjustedOutput!Y159*$H$1</f>
        <v>2151.3428954999999</v>
      </c>
      <c r="M161" s="303">
        <f t="shared" si="6"/>
        <v>3070.066603269966</v>
      </c>
      <c r="Q161" s="296" t="str">
        <f t="shared" si="7"/>
        <v>WxHZ2CZ2_1568e_20hp85_des0</v>
      </c>
    </row>
    <row r="162" spans="1:17">
      <c r="A162" s="621"/>
      <c r="B162" s="296" t="str">
        <f>AdjustedOutput!A160</f>
        <v>WxHZ2CZ3_1568e_20gshp_des1</v>
      </c>
      <c r="C162" s="310" t="str">
        <f>LEFT(AdjustedOutput!W160,6)</f>
        <v>HZ2CZ3</v>
      </c>
      <c r="D162" s="303">
        <f>AdjustedOutput!F160</f>
        <v>381.17033400000003</v>
      </c>
      <c r="E162" s="303">
        <f>AdjustedOutput!U160</f>
        <v>4275.7567559854706</v>
      </c>
      <c r="F162" s="303">
        <f>IF(MID(B162,18,2)="hp",AdjustedOutput!X160*14.5/analysis!$E$2,AdjustedOutput!X160)</f>
        <v>730.41414699999996</v>
      </c>
      <c r="H162" s="303">
        <f t="shared" si="4"/>
        <v>827.75869787710872</v>
      </c>
      <c r="I162" s="303">
        <f t="shared" si="5"/>
        <v>198.05352253571425</v>
      </c>
      <c r="J162" s="303">
        <f>AdjustedOutput!Y160*$H$1</f>
        <v>2151.3428954999999</v>
      </c>
      <c r="M162" s="303">
        <f t="shared" si="6"/>
        <v>3177.155115912823</v>
      </c>
      <c r="Q162" s="296" t="str">
        <f t="shared" si="7"/>
        <v>WxHZ2CZ3_1568e_20hp85_des0</v>
      </c>
    </row>
    <row r="163" spans="1:17">
      <c r="A163" s="621"/>
      <c r="B163" s="296" t="str">
        <f>AdjustedOutput!A161</f>
        <v>NWHZ3CZ1_1568n_20gshp_des1</v>
      </c>
      <c r="C163" s="310" t="str">
        <f>LEFT(AdjustedOutput!W161,6)</f>
        <v>HZ3CZ1</v>
      </c>
      <c r="D163" s="303">
        <f>AdjustedOutput!F161</f>
        <v>339.59240499999999</v>
      </c>
      <c r="E163" s="303">
        <f>AdjustedOutput!U161</f>
        <v>4184.9189496684639</v>
      </c>
      <c r="F163" s="303">
        <f>IF(MID(B163,18,2)="hp",AdjustedOutput!X161*14.5/analysis!$E$2,AdjustedOutput!X161)</f>
        <v>290.641097</v>
      </c>
      <c r="H163" s="303">
        <f t="shared" si="4"/>
        <v>1227.2811095910693</v>
      </c>
      <c r="I163" s="303">
        <f t="shared" si="5"/>
        <v>27.313564857142865</v>
      </c>
      <c r="J163" s="303">
        <f>AdjustedOutput!Y161*$H$1</f>
        <v>2233.90935825</v>
      </c>
      <c r="M163" s="303">
        <f t="shared" si="6"/>
        <v>3488.5040326982121</v>
      </c>
      <c r="Q163" s="296" t="str">
        <f t="shared" si="7"/>
        <v>NWHZ3CZ1_1568n_20hp85_des0</v>
      </c>
    </row>
    <row r="164" spans="1:17">
      <c r="A164" s="621"/>
      <c r="B164" s="296" t="str">
        <f>AdjustedOutput!A162</f>
        <v>NWHZ3CZ2_1568n_20gshp_des1</v>
      </c>
      <c r="C164" s="310" t="str">
        <f>LEFT(AdjustedOutput!W162,6)</f>
        <v>HZ3CZ2</v>
      </c>
      <c r="D164" s="303">
        <f>AdjustedOutput!F162</f>
        <v>339.59240499999999</v>
      </c>
      <c r="E164" s="303">
        <f>AdjustedOutput!U162</f>
        <v>4184.9189496684639</v>
      </c>
      <c r="F164" s="303">
        <f>IF(MID(B164,18,2)="hp",AdjustedOutput!X162*14.5/analysis!$E$2,AdjustedOutput!X162)</f>
        <v>495.13447600000001</v>
      </c>
      <c r="H164" s="303">
        <f t="shared" si="4"/>
        <v>1227.2811095910693</v>
      </c>
      <c r="I164" s="303">
        <f t="shared" si="5"/>
        <v>90.226618321428589</v>
      </c>
      <c r="J164" s="303">
        <f>AdjustedOutput!Y162*$H$1</f>
        <v>2233.90935825</v>
      </c>
      <c r="M164" s="303">
        <f t="shared" si="6"/>
        <v>3551.417086162498</v>
      </c>
      <c r="Q164" s="296" t="str">
        <f t="shared" si="7"/>
        <v>NWHZ3CZ2_1568n_20hp85_des0</v>
      </c>
    </row>
    <row r="165" spans="1:17">
      <c r="A165" s="621"/>
      <c r="B165" s="296" t="str">
        <f>AdjustedOutput!A163</f>
        <v>NWHZ3CZ3_1568n_20gshp_des1</v>
      </c>
      <c r="C165" s="310" t="str">
        <f>LEFT(AdjustedOutput!W163,6)</f>
        <v>HZ3CZ3</v>
      </c>
      <c r="D165" s="303">
        <f>AdjustedOutput!F163</f>
        <v>339.59240499999999</v>
      </c>
      <c r="E165" s="303">
        <f>AdjustedOutput!U163</f>
        <v>4184.9189496684639</v>
      </c>
      <c r="F165" s="303">
        <f>IF(MID(B165,18,2)="hp",AdjustedOutput!X163*14.5/analysis!$E$2,AdjustedOutput!X163)</f>
        <v>735.77215899999999</v>
      </c>
      <c r="H165" s="303">
        <f t="shared" si="4"/>
        <v>1227.2811095910693</v>
      </c>
      <c r="I165" s="303">
        <f t="shared" si="5"/>
        <v>193.88889471428581</v>
      </c>
      <c r="J165" s="303">
        <f>AdjustedOutput!Y163*$H$1</f>
        <v>2233.90935825</v>
      </c>
      <c r="M165" s="303">
        <f t="shared" si="6"/>
        <v>3655.0793625553551</v>
      </c>
      <c r="Q165" s="296" t="str">
        <f t="shared" si="7"/>
        <v>NWHZ3CZ3_1568n_20hp85_des0</v>
      </c>
    </row>
    <row r="166" spans="1:17">
      <c r="A166" s="621"/>
      <c r="B166" s="296" t="str">
        <f>AdjustedOutput!A164</f>
        <v>WxHZ3CZ1_1568e_20gshp_des1</v>
      </c>
      <c r="C166" s="310" t="str">
        <f>LEFT(AdjustedOutput!W164,6)</f>
        <v>HZ3CZ1</v>
      </c>
      <c r="D166" s="303">
        <f>AdjustedOutput!F164</f>
        <v>378.67873600000001</v>
      </c>
      <c r="E166" s="303">
        <f>AdjustedOutput!U164</f>
        <v>4645.0830044062777</v>
      </c>
      <c r="F166" s="303">
        <f>IF(MID(B166,18,2)="hp",AdjustedOutput!X164*14.5/analysis!$E$2,AdjustedOutput!X164)</f>
        <v>266.89881100000002</v>
      </c>
      <c r="H166" s="303">
        <f t="shared" si="4"/>
        <v>1362.2071427538667</v>
      </c>
      <c r="I166" s="303">
        <f t="shared" si="5"/>
        <v>27.072493535714273</v>
      </c>
      <c r="J166" s="303">
        <f>AdjustedOutput!Y164*$H$1</f>
        <v>2478.0619710000001</v>
      </c>
      <c r="M166" s="303">
        <f t="shared" si="6"/>
        <v>3867.3416072895811</v>
      </c>
      <c r="Q166" s="296" t="str">
        <f t="shared" si="7"/>
        <v>WxHZ3CZ1_1568e_20hp85_des0</v>
      </c>
    </row>
    <row r="167" spans="1:17">
      <c r="A167" s="621"/>
      <c r="B167" s="296" t="str">
        <f>AdjustedOutput!A165</f>
        <v>WxHZ3CZ2_1568e_20gshp_des1</v>
      </c>
      <c r="C167" s="310" t="str">
        <f>LEFT(AdjustedOutput!W165,6)</f>
        <v>HZ3CZ2</v>
      </c>
      <c r="D167" s="303">
        <f>AdjustedOutput!F165</f>
        <v>378.67873600000001</v>
      </c>
      <c r="E167" s="303">
        <f>AdjustedOutput!U165</f>
        <v>4645.0830044062777</v>
      </c>
      <c r="F167" s="303">
        <f>IF(MID(B167,18,2)="hp",AdjustedOutput!X165*14.5/analysis!$E$2,AdjustedOutput!X165)</f>
        <v>478.64828899999998</v>
      </c>
      <c r="H167" s="303">
        <f t="shared" si="4"/>
        <v>1362.2071427538667</v>
      </c>
      <c r="I167" s="303">
        <f t="shared" si="5"/>
        <v>90.965009892857211</v>
      </c>
      <c r="J167" s="303">
        <f>AdjustedOutput!Y165*$H$1</f>
        <v>2478.0619710000001</v>
      </c>
      <c r="M167" s="303">
        <f t="shared" si="6"/>
        <v>3931.2341236467241</v>
      </c>
      <c r="Q167" s="296" t="str">
        <f t="shared" si="7"/>
        <v>WxHZ3CZ2_1568e_20hp85_des0</v>
      </c>
    </row>
    <row r="168" spans="1:17">
      <c r="A168" s="621"/>
      <c r="B168" s="296" t="str">
        <f>AdjustedOutput!A166</f>
        <v>WxHZ3CZ3_1568e_20gshp_des1</v>
      </c>
      <c r="C168" s="310" t="str">
        <f>LEFT(AdjustedOutput!W166,6)</f>
        <v>HZ3CZ3</v>
      </c>
      <c r="D168" s="303">
        <f>AdjustedOutput!F166</f>
        <v>378.67873600000001</v>
      </c>
      <c r="E168" s="303">
        <f>AdjustedOutput!U166</f>
        <v>4645.0830044062777</v>
      </c>
      <c r="F168" s="303">
        <f>IF(MID(B168,18,2)="hp",AdjustedOutput!X166*14.5/analysis!$E$2,AdjustedOutput!X166)</f>
        <v>730.41414699999996</v>
      </c>
      <c r="H168" s="303">
        <f t="shared" si="4"/>
        <v>1362.2071427538667</v>
      </c>
      <c r="I168" s="303">
        <f t="shared" si="5"/>
        <v>198.05352253571425</v>
      </c>
      <c r="J168" s="303">
        <f>AdjustedOutput!Y166*$H$1</f>
        <v>2478.0619710000001</v>
      </c>
      <c r="M168" s="303">
        <f t="shared" si="6"/>
        <v>4038.3226362895812</v>
      </c>
      <c r="Q168" s="296" t="str">
        <f t="shared" si="7"/>
        <v>WxHZ3CZ3_1568e_20hp85_des0</v>
      </c>
    </row>
    <row r="169" spans="1:17">
      <c r="A169" s="621"/>
      <c r="B169" s="296" t="str">
        <f>AdjustedOutput!A167</f>
        <v>NWHZ1CZ1_2200n_25gshp_des1</v>
      </c>
      <c r="C169" s="310" t="str">
        <f>LEFT(AdjustedOutput!W167,6)</f>
        <v>HZ1CZ1</v>
      </c>
      <c r="D169" s="303">
        <f>AdjustedOutput!F167</f>
        <v>420.37597399999999</v>
      </c>
      <c r="E169" s="303">
        <f>AdjustedOutput!U167</f>
        <v>3978.8566575158088</v>
      </c>
      <c r="F169" s="303">
        <f>IF(MID(B169,18,2)="hp",AdjustedOutput!X167*14.5/analysis!$E$2,AdjustedOutput!X167)</f>
        <v>408.99017700000002</v>
      </c>
      <c r="H169" s="303">
        <f t="shared" si="4"/>
        <v>465.64725735640832</v>
      </c>
      <c r="I169" s="303">
        <f t="shared" si="5"/>
        <v>45.513779214285705</v>
      </c>
      <c r="J169" s="303">
        <f>AdjustedOutput!Y167*$H$1</f>
        <v>1445.959077</v>
      </c>
      <c r="M169" s="303">
        <f t="shared" si="6"/>
        <v>1957.120113570694</v>
      </c>
      <c r="Q169" s="296" t="str">
        <f t="shared" si="7"/>
        <v>NWHZ1CZ1_2200n_25hp85_des0</v>
      </c>
    </row>
    <row r="170" spans="1:17">
      <c r="A170" s="621"/>
      <c r="B170" s="296" t="str">
        <f>AdjustedOutput!A168</f>
        <v>NWHZ1CZ2_2200n_25gshp_des1</v>
      </c>
      <c r="C170" s="310" t="str">
        <f>LEFT(AdjustedOutput!W168,6)</f>
        <v>HZ1CZ2</v>
      </c>
      <c r="D170" s="303">
        <f>AdjustedOutput!F168</f>
        <v>420.37597399999999</v>
      </c>
      <c r="E170" s="303">
        <f>AdjustedOutput!U168</f>
        <v>3978.8566575158088</v>
      </c>
      <c r="F170" s="303">
        <f>IF(MID(B170,18,2)="hp",AdjustedOutput!X168*14.5/analysis!$E$2,AdjustedOutput!X168)</f>
        <v>701.89637300000004</v>
      </c>
      <c r="H170" s="303">
        <f t="shared" si="4"/>
        <v>465.64725735640832</v>
      </c>
      <c r="I170" s="303">
        <f t="shared" si="5"/>
        <v>135.86943099999996</v>
      </c>
      <c r="J170" s="303">
        <f>AdjustedOutput!Y168*$H$1</f>
        <v>1445.959077</v>
      </c>
      <c r="M170" s="303">
        <f t="shared" si="6"/>
        <v>2047.4757653564084</v>
      </c>
      <c r="Q170" s="296" t="str">
        <f t="shared" si="7"/>
        <v>NWHZ1CZ2_2200n_25hp85_des0</v>
      </c>
    </row>
    <row r="171" spans="1:17">
      <c r="A171" s="621"/>
      <c r="B171" s="296" t="str">
        <f>AdjustedOutput!A169</f>
        <v>NWHZ1CZ3_2200n_25gshp_des1</v>
      </c>
      <c r="C171" s="310" t="str">
        <f>LEFT(AdjustedOutput!W169,6)</f>
        <v>HZ1CZ3</v>
      </c>
      <c r="D171" s="303">
        <f>AdjustedOutput!F169</f>
        <v>420.37597399999999</v>
      </c>
      <c r="E171" s="303">
        <f>AdjustedOutput!U169</f>
        <v>3978.8566575158088</v>
      </c>
      <c r="F171" s="303">
        <f>IF(MID(B171,18,2)="hp",AdjustedOutput!X169*14.5/analysis!$E$2,AdjustedOutput!X169)</f>
        <v>1048.3913150000001</v>
      </c>
      <c r="H171" s="303">
        <f t="shared" si="4"/>
        <v>465.64725735640832</v>
      </c>
      <c r="I171" s="303">
        <f t="shared" si="5"/>
        <v>281.64384435714283</v>
      </c>
      <c r="J171" s="303">
        <f>AdjustedOutput!Y169*$H$1</f>
        <v>1445.959077</v>
      </c>
      <c r="M171" s="303">
        <f t="shared" si="6"/>
        <v>2193.2501787135511</v>
      </c>
      <c r="Q171" s="296" t="str">
        <f t="shared" si="7"/>
        <v>NWHZ1CZ3_2200n_25hp85_des0</v>
      </c>
    </row>
    <row r="172" spans="1:17">
      <c r="A172" s="621"/>
      <c r="B172" s="296" t="str">
        <f>AdjustedOutput!A170</f>
        <v>WxHZ1CZ1_2200e_30gshp_des1</v>
      </c>
      <c r="C172" s="310" t="str">
        <f>LEFT(AdjustedOutput!W170,6)</f>
        <v>HZ1CZ1</v>
      </c>
      <c r="D172" s="303">
        <f>AdjustedOutput!F170</f>
        <v>486.02175299999999</v>
      </c>
      <c r="E172" s="303">
        <f>AdjustedOutput!U170</f>
        <v>4512.806795377981</v>
      </c>
      <c r="F172" s="303">
        <f>IF(MID(B172,18,2)="hp",AdjustedOutput!X170*14.5/analysis!$E$2,AdjustedOutput!X170)</f>
        <v>398.39023700000001</v>
      </c>
      <c r="H172" s="303">
        <f t="shared" si="4"/>
        <v>616.4406660378836</v>
      </c>
      <c r="I172" s="303">
        <f t="shared" si="5"/>
        <v>48.024009714285683</v>
      </c>
      <c r="J172" s="303">
        <f>AdjustedOutput!Y170*$H$1</f>
        <v>1432.30910475</v>
      </c>
      <c r="M172" s="303">
        <f t="shared" si="6"/>
        <v>2096.7737805021693</v>
      </c>
      <c r="Q172" s="296" t="str">
        <f t="shared" si="7"/>
        <v>WxHZ1CZ1_2200e_30hp85_des0</v>
      </c>
    </row>
    <row r="173" spans="1:17">
      <c r="A173" s="621"/>
      <c r="B173" s="296" t="str">
        <f>AdjustedOutput!A171</f>
        <v>WxHZ1CZ2_2200e_30gshp_des1</v>
      </c>
      <c r="C173" s="310" t="str">
        <f>LEFT(AdjustedOutput!W171,6)</f>
        <v>HZ1CZ2</v>
      </c>
      <c r="D173" s="303">
        <f>AdjustedOutput!F171</f>
        <v>486.02175299999999</v>
      </c>
      <c r="E173" s="303">
        <f>AdjustedOutput!U171</f>
        <v>4512.806795377981</v>
      </c>
      <c r="F173" s="303">
        <f>IF(MID(B173,18,2)="hp",AdjustedOutput!X171*14.5/analysis!$E$2,AdjustedOutput!X171)</f>
        <v>715.96745099999998</v>
      </c>
      <c r="H173" s="303">
        <f t="shared" si="4"/>
        <v>616.4406660378836</v>
      </c>
      <c r="I173" s="303">
        <f t="shared" si="5"/>
        <v>146.00140500000009</v>
      </c>
      <c r="J173" s="303">
        <f>AdjustedOutput!Y171*$H$1</f>
        <v>1432.30910475</v>
      </c>
      <c r="M173" s="303">
        <f t="shared" si="6"/>
        <v>2194.7511757878838</v>
      </c>
      <c r="Q173" s="296" t="str">
        <f t="shared" si="7"/>
        <v>WxHZ1CZ2_2200e_30hp85_des0</v>
      </c>
    </row>
    <row r="174" spans="1:17">
      <c r="A174" s="621"/>
      <c r="B174" s="296" t="str">
        <f>AdjustedOutput!A172</f>
        <v>WxHZ1CZ3_2200e_30gshp_des1</v>
      </c>
      <c r="C174" s="310" t="str">
        <f>LEFT(AdjustedOutput!W172,6)</f>
        <v>HZ1CZ3</v>
      </c>
      <c r="D174" s="303">
        <f>AdjustedOutput!F172</f>
        <v>486.02175299999999</v>
      </c>
      <c r="E174" s="303">
        <f>AdjustedOutput!U172</f>
        <v>4512.806795377981</v>
      </c>
      <c r="F174" s="303">
        <f>IF(MID(B174,18,2)="hp",AdjustedOutput!X172*14.5/analysis!$E$2,AdjustedOutput!X172)</f>
        <v>1093.6780409999999</v>
      </c>
      <c r="H174" s="303">
        <f t="shared" si="4"/>
        <v>616.4406660378836</v>
      </c>
      <c r="I174" s="303">
        <f t="shared" si="5"/>
        <v>306.62740882142862</v>
      </c>
      <c r="J174" s="303">
        <f>AdjustedOutput!Y172*$H$1</f>
        <v>1432.30910475</v>
      </c>
      <c r="M174" s="303">
        <f t="shared" si="6"/>
        <v>2355.3771796093124</v>
      </c>
      <c r="Q174" s="296" t="str">
        <f t="shared" si="7"/>
        <v>WxHZ1CZ3_2200e_30hp85_des0</v>
      </c>
    </row>
    <row r="175" spans="1:17">
      <c r="A175" s="621"/>
      <c r="B175" s="296" t="str">
        <f>AdjustedOutput!A173</f>
        <v>NWHZ2CZ1_2200n_25gshp_des1</v>
      </c>
      <c r="C175" s="310" t="str">
        <f>LEFT(AdjustedOutput!W173,6)</f>
        <v>HZ2CZ1</v>
      </c>
      <c r="D175" s="303">
        <f>AdjustedOutput!F173</f>
        <v>427.61718200000001</v>
      </c>
      <c r="E175" s="303">
        <f>AdjustedOutput!U173</f>
        <v>5396.111657846237</v>
      </c>
      <c r="F175" s="303">
        <f>IF(MID(B175,18,2)="hp",AdjustedOutput!X173*14.5/analysis!$E$2,AdjustedOutput!X173)</f>
        <v>408.99017700000002</v>
      </c>
      <c r="H175" s="303">
        <f t="shared" si="4"/>
        <v>1439.020025230504</v>
      </c>
      <c r="I175" s="303">
        <f t="shared" si="5"/>
        <v>45.513779214285705</v>
      </c>
      <c r="J175" s="303">
        <f>AdjustedOutput!Y173*$H$1</f>
        <v>2006.3340615000002</v>
      </c>
      <c r="M175" s="303">
        <f t="shared" si="6"/>
        <v>3490.8678659447896</v>
      </c>
      <c r="Q175" s="296" t="str">
        <f t="shared" si="7"/>
        <v>NWHZ2CZ1_2200n_25hp85_des0</v>
      </c>
    </row>
    <row r="176" spans="1:17">
      <c r="A176" s="621"/>
      <c r="B176" s="296" t="str">
        <f>AdjustedOutput!A174</f>
        <v>NWHZ2CZ2_2200n_25gshp_des1</v>
      </c>
      <c r="C176" s="310" t="str">
        <f>LEFT(AdjustedOutput!W174,6)</f>
        <v>HZ2CZ2</v>
      </c>
      <c r="D176" s="303">
        <f>AdjustedOutput!F174</f>
        <v>427.61718200000001</v>
      </c>
      <c r="E176" s="303">
        <f>AdjustedOutput!U174</f>
        <v>5396.111657846237</v>
      </c>
      <c r="F176" s="303">
        <f>IF(MID(B176,18,2)="hp",AdjustedOutput!X174*14.5/analysis!$E$2,AdjustedOutput!X174)</f>
        <v>701.89637300000004</v>
      </c>
      <c r="H176" s="303">
        <f t="shared" si="4"/>
        <v>1439.020025230504</v>
      </c>
      <c r="I176" s="303">
        <f t="shared" si="5"/>
        <v>135.86943099999996</v>
      </c>
      <c r="J176" s="303">
        <f>AdjustedOutput!Y174*$H$1</f>
        <v>2006.3340615000002</v>
      </c>
      <c r="M176" s="303">
        <f t="shared" si="6"/>
        <v>3581.2235177305042</v>
      </c>
      <c r="Q176" s="296" t="str">
        <f t="shared" si="7"/>
        <v>NWHZ2CZ2_2200n_25hp85_des0</v>
      </c>
    </row>
    <row r="177" spans="1:17">
      <c r="A177" s="621"/>
      <c r="B177" s="296" t="str">
        <f>AdjustedOutput!A175</f>
        <v>NWHZ2CZ3_2200n_25gshp_des1</v>
      </c>
      <c r="C177" s="310" t="str">
        <f>LEFT(AdjustedOutput!W175,6)</f>
        <v>HZ2CZ3</v>
      </c>
      <c r="D177" s="303">
        <f>AdjustedOutput!F175</f>
        <v>427.61718200000001</v>
      </c>
      <c r="E177" s="303">
        <f>AdjustedOutput!U175</f>
        <v>5396.111657846237</v>
      </c>
      <c r="F177" s="303">
        <f>IF(MID(B177,18,2)="hp",AdjustedOutput!X175*14.5/analysis!$E$2,AdjustedOutput!X175)</f>
        <v>1048.3913150000001</v>
      </c>
      <c r="H177" s="303">
        <f t="shared" si="4"/>
        <v>1439.020025230504</v>
      </c>
      <c r="I177" s="303">
        <f t="shared" si="5"/>
        <v>281.64384435714283</v>
      </c>
      <c r="J177" s="303">
        <f>AdjustedOutput!Y175*$H$1</f>
        <v>2006.3340615000002</v>
      </c>
      <c r="M177" s="303">
        <f t="shared" si="6"/>
        <v>3726.997931087647</v>
      </c>
      <c r="Q177" s="296" t="str">
        <f t="shared" si="7"/>
        <v>NWHZ2CZ3_2200n_25hp85_des0</v>
      </c>
    </row>
    <row r="178" spans="1:17">
      <c r="A178" s="621"/>
      <c r="B178" s="296" t="str">
        <f>AdjustedOutput!A176</f>
        <v>WxHZ2CZ1_2200e_30gshp_des1</v>
      </c>
      <c r="C178" s="310" t="str">
        <f>LEFT(AdjustedOutput!W176,6)</f>
        <v>HZ2CZ1</v>
      </c>
      <c r="D178" s="303">
        <f>AdjustedOutput!F176</f>
        <v>493.49480499999999</v>
      </c>
      <c r="E178" s="303">
        <f>AdjustedOutput!U176</f>
        <v>5903.2926039412714</v>
      </c>
      <c r="F178" s="303">
        <f>IF(MID(B178,18,2)="hp",AdjustedOutput!X176*14.5/analysis!$E$2,AdjustedOutput!X176)</f>
        <v>398.39023700000001</v>
      </c>
      <c r="H178" s="303">
        <f t="shared" si="4"/>
        <v>1778.4299797791846</v>
      </c>
      <c r="I178" s="303">
        <f t="shared" si="5"/>
        <v>48.024009714285683</v>
      </c>
      <c r="J178" s="303">
        <f>AdjustedOutput!Y176*$H$1</f>
        <v>1982.1367694999999</v>
      </c>
      <c r="M178" s="303">
        <f t="shared" si="6"/>
        <v>3808.5907589934704</v>
      </c>
      <c r="Q178" s="296" t="str">
        <f t="shared" si="7"/>
        <v>WxHZ2CZ1_2200e_30hp85_des0</v>
      </c>
    </row>
    <row r="179" spans="1:17">
      <c r="A179" s="621"/>
      <c r="B179" s="296" t="str">
        <f>AdjustedOutput!A177</f>
        <v>WxHZ2CZ2_2200e_30gshp_des1</v>
      </c>
      <c r="C179" s="310" t="str">
        <f>LEFT(AdjustedOutput!W177,6)</f>
        <v>HZ2CZ2</v>
      </c>
      <c r="D179" s="303">
        <f>AdjustedOutput!F177</f>
        <v>493.49480499999999</v>
      </c>
      <c r="E179" s="303">
        <f>AdjustedOutput!U177</f>
        <v>5903.2926039412714</v>
      </c>
      <c r="F179" s="303">
        <f>IF(MID(B179,18,2)="hp",AdjustedOutput!X177*14.5/analysis!$E$2,AdjustedOutput!X177)</f>
        <v>715.96745099999998</v>
      </c>
      <c r="H179" s="303">
        <f t="shared" si="4"/>
        <v>1778.4299797791846</v>
      </c>
      <c r="I179" s="303">
        <f t="shared" si="5"/>
        <v>146.00140500000009</v>
      </c>
      <c r="J179" s="303">
        <f>AdjustedOutput!Y177*$H$1</f>
        <v>1982.1367694999999</v>
      </c>
      <c r="M179" s="303">
        <f t="shared" si="6"/>
        <v>3906.5681542791845</v>
      </c>
      <c r="Q179" s="296" t="str">
        <f t="shared" si="7"/>
        <v>WxHZ2CZ2_2200e_30hp85_des0</v>
      </c>
    </row>
    <row r="180" spans="1:17">
      <c r="A180" s="621"/>
      <c r="B180" s="296" t="str">
        <f>AdjustedOutput!A178</f>
        <v>WxHZ2CZ3_2200e_30gshp_des1</v>
      </c>
      <c r="C180" s="310" t="str">
        <f>LEFT(AdjustedOutput!W178,6)</f>
        <v>HZ2CZ3</v>
      </c>
      <c r="D180" s="303">
        <f>AdjustedOutput!F178</f>
        <v>493.49480499999999</v>
      </c>
      <c r="E180" s="303">
        <f>AdjustedOutput!U178</f>
        <v>5903.2926039412714</v>
      </c>
      <c r="F180" s="303">
        <f>IF(MID(B180,18,2)="hp",AdjustedOutput!X178*14.5/analysis!$E$2,AdjustedOutput!X178)</f>
        <v>1093.6780409999999</v>
      </c>
      <c r="H180" s="303">
        <f t="shared" si="4"/>
        <v>1778.4299797791846</v>
      </c>
      <c r="I180" s="303">
        <f t="shared" si="5"/>
        <v>306.62740882142862</v>
      </c>
      <c r="J180" s="303">
        <f>AdjustedOutput!Y178*$H$1</f>
        <v>1982.1367694999999</v>
      </c>
      <c r="M180" s="303">
        <f t="shared" si="6"/>
        <v>4067.1941581006131</v>
      </c>
      <c r="Q180" s="296" t="str">
        <f t="shared" si="7"/>
        <v>WxHZ2CZ3_2200e_30hp85_des0</v>
      </c>
    </row>
    <row r="181" spans="1:17">
      <c r="A181" s="621"/>
      <c r="B181" s="296" t="str">
        <f>AdjustedOutput!A179</f>
        <v>NWHZ3CZ1_2200n_25gshp_des1</v>
      </c>
      <c r="C181" s="310" t="str">
        <f>LEFT(AdjustedOutput!W179,6)</f>
        <v>HZ3CZ1</v>
      </c>
      <c r="D181" s="303">
        <f>AdjustedOutput!F179</f>
        <v>423.91852599999999</v>
      </c>
      <c r="E181" s="303">
        <f>AdjustedOutput!U179</f>
        <v>5914.6247081707006</v>
      </c>
      <c r="F181" s="303">
        <f>IF(MID(B181,18,2)="hp",AdjustedOutput!X179*14.5/analysis!$E$2,AdjustedOutput!X179)</f>
        <v>408.99017700000002</v>
      </c>
      <c r="H181" s="303">
        <f t="shared" si="4"/>
        <v>2182.8319153537486</v>
      </c>
      <c r="I181" s="303">
        <f t="shared" si="5"/>
        <v>45.513779214285705</v>
      </c>
      <c r="J181" s="303">
        <f>AdjustedOutput!Y179*$H$1</f>
        <v>2288.7517177499999</v>
      </c>
      <c r="M181" s="303">
        <f t="shared" si="6"/>
        <v>4517.0974123180349</v>
      </c>
      <c r="Q181" s="296" t="str">
        <f t="shared" si="7"/>
        <v>NWHZ3CZ1_2200n_25hp85_des0</v>
      </c>
    </row>
    <row r="182" spans="1:17">
      <c r="A182" s="621"/>
      <c r="B182" s="296" t="str">
        <f>AdjustedOutput!A180</f>
        <v>NWHZ3CZ2_2200n_25gshp_des1</v>
      </c>
      <c r="C182" s="310" t="str">
        <f>LEFT(AdjustedOutput!W180,6)</f>
        <v>HZ3CZ2</v>
      </c>
      <c r="D182" s="303">
        <f>AdjustedOutput!F180</f>
        <v>423.91852599999999</v>
      </c>
      <c r="E182" s="303">
        <f>AdjustedOutput!U180</f>
        <v>5914.6247081707006</v>
      </c>
      <c r="F182" s="303">
        <f>IF(MID(B182,18,2)="hp",AdjustedOutput!X180*14.5/analysis!$E$2,AdjustedOutput!X180)</f>
        <v>701.89637300000004</v>
      </c>
      <c r="H182" s="303">
        <f t="shared" si="4"/>
        <v>2182.8319153537486</v>
      </c>
      <c r="I182" s="303">
        <f t="shared" si="5"/>
        <v>135.86943099999996</v>
      </c>
      <c r="J182" s="303">
        <f>AdjustedOutput!Y180*$H$1</f>
        <v>2288.7517177499999</v>
      </c>
      <c r="M182" s="303">
        <f t="shared" si="6"/>
        <v>4607.4530641037491</v>
      </c>
      <c r="Q182" s="296" t="str">
        <f t="shared" si="7"/>
        <v>NWHZ3CZ2_2200n_25hp85_des0</v>
      </c>
    </row>
    <row r="183" spans="1:17">
      <c r="A183" s="621"/>
      <c r="B183" s="296" t="str">
        <f>AdjustedOutput!A181</f>
        <v>NWHZ3CZ3_2200n_25gshp_des1</v>
      </c>
      <c r="C183" s="310" t="str">
        <f>LEFT(AdjustedOutput!W181,6)</f>
        <v>HZ3CZ3</v>
      </c>
      <c r="D183" s="303">
        <f>AdjustedOutput!F181</f>
        <v>423.91852599999999</v>
      </c>
      <c r="E183" s="303">
        <f>AdjustedOutput!U181</f>
        <v>5914.6247081707006</v>
      </c>
      <c r="F183" s="303">
        <f>IF(MID(B183,18,2)="hp",AdjustedOutput!X181*14.5/analysis!$E$2,AdjustedOutput!X181)</f>
        <v>1048.3913150000001</v>
      </c>
      <c r="H183" s="303">
        <f t="shared" si="4"/>
        <v>2182.8319153537486</v>
      </c>
      <c r="I183" s="303">
        <f t="shared" si="5"/>
        <v>281.64384435714283</v>
      </c>
      <c r="J183" s="303">
        <f>AdjustedOutput!Y181*$H$1</f>
        <v>2288.7517177499999</v>
      </c>
      <c r="M183" s="303">
        <f t="shared" si="6"/>
        <v>4753.2274774608914</v>
      </c>
      <c r="Q183" s="296" t="str">
        <f t="shared" si="7"/>
        <v>NWHZ3CZ3_2200n_25hp85_des0</v>
      </c>
    </row>
    <row r="184" spans="1:17">
      <c r="A184" s="621"/>
      <c r="B184" s="296" t="str">
        <f>AdjustedOutput!A182</f>
        <v>WxHZ3CZ1_2200e_30gshp_des1</v>
      </c>
      <c r="C184" s="310" t="str">
        <f>LEFT(AdjustedOutput!W182,6)</f>
        <v>HZ3CZ1</v>
      </c>
      <c r="D184" s="303">
        <f>AdjustedOutput!F182</f>
        <v>490.40903600000001</v>
      </c>
      <c r="E184" s="303">
        <f>AdjustedOutput!U182</f>
        <v>6382.6659083386785</v>
      </c>
      <c r="F184" s="303">
        <f>IF(MID(B184,18,2)="hp",AdjustedOutput!X182*14.5/analysis!$E$2,AdjustedOutput!X182)</f>
        <v>398.39023700000001</v>
      </c>
      <c r="H184" s="303">
        <f t="shared" si="4"/>
        <v>2658.739762995092</v>
      </c>
      <c r="I184" s="303">
        <f t="shared" si="5"/>
        <v>48.024009714285683</v>
      </c>
      <c r="J184" s="303">
        <f>AdjustedOutput!Y182*$H$1</f>
        <v>2274.9661147500001</v>
      </c>
      <c r="M184" s="303">
        <f t="shared" si="6"/>
        <v>4981.729887459378</v>
      </c>
      <c r="Q184" s="296" t="str">
        <f t="shared" si="7"/>
        <v>WxHZ3CZ1_2200e_30hp85_des0</v>
      </c>
    </row>
    <row r="185" spans="1:17">
      <c r="A185" s="621"/>
      <c r="B185" s="296" t="str">
        <f>AdjustedOutput!A183</f>
        <v>WxHZ3CZ2_2200e_30gshp_des1</v>
      </c>
      <c r="C185" s="310" t="str">
        <f>LEFT(AdjustedOutput!W183,6)</f>
        <v>HZ3CZ2</v>
      </c>
      <c r="D185" s="303">
        <f>AdjustedOutput!F183</f>
        <v>490.40903600000001</v>
      </c>
      <c r="E185" s="303">
        <f>AdjustedOutput!U183</f>
        <v>6382.6659083386785</v>
      </c>
      <c r="F185" s="303">
        <f>IF(MID(B185,18,2)="hp",AdjustedOutput!X183*14.5/analysis!$E$2,AdjustedOutput!X183)</f>
        <v>715.96745099999998</v>
      </c>
      <c r="H185" s="303">
        <f t="shared" si="4"/>
        <v>2658.739762995092</v>
      </c>
      <c r="I185" s="303">
        <f t="shared" si="5"/>
        <v>146.00140500000009</v>
      </c>
      <c r="J185" s="303">
        <f>AdjustedOutput!Y183*$H$1</f>
        <v>2274.9661147500001</v>
      </c>
      <c r="M185" s="303">
        <f t="shared" si="6"/>
        <v>5079.707282745092</v>
      </c>
      <c r="Q185" s="296" t="str">
        <f t="shared" si="7"/>
        <v>WxHZ3CZ2_2200e_30hp85_des0</v>
      </c>
    </row>
    <row r="186" spans="1:17">
      <c r="A186" s="621"/>
      <c r="B186" s="296" t="str">
        <f>AdjustedOutput!A184</f>
        <v>WxHZ3CZ3_2200e_30gshp_des1</v>
      </c>
      <c r="C186" s="310" t="str">
        <f>LEFT(AdjustedOutput!W184,6)</f>
        <v>HZ3CZ3</v>
      </c>
      <c r="D186" s="303">
        <f>AdjustedOutput!F184</f>
        <v>490.40903600000001</v>
      </c>
      <c r="E186" s="303">
        <f>AdjustedOutput!U184</f>
        <v>6382.6659083386785</v>
      </c>
      <c r="F186" s="303">
        <f>IF(MID(B186,18,2)="hp",AdjustedOutput!X184*14.5/analysis!$E$2,AdjustedOutput!X184)</f>
        <v>1093.6780409999999</v>
      </c>
      <c r="H186" s="303">
        <f t="shared" si="4"/>
        <v>2658.739762995092</v>
      </c>
      <c r="I186" s="303">
        <f t="shared" si="5"/>
        <v>306.62740882142862</v>
      </c>
      <c r="J186" s="303">
        <f>AdjustedOutput!Y184*$H$1</f>
        <v>2274.9661147500001</v>
      </c>
      <c r="M186" s="303">
        <f t="shared" si="6"/>
        <v>5240.3332865665207</v>
      </c>
      <c r="Q186" s="296" t="str">
        <f t="shared" si="7"/>
        <v>WxHZ3CZ3_2200e_30hp85_des0</v>
      </c>
    </row>
    <row r="187" spans="1:17">
      <c r="A187" s="621"/>
      <c r="B187" s="296" t="str">
        <f>AdjustedOutput!A185</f>
        <v>NWHZ1CZ1_2688n_25gshp_des1</v>
      </c>
      <c r="C187" s="310" t="str">
        <f>LEFT(AdjustedOutput!W185,6)</f>
        <v>HZ1CZ1</v>
      </c>
      <c r="D187" s="303">
        <f>AdjustedOutput!F185</f>
        <v>439.57963699999999</v>
      </c>
      <c r="E187" s="303">
        <f>AdjustedOutput!U185</f>
        <v>3307.8454851167389</v>
      </c>
      <c r="F187" s="303">
        <f>IF(MID(B187,18,2)="hp",AdjustedOutput!X185*14.5/analysis!$E$2,AdjustedOutput!X185)</f>
        <v>254.21410800000001</v>
      </c>
      <c r="H187" s="303">
        <f t="shared" si="4"/>
        <v>275.57142943716053</v>
      </c>
      <c r="I187" s="303">
        <f t="shared" si="5"/>
        <v>28.271226607142864</v>
      </c>
      <c r="J187" s="303">
        <f>AdjustedOutput!Y185*$H$1</f>
        <v>1252.7593919999999</v>
      </c>
      <c r="M187" s="303">
        <f t="shared" si="6"/>
        <v>1556.6020480443033</v>
      </c>
      <c r="Q187" s="296" t="str">
        <f t="shared" si="7"/>
        <v>NWHZ1CZ1_2688n_25hp85_des0</v>
      </c>
    </row>
    <row r="188" spans="1:17">
      <c r="A188" s="621"/>
      <c r="B188" s="296" t="str">
        <f>AdjustedOutput!A186</f>
        <v>NWHZ1CZ2_2688n_25gshp_des1</v>
      </c>
      <c r="C188" s="310" t="str">
        <f>LEFT(AdjustedOutput!W186,6)</f>
        <v>HZ1CZ2</v>
      </c>
      <c r="D188" s="303">
        <f>AdjustedOutput!F186</f>
        <v>439.57963699999999</v>
      </c>
      <c r="E188" s="303">
        <f>AdjustedOutput!U186</f>
        <v>3307.8454851167389</v>
      </c>
      <c r="F188" s="303">
        <f>IF(MID(B188,18,2)="hp",AdjustedOutput!X186*14.5/analysis!$E$2,AdjustedOutput!X186)</f>
        <v>475.19546800000001</v>
      </c>
      <c r="H188" s="303">
        <f t="shared" si="4"/>
        <v>275.57142943716053</v>
      </c>
      <c r="I188" s="303">
        <f t="shared" si="5"/>
        <v>93.923025642857056</v>
      </c>
      <c r="J188" s="303">
        <f>AdjustedOutput!Y186*$H$1</f>
        <v>1252.7593919999999</v>
      </c>
      <c r="M188" s="303">
        <f t="shared" si="6"/>
        <v>1622.2538470800175</v>
      </c>
      <c r="Q188" s="296" t="str">
        <f t="shared" si="7"/>
        <v>NWHZ1CZ2_2688n_25hp85_des0</v>
      </c>
    </row>
    <row r="189" spans="1:17">
      <c r="A189" s="621"/>
      <c r="B189" s="296" t="str">
        <f>AdjustedOutput!A187</f>
        <v>NWHZ1CZ3_2688n_25gshp_des1</v>
      </c>
      <c r="C189" s="310" t="str">
        <f>LEFT(AdjustedOutput!W187,6)</f>
        <v>HZ1CZ3</v>
      </c>
      <c r="D189" s="303">
        <f>AdjustedOutput!F187</f>
        <v>439.57963699999999</v>
      </c>
      <c r="E189" s="303">
        <f>AdjustedOutput!U187</f>
        <v>3307.8454851167389</v>
      </c>
      <c r="F189" s="303">
        <f>IF(MID(B189,18,2)="hp",AdjustedOutput!X187*14.5/analysis!$E$2,AdjustedOutput!X187)</f>
        <v>765.57208400000002</v>
      </c>
      <c r="H189" s="303">
        <f t="shared" si="4"/>
        <v>275.57142943716053</v>
      </c>
      <c r="I189" s="303">
        <f t="shared" si="5"/>
        <v>204.8935864642857</v>
      </c>
      <c r="J189" s="303">
        <f>AdjustedOutput!Y187*$H$1</f>
        <v>1252.7593919999999</v>
      </c>
      <c r="M189" s="303">
        <f t="shared" si="6"/>
        <v>1733.2244079014463</v>
      </c>
      <c r="Q189" s="296" t="str">
        <f t="shared" si="7"/>
        <v>NWHZ1CZ3_2688n_25hp85_des0</v>
      </c>
    </row>
    <row r="190" spans="1:17">
      <c r="A190" s="621"/>
      <c r="B190" s="296" t="str">
        <f>AdjustedOutput!A188</f>
        <v>WxHZ1CZ1_2688e_25gshp_des1</v>
      </c>
      <c r="C190" s="310" t="str">
        <f>LEFT(AdjustedOutput!W188,6)</f>
        <v>HZ1CZ1</v>
      </c>
      <c r="D190" s="303">
        <f>AdjustedOutput!F188</f>
        <v>474.02737200000001</v>
      </c>
      <c r="E190" s="303">
        <f>AdjustedOutput!U188</f>
        <v>3589.8197291032679</v>
      </c>
      <c r="F190" s="303">
        <f>IF(MID(B190,18,2)="hp",AdjustedOutput!X188*14.5/analysis!$E$2,AdjustedOutput!X188)</f>
        <v>254.056308</v>
      </c>
      <c r="H190" s="303">
        <f t="shared" si="4"/>
        <v>308.05790806569848</v>
      </c>
      <c r="I190" s="303">
        <f t="shared" si="5"/>
        <v>29.88146364285717</v>
      </c>
      <c r="J190" s="303">
        <f>AdjustedOutput!Y188*$H$1</f>
        <v>1380.16221</v>
      </c>
      <c r="M190" s="303">
        <f t="shared" si="6"/>
        <v>1718.1015817085556</v>
      </c>
      <c r="Q190" s="296" t="str">
        <f t="shared" si="7"/>
        <v>WxHZ1CZ1_2688e_25hp85_des0</v>
      </c>
    </row>
    <row r="191" spans="1:17">
      <c r="A191" s="621"/>
      <c r="B191" s="296" t="str">
        <f>AdjustedOutput!A189</f>
        <v>WxHZ1CZ2_2688e_25gshp_des1</v>
      </c>
      <c r="C191" s="310" t="str">
        <f>LEFT(AdjustedOutput!W189,6)</f>
        <v>HZ1CZ2</v>
      </c>
      <c r="D191" s="303">
        <f>AdjustedOutput!F189</f>
        <v>474.02737200000001</v>
      </c>
      <c r="E191" s="303">
        <f>AdjustedOutput!U189</f>
        <v>3589.8197291032679</v>
      </c>
      <c r="F191" s="303">
        <f>IF(MID(B191,18,2)="hp",AdjustedOutput!X189*14.5/analysis!$E$2,AdjustedOutput!X189)</f>
        <v>485.67804599999999</v>
      </c>
      <c r="H191" s="303">
        <f t="shared" si="4"/>
        <v>308.05790806569848</v>
      </c>
      <c r="I191" s="303">
        <f t="shared" si="5"/>
        <v>98.762240321428635</v>
      </c>
      <c r="J191" s="303">
        <f>AdjustedOutput!Y189*$H$1</f>
        <v>1380.16221</v>
      </c>
      <c r="M191" s="303">
        <f t="shared" si="6"/>
        <v>1786.9823583871271</v>
      </c>
      <c r="Q191" s="296" t="str">
        <f t="shared" si="7"/>
        <v>WxHZ1CZ2_2688e_25hp85_des0</v>
      </c>
    </row>
    <row r="192" spans="1:17">
      <c r="A192" s="621"/>
      <c r="B192" s="296" t="str">
        <f>AdjustedOutput!A190</f>
        <v>WxHZ1CZ3_2688e_25gshp_des1</v>
      </c>
      <c r="C192" s="310" t="str">
        <f>LEFT(AdjustedOutput!W190,6)</f>
        <v>HZ1CZ3</v>
      </c>
      <c r="D192" s="303">
        <f>AdjustedOutput!F190</f>
        <v>474.02737200000001</v>
      </c>
      <c r="E192" s="303">
        <f>AdjustedOutput!U190</f>
        <v>3589.8197291032679</v>
      </c>
      <c r="F192" s="303">
        <f>IF(MID(B192,18,2)="hp",AdjustedOutput!X190*14.5/analysis!$E$2,AdjustedOutput!X190)</f>
        <v>789.33243600000003</v>
      </c>
      <c r="H192" s="303">
        <f t="shared" si="4"/>
        <v>308.05790806569848</v>
      </c>
      <c r="I192" s="303">
        <f t="shared" si="5"/>
        <v>215.96770821428572</v>
      </c>
      <c r="J192" s="303">
        <f>AdjustedOutput!Y190*$H$1</f>
        <v>1380.16221</v>
      </c>
      <c r="M192" s="303">
        <f t="shared" si="6"/>
        <v>1904.1878262799842</v>
      </c>
      <c r="Q192" s="296" t="str">
        <f t="shared" si="7"/>
        <v>WxHZ1CZ3_2688e_25hp85_des0</v>
      </c>
    </row>
    <row r="193" spans="1:17">
      <c r="A193" s="621"/>
      <c r="B193" s="296" t="str">
        <f>AdjustedOutput!A191</f>
        <v>NWHZ2CZ1_2688n_25gshp_des1</v>
      </c>
      <c r="C193" s="310" t="str">
        <f>LEFT(AdjustedOutput!W191,6)</f>
        <v>HZ2CZ1</v>
      </c>
      <c r="D193" s="303">
        <f>AdjustedOutput!F191</f>
        <v>445.63036699999998</v>
      </c>
      <c r="E193" s="303">
        <f>AdjustedOutput!U191</f>
        <v>4372.6705794816544</v>
      </c>
      <c r="F193" s="303">
        <f>IF(MID(B193,18,2)="hp",AdjustedOutput!X191*14.5/analysis!$E$2,AdjustedOutput!X191)</f>
        <v>254.21410800000001</v>
      </c>
      <c r="H193" s="303">
        <f t="shared" si="4"/>
        <v>1008.8360612936358</v>
      </c>
      <c r="I193" s="303">
        <f t="shared" si="5"/>
        <v>28.271226607142864</v>
      </c>
      <c r="J193" s="303">
        <f>AdjustedOutput!Y191*$H$1</f>
        <v>1774.6605795</v>
      </c>
      <c r="M193" s="303">
        <f t="shared" si="6"/>
        <v>2811.7678674007784</v>
      </c>
      <c r="Q193" s="296" t="str">
        <f t="shared" si="7"/>
        <v>NWHZ2CZ1_2688n_25hp85_des0</v>
      </c>
    </row>
    <row r="194" spans="1:17">
      <c r="A194" s="621"/>
      <c r="B194" s="296" t="str">
        <f>AdjustedOutput!A192</f>
        <v>NWHZ2CZ2_2688n_25gshp_des1</v>
      </c>
      <c r="C194" s="310" t="str">
        <f>LEFT(AdjustedOutput!W192,6)</f>
        <v>HZ2CZ2</v>
      </c>
      <c r="D194" s="303">
        <f>AdjustedOutput!F192</f>
        <v>445.63036699999998</v>
      </c>
      <c r="E194" s="303">
        <f>AdjustedOutput!U192</f>
        <v>4372.6705794816544</v>
      </c>
      <c r="F194" s="303">
        <f>IF(MID(B194,18,2)="hp",AdjustedOutput!X192*14.5/analysis!$E$2,AdjustedOutput!X192)</f>
        <v>475.19546800000001</v>
      </c>
      <c r="H194" s="303">
        <f t="shared" si="4"/>
        <v>1008.8360612936358</v>
      </c>
      <c r="I194" s="303">
        <f t="shared" si="5"/>
        <v>93.923025642857056</v>
      </c>
      <c r="J194" s="303">
        <f>AdjustedOutput!Y192*$H$1</f>
        <v>1774.6605795</v>
      </c>
      <c r="M194" s="303">
        <f t="shared" si="6"/>
        <v>2877.4196664364927</v>
      </c>
      <c r="Q194" s="296" t="str">
        <f t="shared" si="7"/>
        <v>NWHZ2CZ2_2688n_25hp85_des0</v>
      </c>
    </row>
    <row r="195" spans="1:17">
      <c r="A195" s="621"/>
      <c r="B195" s="296" t="str">
        <f>AdjustedOutput!A193</f>
        <v>NWHZ2CZ3_2688n_25gshp_des1</v>
      </c>
      <c r="C195" s="310" t="str">
        <f>LEFT(AdjustedOutput!W193,6)</f>
        <v>HZ2CZ3</v>
      </c>
      <c r="D195" s="303">
        <f>AdjustedOutput!F193</f>
        <v>445.63036699999998</v>
      </c>
      <c r="E195" s="303">
        <f>AdjustedOutput!U193</f>
        <v>4372.6705794816544</v>
      </c>
      <c r="F195" s="303">
        <f>IF(MID(B195,18,2)="hp",AdjustedOutput!X193*14.5/analysis!$E$2,AdjustedOutput!X193)</f>
        <v>765.57208400000002</v>
      </c>
      <c r="H195" s="303">
        <f t="shared" si="4"/>
        <v>1008.8360612936358</v>
      </c>
      <c r="I195" s="303">
        <f t="shared" si="5"/>
        <v>204.8935864642857</v>
      </c>
      <c r="J195" s="303">
        <f>AdjustedOutput!Y193*$H$1</f>
        <v>1774.6605795</v>
      </c>
      <c r="M195" s="303">
        <f t="shared" si="6"/>
        <v>2988.3902272579217</v>
      </c>
      <c r="Q195" s="296" t="str">
        <f t="shared" si="7"/>
        <v>NWHZ2CZ3_2688n_25hp85_des0</v>
      </c>
    </row>
    <row r="196" spans="1:17">
      <c r="A196" s="621"/>
      <c r="B196" s="296" t="str">
        <f>AdjustedOutput!A194</f>
        <v>WxHZ2CZ1_2688e_25gshp_des1</v>
      </c>
      <c r="C196" s="310" t="str">
        <f>LEFT(AdjustedOutput!W194,6)</f>
        <v>HZ2CZ1</v>
      </c>
      <c r="D196" s="303">
        <f>AdjustedOutput!F194</f>
        <v>480.15157099999999</v>
      </c>
      <c r="E196" s="303">
        <f>AdjustedOutput!U194</f>
        <v>4709.4490404520566</v>
      </c>
      <c r="F196" s="303">
        <f>IF(MID(B196,18,2)="hp",AdjustedOutput!X194*14.5/analysis!$E$2,AdjustedOutput!X194)</f>
        <v>254.056308</v>
      </c>
      <c r="H196" s="303">
        <f t="shared" si="4"/>
        <v>1107.1908453782962</v>
      </c>
      <c r="I196" s="303">
        <f t="shared" si="5"/>
        <v>29.88146364285717</v>
      </c>
      <c r="J196" s="303">
        <f>AdjustedOutput!Y194*$H$1</f>
        <v>1936.6684312500001</v>
      </c>
      <c r="M196" s="303">
        <f t="shared" si="6"/>
        <v>3073.7407402711533</v>
      </c>
      <c r="Q196" s="296" t="str">
        <f t="shared" si="7"/>
        <v>WxHZ2CZ1_2688e_25hp85_des0</v>
      </c>
    </row>
    <row r="197" spans="1:17">
      <c r="A197" s="621"/>
      <c r="B197" s="296" t="str">
        <f>AdjustedOutput!A195</f>
        <v>WxHZ2CZ2_2688e_25gshp_des1</v>
      </c>
      <c r="C197" s="310" t="str">
        <f>LEFT(AdjustedOutput!W195,6)</f>
        <v>HZ2CZ2</v>
      </c>
      <c r="D197" s="303">
        <f>AdjustedOutput!F195</f>
        <v>480.15157099999999</v>
      </c>
      <c r="E197" s="303">
        <f>AdjustedOutput!U195</f>
        <v>4709.4490404520566</v>
      </c>
      <c r="F197" s="303">
        <f>IF(MID(B197,18,2)="hp",AdjustedOutput!X195*14.5/analysis!$E$2,AdjustedOutput!X195)</f>
        <v>485.67804599999999</v>
      </c>
      <c r="H197" s="303">
        <f t="shared" si="4"/>
        <v>1107.1908453782962</v>
      </c>
      <c r="I197" s="303">
        <f t="shared" si="5"/>
        <v>98.762240321428635</v>
      </c>
      <c r="J197" s="303">
        <f>AdjustedOutput!Y195*$H$1</f>
        <v>1936.6684312500001</v>
      </c>
      <c r="M197" s="303">
        <f t="shared" si="6"/>
        <v>3142.621516949725</v>
      </c>
      <c r="Q197" s="296" t="str">
        <f t="shared" si="7"/>
        <v>WxHZ2CZ2_2688e_25hp85_des0</v>
      </c>
    </row>
    <row r="198" spans="1:17">
      <c r="A198" s="621"/>
      <c r="B198" s="296" t="str">
        <f>AdjustedOutput!A196</f>
        <v>WxHZ2CZ3_2688e_25gshp_des1</v>
      </c>
      <c r="C198" s="310" t="str">
        <f>LEFT(AdjustedOutput!W196,6)</f>
        <v>HZ2CZ3</v>
      </c>
      <c r="D198" s="303">
        <f>AdjustedOutput!F196</f>
        <v>480.15157099999999</v>
      </c>
      <c r="E198" s="303">
        <f>AdjustedOutput!U196</f>
        <v>4709.4490404520566</v>
      </c>
      <c r="F198" s="303">
        <f>IF(MID(B198,18,2)="hp",AdjustedOutput!X196*14.5/analysis!$E$2,AdjustedOutput!X196)</f>
        <v>789.33243600000003</v>
      </c>
      <c r="H198" s="303">
        <f t="shared" si="4"/>
        <v>1107.1908453782962</v>
      </c>
      <c r="I198" s="303">
        <f t="shared" si="5"/>
        <v>215.96770821428572</v>
      </c>
      <c r="J198" s="303">
        <f>AdjustedOutput!Y196*$H$1</f>
        <v>1936.6684312500001</v>
      </c>
      <c r="M198" s="303">
        <f t="shared" si="6"/>
        <v>3259.8269848425821</v>
      </c>
      <c r="Q198" s="296" t="str">
        <f t="shared" si="7"/>
        <v>WxHZ2CZ3_2688e_25hp85_des0</v>
      </c>
    </row>
    <row r="199" spans="1:17">
      <c r="A199" s="621"/>
      <c r="B199" s="296" t="str">
        <f>AdjustedOutput!A197</f>
        <v>NWHZ3CZ1_2688n_25gshp_des1</v>
      </c>
      <c r="C199" s="310" t="str">
        <f>LEFT(AdjustedOutput!W197,6)</f>
        <v>HZ3CZ1</v>
      </c>
      <c r="D199" s="303">
        <f>AdjustedOutput!F197</f>
        <v>438.66687400000001</v>
      </c>
      <c r="E199" s="303">
        <f>AdjustedOutput!U197</f>
        <v>4763.7632770108921</v>
      </c>
      <c r="F199" s="303">
        <f>IF(MID(B199,18,2)="hp",AdjustedOutput!X197*14.5/analysis!$E$2,AdjustedOutput!X197)</f>
        <v>254.21410800000001</v>
      </c>
      <c r="H199" s="303">
        <f t="shared" si="4"/>
        <v>1621.6116962802525</v>
      </c>
      <c r="I199" s="303">
        <f t="shared" si="5"/>
        <v>28.271226607142864</v>
      </c>
      <c r="J199" s="303">
        <f>AdjustedOutput!Y197*$H$1</f>
        <v>2073.9966795</v>
      </c>
      <c r="M199" s="303">
        <f t="shared" si="6"/>
        <v>3723.8796023873956</v>
      </c>
      <c r="Q199" s="296" t="str">
        <f t="shared" si="7"/>
        <v>NWHZ3CZ1_2688n_25hp85_des0</v>
      </c>
    </row>
    <row r="200" spans="1:17">
      <c r="A200" s="621"/>
      <c r="B200" s="296" t="str">
        <f>AdjustedOutput!A198</f>
        <v>NWHZ3CZ2_2688n_25gshp_des1</v>
      </c>
      <c r="C200" s="310" t="str">
        <f>LEFT(AdjustedOutput!W198,6)</f>
        <v>HZ3CZ2</v>
      </c>
      <c r="D200" s="303">
        <f>AdjustedOutput!F198</f>
        <v>438.66687400000001</v>
      </c>
      <c r="E200" s="303">
        <f>AdjustedOutput!U198</f>
        <v>4763.7632770108921</v>
      </c>
      <c r="F200" s="303">
        <f>IF(MID(B200,18,2)="hp",AdjustedOutput!X198*14.5/analysis!$E$2,AdjustedOutput!X198)</f>
        <v>475.19546800000001</v>
      </c>
      <c r="H200" s="303">
        <f t="shared" si="4"/>
        <v>1621.6116962802525</v>
      </c>
      <c r="I200" s="303">
        <f t="shared" si="5"/>
        <v>93.923025642857056</v>
      </c>
      <c r="J200" s="303">
        <f>AdjustedOutput!Y198*$H$1</f>
        <v>2073.9966795</v>
      </c>
      <c r="M200" s="303">
        <f t="shared" si="6"/>
        <v>3789.5314014231099</v>
      </c>
      <c r="Q200" s="296" t="str">
        <f t="shared" si="7"/>
        <v>NWHZ3CZ2_2688n_25hp85_des0</v>
      </c>
    </row>
    <row r="201" spans="1:17">
      <c r="A201" s="621"/>
      <c r="B201" s="296" t="str">
        <f>AdjustedOutput!A199</f>
        <v>NWHZ3CZ3_2688n_25gshp_des1</v>
      </c>
      <c r="C201" s="310" t="str">
        <f>LEFT(AdjustedOutput!W199,6)</f>
        <v>HZ3CZ3</v>
      </c>
      <c r="D201" s="303">
        <f>AdjustedOutput!F199</f>
        <v>438.66687400000001</v>
      </c>
      <c r="E201" s="303">
        <f>AdjustedOutput!U199</f>
        <v>4763.7632770108921</v>
      </c>
      <c r="F201" s="303">
        <f>IF(MID(B201,18,2)="hp",AdjustedOutput!X199*14.5/analysis!$E$2,AdjustedOutput!X199)</f>
        <v>765.57208400000002</v>
      </c>
      <c r="H201" s="303">
        <f t="shared" si="4"/>
        <v>1621.6116962802525</v>
      </c>
      <c r="I201" s="303">
        <f t="shared" si="5"/>
        <v>204.8935864642857</v>
      </c>
      <c r="J201" s="303">
        <f>AdjustedOutput!Y199*$H$1</f>
        <v>2073.9966795</v>
      </c>
      <c r="M201" s="303">
        <f t="shared" si="6"/>
        <v>3900.5019622445384</v>
      </c>
      <c r="Q201" s="296" t="str">
        <f t="shared" si="7"/>
        <v>NWHZ3CZ3_2688n_25hp85_des0</v>
      </c>
    </row>
    <row r="202" spans="1:17">
      <c r="A202" s="621"/>
      <c r="B202" s="296" t="str">
        <f>AdjustedOutput!A200</f>
        <v>WxHZ3CZ1_2688e_25gshp_des1</v>
      </c>
      <c r="C202" s="310" t="str">
        <f>LEFT(AdjustedOutput!W200,6)</f>
        <v>HZ3CZ1</v>
      </c>
      <c r="D202" s="303">
        <f>AdjustedOutput!F200</f>
        <v>472.56832600000001</v>
      </c>
      <c r="E202" s="303">
        <f>AdjustedOutput!U200</f>
        <v>5133.0296550648491</v>
      </c>
      <c r="F202" s="303">
        <f>IF(MID(B202,18,2)="hp",AdjustedOutput!X200*14.5/analysis!$E$2,AdjustedOutput!X200)</f>
        <v>254.056308</v>
      </c>
      <c r="H202" s="303">
        <f t="shared" si="4"/>
        <v>1771.4179921946388</v>
      </c>
      <c r="I202" s="303">
        <f t="shared" si="5"/>
        <v>29.88146364285717</v>
      </c>
      <c r="J202" s="303">
        <f>AdjustedOutput!Y200*$H$1</f>
        <v>2254.0880677499999</v>
      </c>
      <c r="M202" s="303">
        <f t="shared" si="6"/>
        <v>4055.3875235874957</v>
      </c>
      <c r="Q202" s="296" t="str">
        <f t="shared" si="7"/>
        <v>WxHZ3CZ1_2688e_25hp85_des0</v>
      </c>
    </row>
    <row r="203" spans="1:17">
      <c r="A203" s="621"/>
      <c r="B203" s="296" t="str">
        <f>AdjustedOutput!A201</f>
        <v>WxHZ3CZ2_2688e_25gshp_des1</v>
      </c>
      <c r="C203" s="310" t="str">
        <f>LEFT(AdjustedOutput!W201,6)</f>
        <v>HZ3CZ2</v>
      </c>
      <c r="D203" s="303">
        <f>AdjustedOutput!F201</f>
        <v>472.56832600000001</v>
      </c>
      <c r="E203" s="303">
        <f>AdjustedOutput!U201</f>
        <v>5133.0296550648491</v>
      </c>
      <c r="F203" s="303">
        <f>IF(MID(B203,18,2)="hp",AdjustedOutput!X201*14.5/analysis!$E$2,AdjustedOutput!X201)</f>
        <v>485.67804599999999</v>
      </c>
      <c r="H203" s="303">
        <f t="shared" si="4"/>
        <v>1771.4179921946388</v>
      </c>
      <c r="I203" s="303">
        <f t="shared" si="5"/>
        <v>98.762240321428635</v>
      </c>
      <c r="J203" s="303">
        <f>AdjustedOutput!Y201*$H$1</f>
        <v>2254.0880677499999</v>
      </c>
      <c r="M203" s="303">
        <f t="shared" si="6"/>
        <v>4124.2683002660669</v>
      </c>
      <c r="Q203" s="296" t="str">
        <f t="shared" si="7"/>
        <v>WxHZ3CZ2_2688e_25hp85_des0</v>
      </c>
    </row>
    <row r="204" spans="1:17">
      <c r="A204" s="621"/>
      <c r="B204" s="296" t="str">
        <f>AdjustedOutput!A202</f>
        <v>WxHZ3CZ3_2688e_25gshp_des1</v>
      </c>
      <c r="C204" s="310" t="str">
        <f>LEFT(AdjustedOutput!W202,6)</f>
        <v>HZ3CZ3</v>
      </c>
      <c r="D204" s="303">
        <f>AdjustedOutput!F202</f>
        <v>472.56832600000001</v>
      </c>
      <c r="E204" s="303">
        <f>AdjustedOutput!U202</f>
        <v>5133.0296550648491</v>
      </c>
      <c r="F204" s="303">
        <f>IF(MID(B204,18,2)="hp",AdjustedOutput!X202*14.5/analysis!$E$2,AdjustedOutput!X202)</f>
        <v>789.33243600000003</v>
      </c>
      <c r="H204" s="303">
        <f t="shared" si="4"/>
        <v>1771.4179921946388</v>
      </c>
      <c r="I204" s="303">
        <f t="shared" si="5"/>
        <v>215.96770821428572</v>
      </c>
      <c r="J204" s="303">
        <f>AdjustedOutput!Y202*$H$1</f>
        <v>2254.0880677499999</v>
      </c>
      <c r="M204" s="303">
        <f t="shared" si="6"/>
        <v>4241.4737681589249</v>
      </c>
      <c r="Q204" s="296" t="str">
        <f t="shared" si="7"/>
        <v>WxHZ3CZ3_2688e_25hp85_des0</v>
      </c>
    </row>
    <row r="205" spans="1:17">
      <c r="A205" s="621"/>
      <c r="B205" s="296" t="str">
        <f>AdjustedOutput!A203</f>
        <v>NWHZ1CZ1_5000n_35gshp_des1</v>
      </c>
      <c r="C205" s="310" t="str">
        <f>LEFT(AdjustedOutput!W203,6)</f>
        <v>HZ1CZ1</v>
      </c>
      <c r="D205" s="303">
        <f>AdjustedOutput!F203</f>
        <v>764.57521099999997</v>
      </c>
      <c r="E205" s="303">
        <f>AdjustedOutput!U203</f>
        <v>6327.450177123088</v>
      </c>
      <c r="F205" s="303">
        <f>IF(MID(B205,18,2)="hp",AdjustedOutput!X203*14.5/analysis!$E$2,AdjustedOutput!X203)</f>
        <v>434.721857</v>
      </c>
      <c r="H205" s="303">
        <f t="shared" si="4"/>
        <v>1068.7551114280368</v>
      </c>
      <c r="I205" s="303">
        <f t="shared" si="5"/>
        <v>58.760069142857105</v>
      </c>
      <c r="J205" s="303">
        <f>AdjustedOutput!Y203*$H$1</f>
        <v>1671.5937367499998</v>
      </c>
      <c r="M205" s="303">
        <f t="shared" si="6"/>
        <v>2799.1089173208939</v>
      </c>
      <c r="Q205" s="296" t="str">
        <f t="shared" si="7"/>
        <v>NWHZ1CZ1_5000n_35hp85_des0</v>
      </c>
    </row>
    <row r="206" spans="1:17">
      <c r="A206" s="621"/>
      <c r="B206" s="296" t="str">
        <f>AdjustedOutput!A204</f>
        <v>NWHZ1CZ2_5000n_35gshp_des1</v>
      </c>
      <c r="C206" s="310" t="str">
        <f>LEFT(AdjustedOutput!W204,6)</f>
        <v>HZ1CZ2</v>
      </c>
      <c r="D206" s="303">
        <f>AdjustedOutput!F204</f>
        <v>764.57521099999997</v>
      </c>
      <c r="E206" s="303">
        <f>AdjustedOutput!U204</f>
        <v>6327.450177123088</v>
      </c>
      <c r="F206" s="303">
        <f>IF(MID(B206,18,2)="hp",AdjustedOutput!X204*14.5/analysis!$E$2,AdjustedOutput!X204)</f>
        <v>850.19493699999998</v>
      </c>
      <c r="H206" s="303">
        <f t="shared" si="4"/>
        <v>1068.7551114280368</v>
      </c>
      <c r="I206" s="303">
        <f t="shared" si="5"/>
        <v>172.8650609642857</v>
      </c>
      <c r="J206" s="303">
        <f>AdjustedOutput!Y204*$H$1</f>
        <v>1671.5937367499998</v>
      </c>
      <c r="M206" s="303">
        <f t="shared" si="6"/>
        <v>2913.2139091423223</v>
      </c>
      <c r="Q206" s="296" t="str">
        <f t="shared" si="7"/>
        <v>NWHZ1CZ2_5000n_35hp85_des0</v>
      </c>
    </row>
    <row r="207" spans="1:17">
      <c r="A207" s="621"/>
      <c r="B207" s="296" t="str">
        <f>AdjustedOutput!A205</f>
        <v>NWHZ1CZ3_5000n_35gshp_des1</v>
      </c>
      <c r="C207" s="310" t="str">
        <f>LEFT(AdjustedOutput!W205,6)</f>
        <v>HZ1CZ3</v>
      </c>
      <c r="D207" s="303">
        <f>AdjustedOutput!F205</f>
        <v>764.57521099999997</v>
      </c>
      <c r="E207" s="303">
        <f>AdjustedOutput!U205</f>
        <v>6327.450177123088</v>
      </c>
      <c r="F207" s="303">
        <f>IF(MID(B207,18,2)="hp",AdjustedOutput!X205*14.5/analysis!$E$2,AdjustedOutput!X205)</f>
        <v>1391.1645249999999</v>
      </c>
      <c r="H207" s="303">
        <f t="shared" ref="H207:H222" si="8">VLOOKUP(Q207,B$7:F$78,4,FALSE)-E207</f>
        <v>1068.7551114280368</v>
      </c>
      <c r="I207" s="303">
        <f t="shared" ref="I207:I222" si="9">VLOOKUP(Q207,B$7:F$78,5,FALSE)-F207</f>
        <v>361.69300614285726</v>
      </c>
      <c r="J207" s="303">
        <f>AdjustedOutput!Y205*$H$1</f>
        <v>1671.5937367499998</v>
      </c>
      <c r="M207" s="303">
        <f t="shared" ref="M207:M222" si="10">SUM(H207:J207)</f>
        <v>3102.0418543208939</v>
      </c>
      <c r="Q207" s="296" t="str">
        <f t="shared" ref="Q207:Q222" si="11">LEFT(B207,17)&amp;"hp85"&amp;MID(B207,22,4)&amp;"0"</f>
        <v>NWHZ1CZ3_5000n_35hp85_des0</v>
      </c>
    </row>
    <row r="208" spans="1:17">
      <c r="A208" s="621"/>
      <c r="B208" s="296" t="str">
        <f>AdjustedOutput!A206</f>
        <v>WxHZ1CZ1_5000e_40gshp_des1</v>
      </c>
      <c r="C208" s="310" t="str">
        <f>LEFT(AdjustedOutput!W206,6)</f>
        <v>HZ1CZ1</v>
      </c>
      <c r="D208" s="303">
        <f>AdjustedOutput!F206</f>
        <v>827.581726</v>
      </c>
      <c r="E208" s="303">
        <f>AdjustedOutput!U206</f>
        <v>6575.4509560641391</v>
      </c>
      <c r="F208" s="303">
        <f>IF(MID(B208,18,2)="hp",AdjustedOutput!X206*14.5/analysis!$E$2,AdjustedOutput!X206)</f>
        <v>444.79185899999999</v>
      </c>
      <c r="H208" s="303">
        <f t="shared" si="8"/>
        <v>1132.4234015861102</v>
      </c>
      <c r="I208" s="303">
        <f t="shared" si="9"/>
        <v>61.380484749999994</v>
      </c>
      <c r="J208" s="303">
        <f>AdjustedOutput!Y206*$H$1</f>
        <v>1616.9923642499998</v>
      </c>
      <c r="M208" s="303">
        <f t="shared" si="10"/>
        <v>2810.7962505861101</v>
      </c>
      <c r="Q208" s="296" t="str">
        <f t="shared" si="11"/>
        <v>WxHZ1CZ1_5000e_40hp85_des0</v>
      </c>
    </row>
    <row r="209" spans="1:19">
      <c r="A209" s="621"/>
      <c r="B209" s="296" t="str">
        <f>AdjustedOutput!A207</f>
        <v>WxHZ1CZ2_5000e_40gshp_des1</v>
      </c>
      <c r="C209" s="310" t="str">
        <f>LEFT(AdjustedOutput!W207,6)</f>
        <v>HZ1CZ2</v>
      </c>
      <c r="D209" s="303">
        <f>AdjustedOutput!F207</f>
        <v>827.581726</v>
      </c>
      <c r="E209" s="303">
        <f>AdjustedOutput!U207</f>
        <v>6575.4509560641391</v>
      </c>
      <c r="F209" s="303">
        <f>IF(MID(B209,18,2)="hp",AdjustedOutput!X207*14.5/analysis!$E$2,AdjustedOutput!X207)</f>
        <v>881.21014200000002</v>
      </c>
      <c r="H209" s="303">
        <f t="shared" si="8"/>
        <v>1132.4234015861102</v>
      </c>
      <c r="I209" s="303">
        <f t="shared" si="9"/>
        <v>181.79869203571423</v>
      </c>
      <c r="J209" s="303">
        <f>AdjustedOutput!Y207*$H$1</f>
        <v>1616.9923642499998</v>
      </c>
      <c r="M209" s="303">
        <f t="shared" si="10"/>
        <v>2931.2144578718244</v>
      </c>
      <c r="Q209" s="296" t="str">
        <f t="shared" si="11"/>
        <v>WxHZ1CZ2_5000e_40hp85_des0</v>
      </c>
    </row>
    <row r="210" spans="1:19">
      <c r="A210" s="621"/>
      <c r="B210" s="296" t="str">
        <f>AdjustedOutput!A208</f>
        <v>WxHZ1CZ3_5000e_40gshp_des1</v>
      </c>
      <c r="C210" s="310" t="str">
        <f>LEFT(AdjustedOutput!W208,6)</f>
        <v>HZ1CZ3</v>
      </c>
      <c r="D210" s="303">
        <f>AdjustedOutput!F208</f>
        <v>827.581726</v>
      </c>
      <c r="E210" s="303">
        <f>AdjustedOutput!U208</f>
        <v>6575.4509560641391</v>
      </c>
      <c r="F210" s="303">
        <f>IF(MID(B210,18,2)="hp",AdjustedOutput!X208*14.5/analysis!$E$2,AdjustedOutput!X208)</f>
        <v>1449.7975160000001</v>
      </c>
      <c r="H210" s="303">
        <f t="shared" si="8"/>
        <v>1132.4234015861102</v>
      </c>
      <c r="I210" s="303">
        <f t="shared" si="9"/>
        <v>381.6730038571427</v>
      </c>
      <c r="J210" s="303">
        <f>AdjustedOutput!Y208*$H$1</f>
        <v>1616.9923642499998</v>
      </c>
      <c r="M210" s="303">
        <f t="shared" si="10"/>
        <v>3131.0887696932527</v>
      </c>
      <c r="Q210" s="296" t="str">
        <f t="shared" si="11"/>
        <v>WxHZ1CZ3_5000e_40hp85_des0</v>
      </c>
    </row>
    <row r="211" spans="1:19">
      <c r="A211" s="621"/>
      <c r="B211" s="296" t="str">
        <f>AdjustedOutput!A209</f>
        <v>NWHZ2CZ1_5000n_35gshp_des1</v>
      </c>
      <c r="C211" s="310" t="str">
        <f>LEFT(AdjustedOutput!W209,6)</f>
        <v>HZ2CZ1</v>
      </c>
      <c r="D211" s="303">
        <f>AdjustedOutput!F209</f>
        <v>781.48993599999994</v>
      </c>
      <c r="E211" s="303">
        <f>AdjustedOutput!U209</f>
        <v>8515.2656697962775</v>
      </c>
      <c r="F211" s="303">
        <f>IF(MID(B211,18,2)="hp",AdjustedOutput!X209*14.5/analysis!$E$2,AdjustedOutput!X209)</f>
        <v>434.721857</v>
      </c>
      <c r="H211" s="303">
        <f t="shared" si="8"/>
        <v>2715.5016994170273</v>
      </c>
      <c r="I211" s="303">
        <f t="shared" si="9"/>
        <v>58.760069142857105</v>
      </c>
      <c r="J211" s="303">
        <f>AdjustedOutput!Y209*$H$1</f>
        <v>2289.4819507500001</v>
      </c>
      <c r="M211" s="303">
        <f t="shared" si="10"/>
        <v>5063.7437193098849</v>
      </c>
      <c r="Q211" s="296" t="str">
        <f t="shared" si="11"/>
        <v>NWHZ2CZ1_5000n_35hp85_des0</v>
      </c>
    </row>
    <row r="212" spans="1:19">
      <c r="A212" s="621"/>
      <c r="B212" s="296" t="str">
        <f>AdjustedOutput!A210</f>
        <v>NWHZ2CZ2_5000n_35gshp_des1</v>
      </c>
      <c r="C212" s="310" t="str">
        <f>LEFT(AdjustedOutput!W210,6)</f>
        <v>HZ2CZ2</v>
      </c>
      <c r="D212" s="303">
        <f>AdjustedOutput!F210</f>
        <v>781.48993599999994</v>
      </c>
      <c r="E212" s="303">
        <f>AdjustedOutput!U210</f>
        <v>8515.2656697962775</v>
      </c>
      <c r="F212" s="303">
        <f>IF(MID(B212,18,2)="hp",AdjustedOutput!X210*14.5/analysis!$E$2,AdjustedOutput!X210)</f>
        <v>850.19493699999998</v>
      </c>
      <c r="H212" s="303">
        <f t="shared" si="8"/>
        <v>2715.5016994170273</v>
      </c>
      <c r="I212" s="303">
        <f t="shared" si="9"/>
        <v>172.8650609642857</v>
      </c>
      <c r="J212" s="303">
        <f>AdjustedOutput!Y210*$H$1</f>
        <v>2289.4819507500001</v>
      </c>
      <c r="M212" s="303">
        <f t="shared" si="10"/>
        <v>5177.8487111313134</v>
      </c>
      <c r="Q212" s="296" t="str">
        <f t="shared" si="11"/>
        <v>NWHZ2CZ2_5000n_35hp85_des0</v>
      </c>
    </row>
    <row r="213" spans="1:19">
      <c r="A213" s="621"/>
      <c r="B213" s="296" t="str">
        <f>AdjustedOutput!A211</f>
        <v>NWHZ2CZ3_5000n_35gshp_des1</v>
      </c>
      <c r="C213" s="310" t="str">
        <f>LEFT(AdjustedOutput!W211,6)</f>
        <v>HZ2CZ3</v>
      </c>
      <c r="D213" s="303">
        <f>AdjustedOutput!F211</f>
        <v>781.48993599999994</v>
      </c>
      <c r="E213" s="303">
        <f>AdjustedOutput!U211</f>
        <v>8515.2656697962775</v>
      </c>
      <c r="F213" s="303">
        <f>IF(MID(B213,18,2)="hp",AdjustedOutput!X211*14.5/analysis!$E$2,AdjustedOutput!X211)</f>
        <v>1391.1645249999999</v>
      </c>
      <c r="H213" s="303">
        <f t="shared" si="8"/>
        <v>2715.5016994170273</v>
      </c>
      <c r="I213" s="303">
        <f t="shared" si="9"/>
        <v>361.69300614285726</v>
      </c>
      <c r="J213" s="303">
        <f>AdjustedOutput!Y211*$H$1</f>
        <v>2289.4819507500001</v>
      </c>
      <c r="M213" s="303">
        <f t="shared" si="10"/>
        <v>5366.6766563098845</v>
      </c>
      <c r="Q213" s="296" t="str">
        <f t="shared" si="11"/>
        <v>NWHZ2CZ3_5000n_35hp85_des0</v>
      </c>
    </row>
    <row r="214" spans="1:19">
      <c r="A214" s="621"/>
      <c r="B214" s="296" t="str">
        <f>AdjustedOutput!A212</f>
        <v>WxHZ2CZ1_5000e_40gshp_des1</v>
      </c>
      <c r="C214" s="310" t="str">
        <f>LEFT(AdjustedOutput!W212,6)</f>
        <v>HZ2CZ1</v>
      </c>
      <c r="D214" s="303">
        <f>AdjustedOutput!F212</f>
        <v>845.23039300000005</v>
      </c>
      <c r="E214" s="303">
        <f>AdjustedOutput!U212</f>
        <v>8593.6587956563635</v>
      </c>
      <c r="F214" s="303">
        <f>IF(MID(B214,18,2)="hp",AdjustedOutput!X212*14.5/analysis!$E$2,AdjustedOutput!X212)</f>
        <v>444.79185899999999</v>
      </c>
      <c r="H214" s="303">
        <f t="shared" si="8"/>
        <v>2869.5671714844666</v>
      </c>
      <c r="I214" s="303">
        <f t="shared" si="9"/>
        <v>61.380484749999994</v>
      </c>
      <c r="J214" s="303">
        <f>AdjustedOutput!Y212*$H$1</f>
        <v>2215.71985425</v>
      </c>
      <c r="M214" s="303">
        <f t="shared" si="10"/>
        <v>5146.6675104844671</v>
      </c>
      <c r="Q214" s="296" t="str">
        <f t="shared" si="11"/>
        <v>WxHZ2CZ1_5000e_40hp85_des0</v>
      </c>
    </row>
    <row r="215" spans="1:19">
      <c r="A215" s="621"/>
      <c r="B215" s="296" t="str">
        <f>AdjustedOutput!A213</f>
        <v>WxHZ2CZ2_5000e_40gshp_des1</v>
      </c>
      <c r="C215" s="310" t="str">
        <f>LEFT(AdjustedOutput!W213,6)</f>
        <v>HZ2CZ2</v>
      </c>
      <c r="D215" s="303">
        <f>AdjustedOutput!F213</f>
        <v>845.23039300000005</v>
      </c>
      <c r="E215" s="303">
        <f>AdjustedOutput!U213</f>
        <v>8593.6587956563635</v>
      </c>
      <c r="F215" s="303">
        <f>IF(MID(B215,18,2)="hp",AdjustedOutput!X213*14.5/analysis!$E$2,AdjustedOutput!X213)</f>
        <v>881.21014200000002</v>
      </c>
      <c r="H215" s="303">
        <f t="shared" si="8"/>
        <v>2869.5671714844666</v>
      </c>
      <c r="I215" s="303">
        <f t="shared" si="9"/>
        <v>181.79869203571423</v>
      </c>
      <c r="J215" s="303">
        <f>AdjustedOutput!Y213*$H$1</f>
        <v>2215.71985425</v>
      </c>
      <c r="M215" s="303">
        <f t="shared" si="10"/>
        <v>5267.085717770181</v>
      </c>
      <c r="Q215" s="296" t="str">
        <f t="shared" si="11"/>
        <v>WxHZ2CZ2_5000e_40hp85_des0</v>
      </c>
    </row>
    <row r="216" spans="1:19">
      <c r="A216" s="621"/>
      <c r="B216" s="296" t="str">
        <f>AdjustedOutput!A214</f>
        <v>WxHZ2CZ3_5000e_40gshp_des1</v>
      </c>
      <c r="C216" s="310" t="str">
        <f>LEFT(AdjustedOutput!W214,6)</f>
        <v>HZ2CZ3</v>
      </c>
      <c r="D216" s="303">
        <f>AdjustedOutput!F214</f>
        <v>845.23039300000005</v>
      </c>
      <c r="E216" s="303">
        <f>AdjustedOutput!U214</f>
        <v>8593.6587956563635</v>
      </c>
      <c r="F216" s="303">
        <f>IF(MID(B216,18,2)="hp",AdjustedOutput!X214*14.5/analysis!$E$2,AdjustedOutput!X214)</f>
        <v>1449.7975160000001</v>
      </c>
      <c r="H216" s="303">
        <f t="shared" si="8"/>
        <v>2869.5671714844666</v>
      </c>
      <c r="I216" s="303">
        <f t="shared" si="9"/>
        <v>381.6730038571427</v>
      </c>
      <c r="J216" s="303">
        <f>AdjustedOutput!Y214*$H$1</f>
        <v>2215.71985425</v>
      </c>
      <c r="M216" s="303">
        <f t="shared" si="10"/>
        <v>5466.9600295916098</v>
      </c>
      <c r="Q216" s="296" t="str">
        <f t="shared" si="11"/>
        <v>WxHZ2CZ3_5000e_40hp85_des0</v>
      </c>
    </row>
    <row r="217" spans="1:19">
      <c r="A217" s="621"/>
      <c r="B217" s="296" t="str">
        <f>AdjustedOutput!A215</f>
        <v>NWHZ3CZ1_5000n_35gshp_des1</v>
      </c>
      <c r="C217" s="310" t="str">
        <f>LEFT(AdjustedOutput!W215,6)</f>
        <v>HZ3CZ1</v>
      </c>
      <c r="D217" s="303">
        <f>AdjustedOutput!F215</f>
        <v>770.82066899999995</v>
      </c>
      <c r="E217" s="303">
        <f>AdjustedOutput!U215</f>
        <v>9482.2635117132322</v>
      </c>
      <c r="F217" s="303">
        <f>IF(MID(B217,18,2)="hp",AdjustedOutput!X215*14.5/analysis!$E$2,AdjustedOutput!X215)</f>
        <v>434.721857</v>
      </c>
      <c r="H217" s="303">
        <f t="shared" si="8"/>
        <v>3889.7038489031274</v>
      </c>
      <c r="I217" s="303">
        <f t="shared" si="9"/>
        <v>58.760069142857105</v>
      </c>
      <c r="J217" s="303">
        <f>AdjustedOutput!Y215*$H$1</f>
        <v>2602.316718</v>
      </c>
      <c r="M217" s="303">
        <f t="shared" si="10"/>
        <v>6550.7806360459845</v>
      </c>
      <c r="Q217" s="296" t="str">
        <f t="shared" si="11"/>
        <v>NWHZ3CZ1_5000n_35hp85_des0</v>
      </c>
    </row>
    <row r="218" spans="1:19">
      <c r="A218" s="621"/>
      <c r="B218" s="296" t="str">
        <f>AdjustedOutput!A216</f>
        <v>NWHZ3CZ2_5000n_35gshp_des1</v>
      </c>
      <c r="C218" s="310" t="str">
        <f>LEFT(AdjustedOutput!W216,6)</f>
        <v>HZ3CZ2</v>
      </c>
      <c r="D218" s="303">
        <f>AdjustedOutput!F216</f>
        <v>770.82066899999995</v>
      </c>
      <c r="E218" s="303">
        <f>AdjustedOutput!U216</f>
        <v>9482.2635117132322</v>
      </c>
      <c r="F218" s="303">
        <f>IF(MID(B218,18,2)="hp",AdjustedOutput!X216*14.5/analysis!$E$2,AdjustedOutput!X216)</f>
        <v>850.19493699999998</v>
      </c>
      <c r="H218" s="303">
        <f t="shared" si="8"/>
        <v>3889.7038489031274</v>
      </c>
      <c r="I218" s="303">
        <f t="shared" si="9"/>
        <v>172.8650609642857</v>
      </c>
      <c r="J218" s="303">
        <f>AdjustedOutput!Y216*$H$1</f>
        <v>2602.316718</v>
      </c>
      <c r="M218" s="303">
        <f t="shared" si="10"/>
        <v>6664.8856278674129</v>
      </c>
      <c r="Q218" s="296" t="str">
        <f t="shared" si="11"/>
        <v>NWHZ3CZ2_5000n_35hp85_des0</v>
      </c>
    </row>
    <row r="219" spans="1:19">
      <c r="A219" s="621"/>
      <c r="B219" s="296" t="str">
        <f>AdjustedOutput!A217</f>
        <v>NWHZ3CZ3_5000n_35gshp_des1</v>
      </c>
      <c r="C219" s="310" t="str">
        <f>LEFT(AdjustedOutput!W217,6)</f>
        <v>HZ3CZ3</v>
      </c>
      <c r="D219" s="303">
        <f>AdjustedOutput!F217</f>
        <v>770.82066899999995</v>
      </c>
      <c r="E219" s="303">
        <f>AdjustedOutput!U217</f>
        <v>9482.2635117132322</v>
      </c>
      <c r="F219" s="303">
        <f>IF(MID(B219,18,2)="hp",AdjustedOutput!X217*14.5/analysis!$E$2,AdjustedOutput!X217)</f>
        <v>1391.1645249999999</v>
      </c>
      <c r="H219" s="303">
        <f t="shared" si="8"/>
        <v>3889.7038489031274</v>
      </c>
      <c r="I219" s="303">
        <f t="shared" si="9"/>
        <v>361.69300614285726</v>
      </c>
      <c r="J219" s="303">
        <f>AdjustedOutput!Y217*$H$1</f>
        <v>2602.316718</v>
      </c>
      <c r="M219" s="303">
        <f t="shared" si="10"/>
        <v>6853.713573045985</v>
      </c>
      <c r="Q219" s="296" t="str">
        <f t="shared" si="11"/>
        <v>NWHZ3CZ3_5000n_35hp85_des0</v>
      </c>
    </row>
    <row r="220" spans="1:19">
      <c r="A220" s="621"/>
      <c r="B220" s="296" t="str">
        <f>AdjustedOutput!A218</f>
        <v>WxHZ3CZ1_5000e_40gshp_des1</v>
      </c>
      <c r="C220" s="310" t="str">
        <f>LEFT(AdjustedOutput!W218,6)</f>
        <v>HZ3CZ1</v>
      </c>
      <c r="D220" s="303">
        <f>AdjustedOutput!F218</f>
        <v>833.08442500000001</v>
      </c>
      <c r="E220" s="303">
        <f>AdjustedOutput!U218</f>
        <v>9428.4398616274484</v>
      </c>
      <c r="F220" s="303">
        <f>IF(MID(B220,18,2)="hp",AdjustedOutput!X218*14.5/analysis!$E$2,AdjustedOutput!X218)</f>
        <v>444.79185899999999</v>
      </c>
      <c r="H220" s="303">
        <f t="shared" si="8"/>
        <v>4148.3847787312352</v>
      </c>
      <c r="I220" s="303">
        <f t="shared" si="9"/>
        <v>61.380484749999994</v>
      </c>
      <c r="J220" s="303">
        <f>AdjustedOutput!Y218*$H$1</f>
        <v>2533.68478125</v>
      </c>
      <c r="M220" s="303">
        <f t="shared" si="10"/>
        <v>6743.4500447312348</v>
      </c>
      <c r="Q220" s="296" t="str">
        <f t="shared" si="11"/>
        <v>WxHZ3CZ1_5000e_40hp85_des0</v>
      </c>
    </row>
    <row r="221" spans="1:19">
      <c r="A221" s="621"/>
      <c r="B221" s="296" t="str">
        <f>AdjustedOutput!A219</f>
        <v>WxHZ3CZ2_5000e_40gshp_des1</v>
      </c>
      <c r="C221" s="310" t="str">
        <f>LEFT(AdjustedOutput!W219,6)</f>
        <v>HZ3CZ2</v>
      </c>
      <c r="D221" s="303">
        <f>AdjustedOutput!F219</f>
        <v>833.08442500000001</v>
      </c>
      <c r="E221" s="303">
        <f>AdjustedOutput!U219</f>
        <v>9428.4398616274484</v>
      </c>
      <c r="F221" s="303">
        <f>IF(MID(B221,18,2)="hp",AdjustedOutput!X219*14.5/analysis!$E$2,AdjustedOutput!X219)</f>
        <v>881.21014200000002</v>
      </c>
      <c r="H221" s="303">
        <f t="shared" si="8"/>
        <v>4148.3847787312352</v>
      </c>
      <c r="I221" s="303">
        <f t="shared" si="9"/>
        <v>181.79869203571423</v>
      </c>
      <c r="J221" s="303">
        <f>AdjustedOutput!Y219*$H$1</f>
        <v>2533.68478125</v>
      </c>
      <c r="M221" s="303">
        <f t="shared" si="10"/>
        <v>6863.8682520169496</v>
      </c>
      <c r="Q221" s="296" t="str">
        <f t="shared" si="11"/>
        <v>WxHZ3CZ2_5000e_40hp85_des0</v>
      </c>
    </row>
    <row r="222" spans="1:19" s="307" customFormat="1">
      <c r="A222" s="624"/>
      <c r="B222" s="296" t="str">
        <f>AdjustedOutput!A220</f>
        <v>WxHZ3CZ3_5000e_40gshp_des1</v>
      </c>
      <c r="C222" s="310" t="str">
        <f>LEFT(AdjustedOutput!W220,6)</f>
        <v>HZ3CZ3</v>
      </c>
      <c r="D222" s="303">
        <f>AdjustedOutput!F220</f>
        <v>833.08442500000001</v>
      </c>
      <c r="E222" s="303">
        <f>AdjustedOutput!U220</f>
        <v>9428.4398616274484</v>
      </c>
      <c r="F222" s="303">
        <f>IF(MID(B222,18,2)="hp",AdjustedOutput!X220*14.5/analysis!$E$2,AdjustedOutput!X220)</f>
        <v>1449.7975160000001</v>
      </c>
      <c r="G222" s="305"/>
      <c r="H222" s="306">
        <f t="shared" si="8"/>
        <v>4148.3847787312352</v>
      </c>
      <c r="I222" s="306">
        <f t="shared" si="9"/>
        <v>381.6730038571427</v>
      </c>
      <c r="J222" s="303">
        <f>AdjustedOutput!Y220*$H$1</f>
        <v>2533.68478125</v>
      </c>
      <c r="K222" s="305"/>
      <c r="L222" s="305"/>
      <c r="M222" s="306">
        <f t="shared" si="10"/>
        <v>7063.7425638383775</v>
      </c>
      <c r="N222" s="305"/>
      <c r="O222" s="305"/>
      <c r="P222" s="305"/>
      <c r="Q222" s="305" t="str">
        <f t="shared" si="11"/>
        <v>WxHZ3CZ3_5000e_40hp85_des0</v>
      </c>
      <c r="R222" s="305"/>
      <c r="S222" s="305"/>
    </row>
  </sheetData>
  <mergeCells count="3">
    <mergeCell ref="A7:A78"/>
    <mergeCell ref="A79:A150"/>
    <mergeCell ref="A151:A222"/>
  </mergeCells>
  <pageMargins left="0.7" right="0.7" top="0.75" bottom="0.75" header="0.3" footer="0.3"/>
</worksheet>
</file>

<file path=xl/worksheets/sheet14.xml><?xml version="1.0" encoding="utf-8"?>
<worksheet xmlns="http://schemas.openxmlformats.org/spreadsheetml/2006/main" xmlns:r="http://schemas.openxmlformats.org/officeDocument/2006/relationships">
  <sheetPr codeName="Sheet15"/>
  <dimension ref="A1:Y528"/>
  <sheetViews>
    <sheetView workbookViewId="0">
      <selection activeCell="K5" sqref="K5"/>
    </sheetView>
  </sheetViews>
  <sheetFormatPr defaultRowHeight="15"/>
  <cols>
    <col min="1" max="1" width="32.42578125" style="276" bestFit="1" customWidth="1"/>
    <col min="2" max="3" width="9.140625" style="276"/>
    <col min="4" max="5" width="16.140625" style="277" customWidth="1"/>
    <col min="6" max="6" width="8" style="277" bestFit="1" customWidth="1"/>
    <col min="7" max="7" width="8.42578125" style="277" customWidth="1"/>
    <col min="8" max="8" width="9.140625" style="277" customWidth="1"/>
    <col min="9" max="9" width="10.140625" style="277" customWidth="1"/>
    <col min="10" max="11" width="8.5703125" style="277" customWidth="1"/>
    <col min="12" max="12" width="14.85546875" style="277" bestFit="1" customWidth="1"/>
    <col min="13" max="13" width="16.140625" style="277" customWidth="1"/>
    <col min="14" max="14" width="16.85546875" style="277" customWidth="1"/>
    <col min="15" max="15" width="9.140625" style="277"/>
    <col min="16" max="16" width="12.28515625" style="277" customWidth="1"/>
    <col min="17" max="17" width="13.28515625" style="277" customWidth="1"/>
    <col min="18" max="18" width="12.7109375" style="277" customWidth="1"/>
    <col min="19" max="19" width="13.140625" style="277" customWidth="1"/>
    <col min="20" max="20" width="10.42578125" style="277" customWidth="1"/>
    <col min="21" max="21" width="16.42578125" style="277" customWidth="1"/>
    <col min="22" max="23" width="16.85546875" style="277" customWidth="1"/>
    <col min="24" max="24" width="21.140625" style="276" customWidth="1"/>
    <col min="26" max="16384" width="9.140625" style="276"/>
  </cols>
  <sheetData>
    <row r="1" spans="1:25" ht="15.75" customHeight="1" thickBot="1">
      <c r="F1" s="630" t="s">
        <v>1012</v>
      </c>
      <c r="G1" s="630"/>
      <c r="H1" s="630"/>
      <c r="I1" s="630"/>
      <c r="J1" s="630"/>
      <c r="K1" s="631" t="s">
        <v>1013</v>
      </c>
      <c r="L1" s="632"/>
      <c r="M1" s="632"/>
      <c r="N1" s="632"/>
      <c r="O1" s="632"/>
      <c r="P1" s="632"/>
      <c r="Q1" s="632"/>
      <c r="R1" s="632"/>
      <c r="S1" s="633"/>
      <c r="T1" s="634" t="s">
        <v>1014</v>
      </c>
      <c r="U1" s="634"/>
      <c r="V1" s="634"/>
      <c r="W1" s="276" t="s">
        <v>1059</v>
      </c>
      <c r="Y1" t="s">
        <v>1061</v>
      </c>
    </row>
    <row r="2" spans="1:25" ht="15" customHeight="1">
      <c r="A2" s="635" t="s">
        <v>1015</v>
      </c>
      <c r="B2" s="635" t="s">
        <v>1016</v>
      </c>
      <c r="C2" s="635" t="s">
        <v>1017</v>
      </c>
      <c r="D2" s="635" t="s">
        <v>1018</v>
      </c>
      <c r="E2" s="635" t="s">
        <v>1019</v>
      </c>
      <c r="F2" s="637" t="s">
        <v>1020</v>
      </c>
      <c r="G2" s="637" t="s">
        <v>1021</v>
      </c>
      <c r="H2" s="637" t="s">
        <v>1022</v>
      </c>
      <c r="I2" s="637" t="s">
        <v>1023</v>
      </c>
      <c r="J2" s="637" t="s">
        <v>1024</v>
      </c>
      <c r="K2" s="278"/>
      <c r="L2" s="639" t="s">
        <v>1025</v>
      </c>
      <c r="M2" s="640"/>
      <c r="N2" s="640"/>
      <c r="O2" s="640"/>
      <c r="P2" s="640"/>
      <c r="Q2" s="641"/>
      <c r="R2" s="642" t="s">
        <v>1026</v>
      </c>
      <c r="S2" s="628" t="s">
        <v>1027</v>
      </c>
      <c r="T2" s="644" t="s">
        <v>1028</v>
      </c>
      <c r="U2" s="625" t="s">
        <v>1029</v>
      </c>
      <c r="V2" s="625" t="s">
        <v>1030</v>
      </c>
      <c r="W2" s="276"/>
    </row>
    <row r="3" spans="1:25" ht="15" customHeight="1">
      <c r="A3" s="636"/>
      <c r="B3" s="636"/>
      <c r="C3" s="636"/>
      <c r="D3" s="636"/>
      <c r="E3" s="636"/>
      <c r="F3" s="638"/>
      <c r="G3" s="638"/>
      <c r="H3" s="638"/>
      <c r="I3" s="638"/>
      <c r="J3" s="638"/>
      <c r="K3" s="279"/>
      <c r="L3" s="280"/>
      <c r="M3" s="626" t="s">
        <v>1031</v>
      </c>
      <c r="N3" s="627"/>
      <c r="O3" s="626" t="s">
        <v>1032</v>
      </c>
      <c r="P3" s="627"/>
      <c r="Q3" s="281"/>
      <c r="R3" s="643"/>
      <c r="S3" s="629"/>
      <c r="T3" s="644"/>
      <c r="U3" s="625"/>
      <c r="V3" s="625"/>
      <c r="W3" t="s">
        <v>1060</v>
      </c>
      <c r="X3" t="s">
        <v>1057</v>
      </c>
      <c r="Y3" t="s">
        <v>1062</v>
      </c>
    </row>
    <row r="4" spans="1:25" ht="45">
      <c r="A4" s="636"/>
      <c r="B4" s="636"/>
      <c r="C4" s="636"/>
      <c r="D4" s="636"/>
      <c r="E4" s="636"/>
      <c r="F4" s="638"/>
      <c r="G4" s="638"/>
      <c r="H4" s="638"/>
      <c r="I4" s="638"/>
      <c r="J4" s="638"/>
      <c r="K4" s="282" t="s">
        <v>1033</v>
      </c>
      <c r="L4" s="283" t="s">
        <v>1034</v>
      </c>
      <c r="M4" s="284" t="s">
        <v>1035</v>
      </c>
      <c r="N4" s="284" t="s">
        <v>1036</v>
      </c>
      <c r="O4" s="284" t="s">
        <v>1037</v>
      </c>
      <c r="P4" s="284" t="s">
        <v>1038</v>
      </c>
      <c r="Q4" s="285" t="s">
        <v>1039</v>
      </c>
      <c r="R4" s="643"/>
      <c r="S4" s="629"/>
      <c r="T4" s="644"/>
      <c r="U4" s="625"/>
      <c r="V4" s="625"/>
      <c r="W4"/>
      <c r="X4" t="s">
        <v>1058</v>
      </c>
      <c r="Y4" t="s">
        <v>1058</v>
      </c>
    </row>
    <row r="5" spans="1:25">
      <c r="A5" s="277" t="str">
        <f>SEEMoutput!A7</f>
        <v>NWHZ1CZ1_1568n_20hp85_des0</v>
      </c>
      <c r="B5" s="286">
        <f>SEEMoutput!O7</f>
        <v>2807.2268100000001</v>
      </c>
      <c r="C5" s="287">
        <v>7.8113955912300581E-2</v>
      </c>
      <c r="D5" s="277">
        <f>IF(SEEMoutput!G7&lt;6000,1,IF(SEEMoutput!G7&lt;7500,2,3))</f>
        <v>1</v>
      </c>
      <c r="E5" s="277" t="str">
        <f>IF(LEFT(SEEMoutput!BE7,1)="F","FUR",IF(LEFT(SEEMoutput!BE7,1)="D","DHP","HP"))</f>
        <v>HP</v>
      </c>
      <c r="F5" s="288">
        <f>SEEMoutput!E7</f>
        <v>337.92012199999999</v>
      </c>
      <c r="G5" s="289">
        <f>F5*(69-30)*SEEMoutput!N7/SEEMoutput!M7</f>
        <v>14692.514290170249</v>
      </c>
      <c r="H5" s="290">
        <f>'(Tons) (Furnsize)'!$F$52+'(Tons) (Furnsize)'!$F$53*'(Tons) (Furnsize)'!$B$15+'(Tons) (Furnsize)'!$F$54*G5</f>
        <v>1.7844024300663825</v>
      </c>
      <c r="I5" s="290">
        <f>H5/'(Tons) (Furnsize)'!$G$7</f>
        <v>1.4790141825192529</v>
      </c>
      <c r="J5" s="291">
        <f>F5*(69-VLOOKUP(D5,'(Tons) (Furnsize)'!$D$15:$E$17,2,FALSE))/3412</f>
        <v>5.1500135826494722</v>
      </c>
      <c r="K5" s="292">
        <f>INDEX(Calibration!$A$4:$L$13,MATCH($D5&amp;$E5,Calibration!$A$4:$A$13,0),MATCH(K$4,Calibration!$A$4:$L$4,0))</f>
        <v>0.2</v>
      </c>
      <c r="L5" s="292">
        <f>INDEX(Calibration!$A$4:$L$13,MATCH($D5&amp;$E5,Calibration!$A$4:$A$13,0),MATCH(L$4,Calibration!$A$4:$L$4,0))</f>
        <v>1.3869915874526988</v>
      </c>
      <c r="M5" s="292">
        <f>INDEX(Calibration!$A$4:$L$13,MATCH($D5&amp;$E5,Calibration!$A$4:$A$13,0),MATCH(M$4,Calibration!$A$4:$L$4,0))</f>
        <v>-2.2641144651923684</v>
      </c>
      <c r="N5" s="292">
        <f>INDEX(Calibration!$A$4:$L$13,MATCH($D5&amp;$E5,Calibration!$A$4:$A$13,0),MATCH(N$4,Calibration!$A$4:$L$4,0))</f>
        <v>1.5001973107123172</v>
      </c>
      <c r="O5" s="292">
        <f>INDEX(Calibration!$A$4:$L$13,MATCH($D5&amp;$E5,Calibration!$A$4:$A$13,0),MATCH(O$4,Calibration!$A$4:$L$4,0))</f>
        <v>-4.5282289303847367</v>
      </c>
      <c r="P5" s="292">
        <f>INDEX(Calibration!$A$4:$L$13,MATCH($D5&amp;$E5,Calibration!$A$4:$A$13,0),MATCH(P$4,Calibration!$A$4:$L$4,0))</f>
        <v>1.6700058956017449</v>
      </c>
      <c r="Q5" s="292">
        <f>INDEX(Calibration!$A$4:$L$13,MATCH($D5&amp;$E5,Calibration!$A$4:$A$13,0),MATCH(Q$4,Calibration!$A$4:$L$4,0))</f>
        <v>0.7643601095247976</v>
      </c>
      <c r="R5" s="293">
        <f>IF(C5&lt;Calibration!$F$5,L5,IF(C5&lt;Calibration!$E$5,C5*M5+N5,IF(C5&lt;K5,C5*O5+P5,Q5)))</f>
        <v>1.3162880205728675</v>
      </c>
      <c r="S5" s="286">
        <f t="shared" ref="S5:S68" si="0">R5*B5</f>
        <v>3695.1190210339855</v>
      </c>
      <c r="T5" s="293">
        <f>IF(E5="DHP",VLOOKUP(D5,Calibration!$C$20:$E$22,2,FALSE),IF(D5=1,Calibration!$D$17,Calibration!$D$18))</f>
        <v>0.82813167326562143</v>
      </c>
      <c r="U5" s="286">
        <f t="shared" ref="U5:U68" si="1">T5*S5</f>
        <v>3060.0450978044996</v>
      </c>
      <c r="V5" s="286">
        <f>VLOOKUP(T5,Calibration!$D$17:$E$22,2,FALSE)*S5</f>
        <v>577.55780487455058</v>
      </c>
      <c r="W5" t="s">
        <v>764</v>
      </c>
      <c r="X5">
        <v>306.99070799999998</v>
      </c>
      <c r="Y5">
        <v>0</v>
      </c>
    </row>
    <row r="6" spans="1:25">
      <c r="A6" s="277" t="str">
        <f>SEEMoutput!A8</f>
        <v>NWHZ1CZ2_1568n_20hp85_des0</v>
      </c>
      <c r="B6" s="286">
        <f>SEEMoutput!O8</f>
        <v>2807.2268100000001</v>
      </c>
      <c r="C6" s="287">
        <v>7.8113955912300581E-2</v>
      </c>
      <c r="D6" s="277">
        <f>IF(SEEMoutput!G8&lt;6000,1,IF(SEEMoutput!G8&lt;7500,2,3))</f>
        <v>1</v>
      </c>
      <c r="E6" s="277" t="str">
        <f>IF(LEFT(SEEMoutput!BE8,1)="F","FUR",IF(LEFT(SEEMoutput!BE8,1)="D","DHP","HP"))</f>
        <v>HP</v>
      </c>
      <c r="F6" s="288">
        <f>SEEMoutput!E8</f>
        <v>337.92012199999999</v>
      </c>
      <c r="G6" s="289">
        <f>F6*(69-30)*SEEMoutput!N8/SEEMoutput!M8</f>
        <v>14692.514290170249</v>
      </c>
      <c r="H6" s="290">
        <f>'(Tons) (Furnsize)'!$F$52+'(Tons) (Furnsize)'!$F$53*'(Tons) (Furnsize)'!$B$15+'(Tons) (Furnsize)'!$F$54*G6</f>
        <v>1.7844024300663825</v>
      </c>
      <c r="I6" s="290">
        <f>H6/'(Tons) (Furnsize)'!$G$7</f>
        <v>1.4790141825192529</v>
      </c>
      <c r="J6" s="291">
        <f>F6*(69-VLOOKUP(D6,'(Tons) (Furnsize)'!$D$15:$E$17,2,FALSE))/3412</f>
        <v>5.1500135826494722</v>
      </c>
      <c r="K6" s="292">
        <f>INDEX(Calibration!$A$4:$L$13,MATCH($D6&amp;$E6,Calibration!$A$4:$A$13,0),MATCH(K$4,Calibration!$A$4:$L$4,0))</f>
        <v>0.2</v>
      </c>
      <c r="L6" s="292">
        <f>INDEX(Calibration!$A$4:$L$13,MATCH($D6&amp;$E6,Calibration!$A$4:$A$13,0),MATCH(L$4,Calibration!$A$4:$L$4,0))</f>
        <v>1.3869915874526988</v>
      </c>
      <c r="M6" s="292">
        <f>INDEX(Calibration!$A$4:$L$13,MATCH($D6&amp;$E6,Calibration!$A$4:$A$13,0),MATCH(M$4,Calibration!$A$4:$L$4,0))</f>
        <v>-2.2641144651923684</v>
      </c>
      <c r="N6" s="292">
        <f>INDEX(Calibration!$A$4:$L$13,MATCH($D6&amp;$E6,Calibration!$A$4:$A$13,0),MATCH(N$4,Calibration!$A$4:$L$4,0))</f>
        <v>1.5001973107123172</v>
      </c>
      <c r="O6" s="292">
        <f>INDEX(Calibration!$A$4:$L$13,MATCH($D6&amp;$E6,Calibration!$A$4:$A$13,0),MATCH(O$4,Calibration!$A$4:$L$4,0))</f>
        <v>-4.5282289303847367</v>
      </c>
      <c r="P6" s="292">
        <f>INDEX(Calibration!$A$4:$L$13,MATCH($D6&amp;$E6,Calibration!$A$4:$A$13,0),MATCH(P$4,Calibration!$A$4:$L$4,0))</f>
        <v>1.6700058956017449</v>
      </c>
      <c r="Q6" s="292">
        <f>INDEX(Calibration!$A$4:$L$13,MATCH($D6&amp;$E6,Calibration!$A$4:$A$13,0),MATCH(Q$4,Calibration!$A$4:$L$4,0))</f>
        <v>0.7643601095247976</v>
      </c>
      <c r="R6" s="293">
        <f>IF(C6&lt;Calibration!$F$5,L6,IF(C6&lt;Calibration!$E$5,C6*M6+N6,IF(C6&lt;K6,C6*O6+P6,Q6)))</f>
        <v>1.3162880205728675</v>
      </c>
      <c r="S6" s="286">
        <f t="shared" si="0"/>
        <v>3695.1190210339855</v>
      </c>
      <c r="T6" s="293">
        <f>IF(E6="DHP",VLOOKUP(D6,Calibration!$C$20:$E$22,2,FALSE),IF(D6=1,Calibration!$D$17,Calibration!$D$18))</f>
        <v>0.82813167326562143</v>
      </c>
      <c r="U6" s="286">
        <f t="shared" si="1"/>
        <v>3060.0450978044996</v>
      </c>
      <c r="V6" s="286">
        <f>VLOOKUP(T6,Calibration!$D$17:$E$22,2,FALSE)*S6</f>
        <v>577.55780487455058</v>
      </c>
      <c r="W6" t="s">
        <v>767</v>
      </c>
      <c r="X6">
        <v>565.17622900000003</v>
      </c>
      <c r="Y6">
        <v>0</v>
      </c>
    </row>
    <row r="7" spans="1:25">
      <c r="A7" s="277" t="str">
        <f>SEEMoutput!A9</f>
        <v>NWHZ1CZ3_1568n_20hp85_des0</v>
      </c>
      <c r="B7" s="286">
        <f>SEEMoutput!O9</f>
        <v>2807.2268100000001</v>
      </c>
      <c r="C7" s="287">
        <v>7.8113955912300581E-2</v>
      </c>
      <c r="D7" s="277">
        <f>IF(SEEMoutput!G9&lt;6000,1,IF(SEEMoutput!G9&lt;7500,2,3))</f>
        <v>1</v>
      </c>
      <c r="E7" s="277" t="str">
        <f>IF(LEFT(SEEMoutput!BE9,1)="F","FUR",IF(LEFT(SEEMoutput!BE9,1)="D","DHP","HP"))</f>
        <v>HP</v>
      </c>
      <c r="F7" s="288">
        <f>SEEMoutput!E9</f>
        <v>337.92012199999999</v>
      </c>
      <c r="G7" s="289">
        <f>F7*(69-30)*SEEMoutput!N9/SEEMoutput!M9</f>
        <v>14692.514290170249</v>
      </c>
      <c r="H7" s="290">
        <f>'(Tons) (Furnsize)'!$F$52+'(Tons) (Furnsize)'!$F$53*'(Tons) (Furnsize)'!$B$15+'(Tons) (Furnsize)'!$F$54*G7</f>
        <v>1.7844024300663825</v>
      </c>
      <c r="I7" s="290">
        <f>H7/'(Tons) (Furnsize)'!$G$7</f>
        <v>1.4790141825192529</v>
      </c>
      <c r="J7" s="291">
        <f>F7*(69-VLOOKUP(D7,'(Tons) (Furnsize)'!$D$15:$E$17,2,FALSE))/3412</f>
        <v>5.1500135826494722</v>
      </c>
      <c r="K7" s="292">
        <f>INDEX(Calibration!$A$4:$L$13,MATCH($D7&amp;$E7,Calibration!$A$4:$A$13,0),MATCH(K$4,Calibration!$A$4:$L$4,0))</f>
        <v>0.2</v>
      </c>
      <c r="L7" s="292">
        <f>INDEX(Calibration!$A$4:$L$13,MATCH($D7&amp;$E7,Calibration!$A$4:$A$13,0),MATCH(L$4,Calibration!$A$4:$L$4,0))</f>
        <v>1.3869915874526988</v>
      </c>
      <c r="M7" s="292">
        <f>INDEX(Calibration!$A$4:$L$13,MATCH($D7&amp;$E7,Calibration!$A$4:$A$13,0),MATCH(M$4,Calibration!$A$4:$L$4,0))</f>
        <v>-2.2641144651923684</v>
      </c>
      <c r="N7" s="292">
        <f>INDEX(Calibration!$A$4:$L$13,MATCH($D7&amp;$E7,Calibration!$A$4:$A$13,0),MATCH(N$4,Calibration!$A$4:$L$4,0))</f>
        <v>1.5001973107123172</v>
      </c>
      <c r="O7" s="292">
        <f>INDEX(Calibration!$A$4:$L$13,MATCH($D7&amp;$E7,Calibration!$A$4:$A$13,0),MATCH(O$4,Calibration!$A$4:$L$4,0))</f>
        <v>-4.5282289303847367</v>
      </c>
      <c r="P7" s="292">
        <f>INDEX(Calibration!$A$4:$L$13,MATCH($D7&amp;$E7,Calibration!$A$4:$A$13,0),MATCH(P$4,Calibration!$A$4:$L$4,0))</f>
        <v>1.6700058956017449</v>
      </c>
      <c r="Q7" s="292">
        <f>INDEX(Calibration!$A$4:$L$13,MATCH($D7&amp;$E7,Calibration!$A$4:$A$13,0),MATCH(Q$4,Calibration!$A$4:$L$4,0))</f>
        <v>0.7643601095247976</v>
      </c>
      <c r="R7" s="293">
        <f>IF(C7&lt;Calibration!$F$5,L7,IF(C7&lt;Calibration!$E$5,C7*M7+N7,IF(C7&lt;K7,C7*O7+P7,Q7)))</f>
        <v>1.3162880205728675</v>
      </c>
      <c r="S7" s="286">
        <f t="shared" si="0"/>
        <v>3695.1190210339855</v>
      </c>
      <c r="T7" s="293">
        <f>IF(E7="DHP",VLOOKUP(D7,Calibration!$C$20:$E$22,2,FALSE),IF(D7=1,Calibration!$D$17,Calibration!$D$18))</f>
        <v>0.82813167326562143</v>
      </c>
      <c r="U7" s="286">
        <f t="shared" si="1"/>
        <v>3060.0450978044996</v>
      </c>
      <c r="V7" s="286">
        <f>VLOOKUP(T7,Calibration!$D$17:$E$22,2,FALSE)*S7</f>
        <v>577.55780487455058</v>
      </c>
      <c r="W7" t="s">
        <v>770</v>
      </c>
      <c r="X7">
        <v>897.60377600000004</v>
      </c>
      <c r="Y7">
        <v>0</v>
      </c>
    </row>
    <row r="8" spans="1:25">
      <c r="A8" s="277" t="str">
        <f>SEEMoutput!A10</f>
        <v>WxHZ1CZ1_1568e_20hp85_des0</v>
      </c>
      <c r="B8" s="286">
        <f>SEEMoutput!O10</f>
        <v>3258.7601070000001</v>
      </c>
      <c r="C8" s="287">
        <v>8.8274545244926311E-2</v>
      </c>
      <c r="D8" s="277">
        <f>IF(SEEMoutput!G10&lt;6000,1,IF(SEEMoutput!G10&lt;7500,2,3))</f>
        <v>1</v>
      </c>
      <c r="E8" s="277" t="str">
        <f>IF(LEFT(SEEMoutput!BE10,1)="F","FUR",IF(LEFT(SEEMoutput!BE10,1)="D","DHP","HP"))</f>
        <v>HP</v>
      </c>
      <c r="F8" s="288">
        <f>SEEMoutput!E10</f>
        <v>376.79783300000003</v>
      </c>
      <c r="G8" s="289">
        <f>F8*(69-30)*SEEMoutput!N10/SEEMoutput!M10</f>
        <v>16351.86103815597</v>
      </c>
      <c r="H8" s="290">
        <f>'(Tons) (Furnsize)'!$F$52+'(Tons) (Furnsize)'!$F$53*'(Tons) (Furnsize)'!$B$15+'(Tons) (Furnsize)'!$F$54*G8</f>
        <v>1.9792269876042257</v>
      </c>
      <c r="I8" s="290">
        <f>H8/'(Tons) (Furnsize)'!$G$7</f>
        <v>1.6404958521506872</v>
      </c>
      <c r="J8" s="291">
        <f>F8*(69-VLOOKUP(D8,'(Tons) (Furnsize)'!$D$15:$E$17,2,FALSE))/3412</f>
        <v>5.7425226600234476</v>
      </c>
      <c r="K8" s="292">
        <f>INDEX(Calibration!$A$4:$L$13,MATCH($D8&amp;$E8,Calibration!$A$4:$A$13,0),MATCH(K$4,Calibration!$A$4:$L$4,0))</f>
        <v>0.2</v>
      </c>
      <c r="L8" s="292">
        <f>INDEX(Calibration!$A$4:$L$13,MATCH($D8&amp;$E8,Calibration!$A$4:$A$13,0),MATCH(L$4,Calibration!$A$4:$L$4,0))</f>
        <v>1.3869915874526988</v>
      </c>
      <c r="M8" s="292">
        <f>INDEX(Calibration!$A$4:$L$13,MATCH($D8&amp;$E8,Calibration!$A$4:$A$13,0),MATCH(M$4,Calibration!$A$4:$L$4,0))</f>
        <v>-2.2641144651923684</v>
      </c>
      <c r="N8" s="292">
        <f>INDEX(Calibration!$A$4:$L$13,MATCH($D8&amp;$E8,Calibration!$A$4:$A$13,0),MATCH(N$4,Calibration!$A$4:$L$4,0))</f>
        <v>1.5001973107123172</v>
      </c>
      <c r="O8" s="292">
        <f>INDEX(Calibration!$A$4:$L$13,MATCH($D8&amp;$E8,Calibration!$A$4:$A$13,0),MATCH(O$4,Calibration!$A$4:$L$4,0))</f>
        <v>-4.5282289303847367</v>
      </c>
      <c r="P8" s="292">
        <f>INDEX(Calibration!$A$4:$L$13,MATCH($D8&amp;$E8,Calibration!$A$4:$A$13,0),MATCH(P$4,Calibration!$A$4:$L$4,0))</f>
        <v>1.6700058956017449</v>
      </c>
      <c r="Q8" s="292">
        <f>INDEX(Calibration!$A$4:$L$13,MATCH($D8&amp;$E8,Calibration!$A$4:$A$13,0),MATCH(Q$4,Calibration!$A$4:$L$4,0))</f>
        <v>0.7643601095247976</v>
      </c>
      <c r="R8" s="293">
        <f>IF(C8&lt;Calibration!$F$5,L8,IF(C8&lt;Calibration!$E$5,C8*M8+N8,IF(C8&lt;K8,C8*O8+P8,Q8)))</f>
        <v>1.2702785460071131</v>
      </c>
      <c r="S8" s="286">
        <f t="shared" si="0"/>
        <v>4139.5330505059446</v>
      </c>
      <c r="T8" s="293">
        <f>IF(E8="DHP",VLOOKUP(D8,Calibration!$C$20:$E$22,2,FALSE),IF(D8=1,Calibration!$D$17,Calibration!$D$18))</f>
        <v>0.82813167326562143</v>
      </c>
      <c r="U8" s="286">
        <f t="shared" si="1"/>
        <v>3428.0784316538302</v>
      </c>
      <c r="V8" s="286">
        <f>VLOOKUP(T8,Calibration!$D$17:$E$22,2,FALSE)*S8</f>
        <v>647.02100480294007</v>
      </c>
      <c r="W8" t="s">
        <v>764</v>
      </c>
      <c r="X8">
        <v>283.834363</v>
      </c>
      <c r="Y8">
        <v>0</v>
      </c>
    </row>
    <row r="9" spans="1:25">
      <c r="A9" s="277" t="str">
        <f>SEEMoutput!A11</f>
        <v>WxHZ1CZ2_1568e_20hp85_des0</v>
      </c>
      <c r="B9" s="286">
        <f>SEEMoutput!O11</f>
        <v>3258.7601070000001</v>
      </c>
      <c r="C9" s="287">
        <v>8.8274545244926311E-2</v>
      </c>
      <c r="D9" s="277">
        <f>IF(SEEMoutput!G11&lt;6000,1,IF(SEEMoutput!G11&lt;7500,2,3))</f>
        <v>1</v>
      </c>
      <c r="E9" s="277" t="str">
        <f>IF(LEFT(SEEMoutput!BE11,1)="F","FUR",IF(LEFT(SEEMoutput!BE11,1)="D","DHP","HP"))</f>
        <v>HP</v>
      </c>
      <c r="F9" s="288">
        <f>SEEMoutput!E11</f>
        <v>376.79783300000003</v>
      </c>
      <c r="G9" s="289">
        <f>F9*(69-30)*SEEMoutput!N11/SEEMoutput!M11</f>
        <v>16351.86103815597</v>
      </c>
      <c r="H9" s="290">
        <f>'(Tons) (Furnsize)'!$F$52+'(Tons) (Furnsize)'!$F$53*'(Tons) (Furnsize)'!$B$15+'(Tons) (Furnsize)'!$F$54*G9</f>
        <v>1.9792269876042257</v>
      </c>
      <c r="I9" s="290">
        <f>H9/'(Tons) (Furnsize)'!$G$7</f>
        <v>1.6404958521506872</v>
      </c>
      <c r="J9" s="291">
        <f>F9*(69-VLOOKUP(D9,'(Tons) (Furnsize)'!$D$15:$E$17,2,FALSE))/3412</f>
        <v>5.7425226600234476</v>
      </c>
      <c r="K9" s="292">
        <f>INDEX(Calibration!$A$4:$L$13,MATCH($D9&amp;$E9,Calibration!$A$4:$A$13,0),MATCH(K$4,Calibration!$A$4:$L$4,0))</f>
        <v>0.2</v>
      </c>
      <c r="L9" s="292">
        <f>INDEX(Calibration!$A$4:$L$13,MATCH($D9&amp;$E9,Calibration!$A$4:$A$13,0),MATCH(L$4,Calibration!$A$4:$L$4,0))</f>
        <v>1.3869915874526988</v>
      </c>
      <c r="M9" s="292">
        <f>INDEX(Calibration!$A$4:$L$13,MATCH($D9&amp;$E9,Calibration!$A$4:$A$13,0),MATCH(M$4,Calibration!$A$4:$L$4,0))</f>
        <v>-2.2641144651923684</v>
      </c>
      <c r="N9" s="292">
        <f>INDEX(Calibration!$A$4:$L$13,MATCH($D9&amp;$E9,Calibration!$A$4:$A$13,0),MATCH(N$4,Calibration!$A$4:$L$4,0))</f>
        <v>1.5001973107123172</v>
      </c>
      <c r="O9" s="292">
        <f>INDEX(Calibration!$A$4:$L$13,MATCH($D9&amp;$E9,Calibration!$A$4:$A$13,0),MATCH(O$4,Calibration!$A$4:$L$4,0))</f>
        <v>-4.5282289303847367</v>
      </c>
      <c r="P9" s="292">
        <f>INDEX(Calibration!$A$4:$L$13,MATCH($D9&amp;$E9,Calibration!$A$4:$A$13,0),MATCH(P$4,Calibration!$A$4:$L$4,0))</f>
        <v>1.6700058956017449</v>
      </c>
      <c r="Q9" s="292">
        <f>INDEX(Calibration!$A$4:$L$13,MATCH($D9&amp;$E9,Calibration!$A$4:$A$13,0),MATCH(Q$4,Calibration!$A$4:$L$4,0))</f>
        <v>0.7643601095247976</v>
      </c>
      <c r="R9" s="293">
        <f>IF(C9&lt;Calibration!$F$5,L9,IF(C9&lt;Calibration!$E$5,C9*M9+N9,IF(C9&lt;K9,C9*O9+P9,Q9)))</f>
        <v>1.2702785460071131</v>
      </c>
      <c r="S9" s="286">
        <f t="shared" si="0"/>
        <v>4139.5330505059446</v>
      </c>
      <c r="T9" s="293">
        <f>IF(E9="DHP",VLOOKUP(D9,Calibration!$C$20:$E$22,2,FALSE),IF(D9=1,Calibration!$D$17,Calibration!$D$18))</f>
        <v>0.82813167326562143</v>
      </c>
      <c r="U9" s="286">
        <f t="shared" si="1"/>
        <v>3428.0784316538302</v>
      </c>
      <c r="V9" s="286">
        <f>VLOOKUP(T9,Calibration!$D$17:$E$22,2,FALSE)*S9</f>
        <v>647.02100480294007</v>
      </c>
      <c r="W9" t="s">
        <v>767</v>
      </c>
      <c r="X9">
        <v>549.97146099999998</v>
      </c>
      <c r="Y9">
        <v>0</v>
      </c>
    </row>
    <row r="10" spans="1:25">
      <c r="A10" s="277" t="str">
        <f>SEEMoutput!A12</f>
        <v>WxHZ1CZ3_1568e_20hp85_des0</v>
      </c>
      <c r="B10" s="286">
        <f>SEEMoutput!O12</f>
        <v>3258.7601070000001</v>
      </c>
      <c r="C10" s="287">
        <v>8.8274545244926311E-2</v>
      </c>
      <c r="D10" s="277">
        <f>IF(SEEMoutput!G12&lt;6000,1,IF(SEEMoutput!G12&lt;7500,2,3))</f>
        <v>1</v>
      </c>
      <c r="E10" s="277" t="str">
        <f>IF(LEFT(SEEMoutput!BE12,1)="F","FUR",IF(LEFT(SEEMoutput!BE12,1)="D","DHP","HP"))</f>
        <v>HP</v>
      </c>
      <c r="F10" s="288">
        <f>SEEMoutput!E12</f>
        <v>376.79783300000003</v>
      </c>
      <c r="G10" s="289">
        <f>F10*(69-30)*SEEMoutput!N12/SEEMoutput!M12</f>
        <v>16351.86103815597</v>
      </c>
      <c r="H10" s="290">
        <f>'(Tons) (Furnsize)'!$F$52+'(Tons) (Furnsize)'!$F$53*'(Tons) (Furnsize)'!$B$15+'(Tons) (Furnsize)'!$F$54*G10</f>
        <v>1.9792269876042257</v>
      </c>
      <c r="I10" s="290">
        <f>H10/'(Tons) (Furnsize)'!$G$7</f>
        <v>1.6404958521506872</v>
      </c>
      <c r="J10" s="291">
        <f>F10*(69-VLOOKUP(D10,'(Tons) (Furnsize)'!$D$15:$E$17,2,FALSE))/3412</f>
        <v>5.7425226600234476</v>
      </c>
      <c r="K10" s="292">
        <f>INDEX(Calibration!$A$4:$L$13,MATCH($D10&amp;$E10,Calibration!$A$4:$A$13,0),MATCH(K$4,Calibration!$A$4:$L$4,0))</f>
        <v>0.2</v>
      </c>
      <c r="L10" s="292">
        <f>INDEX(Calibration!$A$4:$L$13,MATCH($D10&amp;$E10,Calibration!$A$4:$A$13,0),MATCH(L$4,Calibration!$A$4:$L$4,0))</f>
        <v>1.3869915874526988</v>
      </c>
      <c r="M10" s="292">
        <f>INDEX(Calibration!$A$4:$L$13,MATCH($D10&amp;$E10,Calibration!$A$4:$A$13,0),MATCH(M$4,Calibration!$A$4:$L$4,0))</f>
        <v>-2.2641144651923684</v>
      </c>
      <c r="N10" s="292">
        <f>INDEX(Calibration!$A$4:$L$13,MATCH($D10&amp;$E10,Calibration!$A$4:$A$13,0),MATCH(N$4,Calibration!$A$4:$L$4,0))</f>
        <v>1.5001973107123172</v>
      </c>
      <c r="O10" s="292">
        <f>INDEX(Calibration!$A$4:$L$13,MATCH($D10&amp;$E10,Calibration!$A$4:$A$13,0),MATCH(O$4,Calibration!$A$4:$L$4,0))</f>
        <v>-4.5282289303847367</v>
      </c>
      <c r="P10" s="292">
        <f>INDEX(Calibration!$A$4:$L$13,MATCH($D10&amp;$E10,Calibration!$A$4:$A$13,0),MATCH(P$4,Calibration!$A$4:$L$4,0))</f>
        <v>1.6700058956017449</v>
      </c>
      <c r="Q10" s="292">
        <f>INDEX(Calibration!$A$4:$L$13,MATCH($D10&amp;$E10,Calibration!$A$4:$A$13,0),MATCH(Q$4,Calibration!$A$4:$L$4,0))</f>
        <v>0.7643601095247976</v>
      </c>
      <c r="R10" s="293">
        <f>IF(C10&lt;Calibration!$F$5,L10,IF(C10&lt;Calibration!$E$5,C10*M10+N10,IF(C10&lt;K10,C10*O10+P10,Q10)))</f>
        <v>1.2702785460071131</v>
      </c>
      <c r="S10" s="286">
        <f t="shared" si="0"/>
        <v>4139.5330505059446</v>
      </c>
      <c r="T10" s="293">
        <f>IF(E10="DHP",VLOOKUP(D10,Calibration!$C$20:$E$22,2,FALSE),IF(D10=1,Calibration!$D$17,Calibration!$D$18))</f>
        <v>0.82813167326562143</v>
      </c>
      <c r="U10" s="286">
        <f t="shared" si="1"/>
        <v>3428.0784316538302</v>
      </c>
      <c r="V10" s="286">
        <f>VLOOKUP(T10,Calibration!$D$17:$E$22,2,FALSE)*S10</f>
        <v>647.02100480294007</v>
      </c>
      <c r="W10" t="s">
        <v>770</v>
      </c>
      <c r="X10">
        <v>896.45154300000002</v>
      </c>
      <c r="Y10">
        <v>0</v>
      </c>
    </row>
    <row r="11" spans="1:25">
      <c r="A11" s="277" t="str">
        <f>SEEMoutput!A13</f>
        <v>NWHZ2CZ1_1568n_20hp85_des0</v>
      </c>
      <c r="B11" s="286">
        <f>SEEMoutput!O13</f>
        <v>4749.3090990000001</v>
      </c>
      <c r="C11" s="287">
        <v>7.9553068706193705E-2</v>
      </c>
      <c r="D11" s="277">
        <f>IF(SEEMoutput!G13&lt;6000,1,IF(SEEMoutput!G13&lt;7500,2,3))</f>
        <v>2</v>
      </c>
      <c r="E11" s="277" t="str">
        <f>IF(LEFT(SEEMoutput!BE13,1)="F","FUR",IF(LEFT(SEEMoutput!BE13,1)="D","DHP","HP"))</f>
        <v>HP</v>
      </c>
      <c r="F11" s="288">
        <f>SEEMoutput!E13</f>
        <v>340.87222600000001</v>
      </c>
      <c r="G11" s="289">
        <f>F11*(69-30)*SEEMoutput!N13/SEEMoutput!M13</f>
        <v>15012.22828837091</v>
      </c>
      <c r="H11" s="290">
        <f>'(Tons) (Furnsize)'!$F$52+'(Tons) (Furnsize)'!$F$53*'(Tons) (Furnsize)'!$B$15+'(Tons) (Furnsize)'!$F$54*G11</f>
        <v>1.8219401769620869</v>
      </c>
      <c r="I11" s="290">
        <f>H11/'(Tons) (Furnsize)'!$G$7</f>
        <v>1.5101276012767577</v>
      </c>
      <c r="J11" s="291">
        <f>F11*(69-VLOOKUP(D11,'(Tons) (Furnsize)'!$D$15:$E$17,2,FALSE))/3412</f>
        <v>6.8933715105509972</v>
      </c>
      <c r="K11" s="292">
        <f>INDEX(Calibration!$A$4:$L$13,MATCH($D11&amp;$E11,Calibration!$A$4:$A$13,0),MATCH(K$4,Calibration!$A$4:$L$4,0))</f>
        <v>0.17499999999999999</v>
      </c>
      <c r="L11" s="292">
        <f>INDEX(Calibration!$A$4:$L$13,MATCH($D11&amp;$E11,Calibration!$A$4:$A$13,0),MATCH(L$4,Calibration!$A$4:$L$4,0))</f>
        <v>1.1965160377936901</v>
      </c>
      <c r="M11" s="292">
        <f>INDEX(Calibration!$A$4:$L$13,MATCH($D11&amp;$E11,Calibration!$A$4:$A$13,0),MATCH(M$4,Calibration!$A$4:$L$4,0))</f>
        <v>-2.050167690250368</v>
      </c>
      <c r="N11" s="292">
        <f>INDEX(Calibration!$A$4:$L$13,MATCH($D11&amp;$E11,Calibration!$A$4:$A$13,0),MATCH(N$4,Calibration!$A$4:$L$4,0))</f>
        <v>1.2990244223062084</v>
      </c>
      <c r="O11" s="292">
        <f>INDEX(Calibration!$A$4:$L$13,MATCH($D11&amp;$E11,Calibration!$A$4:$A$13,0),MATCH(O$4,Calibration!$A$4:$L$4,0))</f>
        <v>-4.1003353805007361</v>
      </c>
      <c r="P11" s="292">
        <f>INDEX(Calibration!$A$4:$L$13,MATCH($D11&amp;$E11,Calibration!$A$4:$A$13,0),MATCH(P$4,Calibration!$A$4:$L$4,0))</f>
        <v>1.452786999074986</v>
      </c>
      <c r="Q11" s="292">
        <f>INDEX(Calibration!$A$4:$L$13,MATCH($D11&amp;$E11,Calibration!$A$4:$A$13,0),MATCH(Q$4,Calibration!$A$4:$L$4,0))</f>
        <v>0.73522830748735724</v>
      </c>
      <c r="R11" s="293">
        <f>IF(C11&lt;Calibration!$F$5,L11,IF(C11&lt;Calibration!$E$5,C11*M11+N11,IF(C11&lt;K11,C11*O11+P11,Q11)))</f>
        <v>1.126592736831574</v>
      </c>
      <c r="S11" s="286">
        <f t="shared" si="0"/>
        <v>5350.5371359015071</v>
      </c>
      <c r="T11" s="293">
        <f>IF(E11="DHP",VLOOKUP(D11,Calibration!$C$20:$E$22,2,FALSE),IF(D11=1,Calibration!$D$17,Calibration!$D$18))</f>
        <v>0.85917762533929642</v>
      </c>
      <c r="U11" s="286">
        <f t="shared" si="1"/>
        <v>4597.0617907135775</v>
      </c>
      <c r="V11" s="286">
        <f>VLOOKUP(T11,Calibration!$D$17:$E$22,2,FALSE)*S11</f>
        <v>661.15467561806224</v>
      </c>
      <c r="W11" t="s">
        <v>779</v>
      </c>
      <c r="X11">
        <v>306.99070799999998</v>
      </c>
      <c r="Y11">
        <v>0</v>
      </c>
    </row>
    <row r="12" spans="1:25">
      <c r="A12" s="277" t="str">
        <f>SEEMoutput!A14</f>
        <v>NWHZ2CZ2_1568n_20hp85_des0</v>
      </c>
      <c r="B12" s="286">
        <f>SEEMoutput!O14</f>
        <v>4749.3090990000001</v>
      </c>
      <c r="C12" s="287">
        <v>7.9553068706193705E-2</v>
      </c>
      <c r="D12" s="277">
        <f>IF(SEEMoutput!G14&lt;6000,1,IF(SEEMoutput!G14&lt;7500,2,3))</f>
        <v>2</v>
      </c>
      <c r="E12" s="277" t="str">
        <f>IF(LEFT(SEEMoutput!BE14,1)="F","FUR",IF(LEFT(SEEMoutput!BE14,1)="D","DHP","HP"))</f>
        <v>HP</v>
      </c>
      <c r="F12" s="288">
        <f>SEEMoutput!E14</f>
        <v>340.87222600000001</v>
      </c>
      <c r="G12" s="289">
        <f>F12*(69-30)*SEEMoutput!N14/SEEMoutput!M14</f>
        <v>15012.22828837091</v>
      </c>
      <c r="H12" s="290">
        <f>'(Tons) (Furnsize)'!$F$52+'(Tons) (Furnsize)'!$F$53*'(Tons) (Furnsize)'!$B$15+'(Tons) (Furnsize)'!$F$54*G12</f>
        <v>1.8219401769620869</v>
      </c>
      <c r="I12" s="290">
        <f>H12/'(Tons) (Furnsize)'!$G$7</f>
        <v>1.5101276012767577</v>
      </c>
      <c r="J12" s="291">
        <f>F12*(69-VLOOKUP(D12,'(Tons) (Furnsize)'!$D$15:$E$17,2,FALSE))/3412</f>
        <v>6.8933715105509972</v>
      </c>
      <c r="K12" s="292">
        <f>INDEX(Calibration!$A$4:$L$13,MATCH($D12&amp;$E12,Calibration!$A$4:$A$13,0),MATCH(K$4,Calibration!$A$4:$L$4,0))</f>
        <v>0.17499999999999999</v>
      </c>
      <c r="L12" s="292">
        <f>INDEX(Calibration!$A$4:$L$13,MATCH($D12&amp;$E12,Calibration!$A$4:$A$13,0),MATCH(L$4,Calibration!$A$4:$L$4,0))</f>
        <v>1.1965160377936901</v>
      </c>
      <c r="M12" s="292">
        <f>INDEX(Calibration!$A$4:$L$13,MATCH($D12&amp;$E12,Calibration!$A$4:$A$13,0),MATCH(M$4,Calibration!$A$4:$L$4,0))</f>
        <v>-2.050167690250368</v>
      </c>
      <c r="N12" s="292">
        <f>INDEX(Calibration!$A$4:$L$13,MATCH($D12&amp;$E12,Calibration!$A$4:$A$13,0),MATCH(N$4,Calibration!$A$4:$L$4,0))</f>
        <v>1.2990244223062084</v>
      </c>
      <c r="O12" s="292">
        <f>INDEX(Calibration!$A$4:$L$13,MATCH($D12&amp;$E12,Calibration!$A$4:$A$13,0),MATCH(O$4,Calibration!$A$4:$L$4,0))</f>
        <v>-4.1003353805007361</v>
      </c>
      <c r="P12" s="292">
        <f>INDEX(Calibration!$A$4:$L$13,MATCH($D12&amp;$E12,Calibration!$A$4:$A$13,0),MATCH(P$4,Calibration!$A$4:$L$4,0))</f>
        <v>1.452786999074986</v>
      </c>
      <c r="Q12" s="292">
        <f>INDEX(Calibration!$A$4:$L$13,MATCH($D12&amp;$E12,Calibration!$A$4:$A$13,0),MATCH(Q$4,Calibration!$A$4:$L$4,0))</f>
        <v>0.73522830748735724</v>
      </c>
      <c r="R12" s="293">
        <f>IF(C12&lt;Calibration!$F$5,L12,IF(C12&lt;Calibration!$E$5,C12*M12+N12,IF(C12&lt;K12,C12*O12+P12,Q12)))</f>
        <v>1.126592736831574</v>
      </c>
      <c r="S12" s="286">
        <f t="shared" si="0"/>
        <v>5350.5371359015071</v>
      </c>
      <c r="T12" s="293">
        <f>IF(E12="DHP",VLOOKUP(D12,Calibration!$C$20:$E$22,2,FALSE),IF(D12=1,Calibration!$D$17,Calibration!$D$18))</f>
        <v>0.85917762533929642</v>
      </c>
      <c r="U12" s="286">
        <f t="shared" si="1"/>
        <v>4597.0617907135775</v>
      </c>
      <c r="V12" s="286">
        <f>VLOOKUP(T12,Calibration!$D$17:$E$22,2,FALSE)*S12</f>
        <v>661.15467561806224</v>
      </c>
      <c r="W12" t="s">
        <v>782</v>
      </c>
      <c r="X12">
        <v>565.17622900000003</v>
      </c>
      <c r="Y12">
        <v>0</v>
      </c>
    </row>
    <row r="13" spans="1:25">
      <c r="A13" s="277" t="str">
        <f>SEEMoutput!A15</f>
        <v>NWHZ2CZ3_1568n_20hp85_des0</v>
      </c>
      <c r="B13" s="286">
        <f>SEEMoutput!O15</f>
        <v>4749.3090990000001</v>
      </c>
      <c r="C13" s="287">
        <v>7.9553068706193705E-2</v>
      </c>
      <c r="D13" s="277">
        <f>IF(SEEMoutput!G15&lt;6000,1,IF(SEEMoutput!G15&lt;7500,2,3))</f>
        <v>2</v>
      </c>
      <c r="E13" s="277" t="str">
        <f>IF(LEFT(SEEMoutput!BE15,1)="F","FUR",IF(LEFT(SEEMoutput!BE15,1)="D","DHP","HP"))</f>
        <v>HP</v>
      </c>
      <c r="F13" s="288">
        <f>SEEMoutput!E15</f>
        <v>340.87222600000001</v>
      </c>
      <c r="G13" s="289">
        <f>F13*(69-30)*SEEMoutput!N15/SEEMoutput!M15</f>
        <v>15012.22828837091</v>
      </c>
      <c r="H13" s="290">
        <f>'(Tons) (Furnsize)'!$F$52+'(Tons) (Furnsize)'!$F$53*'(Tons) (Furnsize)'!$B$15+'(Tons) (Furnsize)'!$F$54*G13</f>
        <v>1.8219401769620869</v>
      </c>
      <c r="I13" s="290">
        <f>H13/'(Tons) (Furnsize)'!$G$7</f>
        <v>1.5101276012767577</v>
      </c>
      <c r="J13" s="291">
        <f>F13*(69-VLOOKUP(D13,'(Tons) (Furnsize)'!$D$15:$E$17,2,FALSE))/3412</f>
        <v>6.8933715105509972</v>
      </c>
      <c r="K13" s="292">
        <f>INDEX(Calibration!$A$4:$L$13,MATCH($D13&amp;$E13,Calibration!$A$4:$A$13,0),MATCH(K$4,Calibration!$A$4:$L$4,0))</f>
        <v>0.17499999999999999</v>
      </c>
      <c r="L13" s="292">
        <f>INDEX(Calibration!$A$4:$L$13,MATCH($D13&amp;$E13,Calibration!$A$4:$A$13,0),MATCH(L$4,Calibration!$A$4:$L$4,0))</f>
        <v>1.1965160377936901</v>
      </c>
      <c r="M13" s="292">
        <f>INDEX(Calibration!$A$4:$L$13,MATCH($D13&amp;$E13,Calibration!$A$4:$A$13,0),MATCH(M$4,Calibration!$A$4:$L$4,0))</f>
        <v>-2.050167690250368</v>
      </c>
      <c r="N13" s="292">
        <f>INDEX(Calibration!$A$4:$L$13,MATCH($D13&amp;$E13,Calibration!$A$4:$A$13,0),MATCH(N$4,Calibration!$A$4:$L$4,0))</f>
        <v>1.2990244223062084</v>
      </c>
      <c r="O13" s="292">
        <f>INDEX(Calibration!$A$4:$L$13,MATCH($D13&amp;$E13,Calibration!$A$4:$A$13,0),MATCH(O$4,Calibration!$A$4:$L$4,0))</f>
        <v>-4.1003353805007361</v>
      </c>
      <c r="P13" s="292">
        <f>INDEX(Calibration!$A$4:$L$13,MATCH($D13&amp;$E13,Calibration!$A$4:$A$13,0),MATCH(P$4,Calibration!$A$4:$L$4,0))</f>
        <v>1.452786999074986</v>
      </c>
      <c r="Q13" s="292">
        <f>INDEX(Calibration!$A$4:$L$13,MATCH($D13&amp;$E13,Calibration!$A$4:$A$13,0),MATCH(Q$4,Calibration!$A$4:$L$4,0))</f>
        <v>0.73522830748735724</v>
      </c>
      <c r="R13" s="293">
        <f>IF(C13&lt;Calibration!$F$5,L13,IF(C13&lt;Calibration!$E$5,C13*M13+N13,IF(C13&lt;K13,C13*O13+P13,Q13)))</f>
        <v>1.126592736831574</v>
      </c>
      <c r="S13" s="286">
        <f t="shared" si="0"/>
        <v>5350.5371359015071</v>
      </c>
      <c r="T13" s="293">
        <f>IF(E13="DHP",VLOOKUP(D13,Calibration!$C$20:$E$22,2,FALSE),IF(D13=1,Calibration!$D$17,Calibration!$D$18))</f>
        <v>0.85917762533929642</v>
      </c>
      <c r="U13" s="286">
        <f t="shared" si="1"/>
        <v>4597.0617907135775</v>
      </c>
      <c r="V13" s="286">
        <f>VLOOKUP(T13,Calibration!$D$17:$E$22,2,FALSE)*S13</f>
        <v>661.15467561806224</v>
      </c>
      <c r="W13" t="s">
        <v>785</v>
      </c>
      <c r="X13">
        <v>897.60377600000004</v>
      </c>
      <c r="Y13">
        <v>0</v>
      </c>
    </row>
    <row r="14" spans="1:25">
      <c r="A14" s="277" t="str">
        <f>SEEMoutput!A16</f>
        <v>WxHZ2CZ1_1568e_20hp85_des0</v>
      </c>
      <c r="B14" s="286">
        <f>SEEMoutput!O16</f>
        <v>5476.1121860000003</v>
      </c>
      <c r="C14" s="287">
        <v>8.9767233367063715E-2</v>
      </c>
      <c r="D14" s="277">
        <f>IF(SEEMoutput!G16&lt;6000,1,IF(SEEMoutput!G16&lt;7500,2,3))</f>
        <v>2</v>
      </c>
      <c r="E14" s="277" t="str">
        <f>IF(LEFT(SEEMoutput!BE16,1)="F","FUR",IF(LEFT(SEEMoutput!BE16,1)="D","DHP","HP"))</f>
        <v>HP</v>
      </c>
      <c r="F14" s="288">
        <f>SEEMoutput!E16</f>
        <v>379.89995499999998</v>
      </c>
      <c r="G14" s="289">
        <f>F14*(69-30)*SEEMoutput!N16/SEEMoutput!M16</f>
        <v>16684.676775501623</v>
      </c>
      <c r="H14" s="290">
        <f>'(Tons) (Furnsize)'!$F$52+'(Tons) (Furnsize)'!$F$53*'(Tons) (Furnsize)'!$B$15+'(Tons) (Furnsize)'!$F$54*G14</f>
        <v>2.0183030148714067</v>
      </c>
      <c r="I14" s="290">
        <f>H14/'(Tons) (Furnsize)'!$G$7</f>
        <v>1.6728842851357957</v>
      </c>
      <c r="J14" s="291">
        <f>F14*(69-VLOOKUP(D14,'(Tons) (Furnsize)'!$D$15:$E$17,2,FALSE))/3412</f>
        <v>7.682619254103165</v>
      </c>
      <c r="K14" s="292">
        <f>INDEX(Calibration!$A$4:$L$13,MATCH($D14&amp;$E14,Calibration!$A$4:$A$13,0),MATCH(K$4,Calibration!$A$4:$L$4,0))</f>
        <v>0.17499999999999999</v>
      </c>
      <c r="L14" s="292">
        <f>INDEX(Calibration!$A$4:$L$13,MATCH($D14&amp;$E14,Calibration!$A$4:$A$13,0),MATCH(L$4,Calibration!$A$4:$L$4,0))</f>
        <v>1.1965160377936901</v>
      </c>
      <c r="M14" s="292">
        <f>INDEX(Calibration!$A$4:$L$13,MATCH($D14&amp;$E14,Calibration!$A$4:$A$13,0),MATCH(M$4,Calibration!$A$4:$L$4,0))</f>
        <v>-2.050167690250368</v>
      </c>
      <c r="N14" s="292">
        <f>INDEX(Calibration!$A$4:$L$13,MATCH($D14&amp;$E14,Calibration!$A$4:$A$13,0),MATCH(N$4,Calibration!$A$4:$L$4,0))</f>
        <v>1.2990244223062084</v>
      </c>
      <c r="O14" s="292">
        <f>INDEX(Calibration!$A$4:$L$13,MATCH($D14&amp;$E14,Calibration!$A$4:$A$13,0),MATCH(O$4,Calibration!$A$4:$L$4,0))</f>
        <v>-4.1003353805007361</v>
      </c>
      <c r="P14" s="292">
        <f>INDEX(Calibration!$A$4:$L$13,MATCH($D14&amp;$E14,Calibration!$A$4:$A$13,0),MATCH(P$4,Calibration!$A$4:$L$4,0))</f>
        <v>1.452786999074986</v>
      </c>
      <c r="Q14" s="292">
        <f>INDEX(Calibration!$A$4:$L$13,MATCH($D14&amp;$E14,Calibration!$A$4:$A$13,0),MATCH(Q$4,Calibration!$A$4:$L$4,0))</f>
        <v>0.73522830748735724</v>
      </c>
      <c r="R14" s="293">
        <f>IF(C14&lt;Calibration!$F$5,L14,IF(C14&lt;Calibration!$E$5,C14*M14+N14,IF(C14&lt;K14,C14*O14+P14,Q14)))</f>
        <v>1.0847112360903484</v>
      </c>
      <c r="S14" s="286">
        <f t="shared" si="0"/>
        <v>5940.0004182454804</v>
      </c>
      <c r="T14" s="293">
        <f>IF(E14="DHP",VLOOKUP(D14,Calibration!$C$20:$E$22,2,FALSE),IF(D14=1,Calibration!$D$17,Calibration!$D$18))</f>
        <v>0.85917762533929642</v>
      </c>
      <c r="U14" s="286">
        <f t="shared" si="1"/>
        <v>5103.5154538625793</v>
      </c>
      <c r="V14" s="286">
        <f>VLOOKUP(T14,Calibration!$D$17:$E$22,2,FALSE)*S14</f>
        <v>733.99341971570948</v>
      </c>
      <c r="W14" t="s">
        <v>779</v>
      </c>
      <c r="X14">
        <v>283.834363</v>
      </c>
      <c r="Y14">
        <v>0</v>
      </c>
    </row>
    <row r="15" spans="1:25">
      <c r="A15" s="277" t="str">
        <f>SEEMoutput!A17</f>
        <v>WxHZ2CZ2_1568e_20hp85_des0</v>
      </c>
      <c r="B15" s="286">
        <f>SEEMoutput!O17</f>
        <v>5476.1121860000003</v>
      </c>
      <c r="C15" s="287">
        <v>8.9767233367063715E-2</v>
      </c>
      <c r="D15" s="277">
        <f>IF(SEEMoutput!G17&lt;6000,1,IF(SEEMoutput!G17&lt;7500,2,3))</f>
        <v>2</v>
      </c>
      <c r="E15" s="277" t="str">
        <f>IF(LEFT(SEEMoutput!BE17,1)="F","FUR",IF(LEFT(SEEMoutput!BE17,1)="D","DHP","HP"))</f>
        <v>HP</v>
      </c>
      <c r="F15" s="288">
        <f>SEEMoutput!E17</f>
        <v>379.89995499999998</v>
      </c>
      <c r="G15" s="289">
        <f>F15*(69-30)*SEEMoutput!N17/SEEMoutput!M17</f>
        <v>16684.676775501623</v>
      </c>
      <c r="H15" s="290">
        <f>'(Tons) (Furnsize)'!$F$52+'(Tons) (Furnsize)'!$F$53*'(Tons) (Furnsize)'!$B$15+'(Tons) (Furnsize)'!$F$54*G15</f>
        <v>2.0183030148714067</v>
      </c>
      <c r="I15" s="290">
        <f>H15/'(Tons) (Furnsize)'!$G$7</f>
        <v>1.6728842851357957</v>
      </c>
      <c r="J15" s="291">
        <f>F15*(69-VLOOKUP(D15,'(Tons) (Furnsize)'!$D$15:$E$17,2,FALSE))/3412</f>
        <v>7.682619254103165</v>
      </c>
      <c r="K15" s="292">
        <f>INDEX(Calibration!$A$4:$L$13,MATCH($D15&amp;$E15,Calibration!$A$4:$A$13,0),MATCH(K$4,Calibration!$A$4:$L$4,0))</f>
        <v>0.17499999999999999</v>
      </c>
      <c r="L15" s="292">
        <f>INDEX(Calibration!$A$4:$L$13,MATCH($D15&amp;$E15,Calibration!$A$4:$A$13,0),MATCH(L$4,Calibration!$A$4:$L$4,0))</f>
        <v>1.1965160377936901</v>
      </c>
      <c r="M15" s="292">
        <f>INDEX(Calibration!$A$4:$L$13,MATCH($D15&amp;$E15,Calibration!$A$4:$A$13,0),MATCH(M$4,Calibration!$A$4:$L$4,0))</f>
        <v>-2.050167690250368</v>
      </c>
      <c r="N15" s="292">
        <f>INDEX(Calibration!$A$4:$L$13,MATCH($D15&amp;$E15,Calibration!$A$4:$A$13,0),MATCH(N$4,Calibration!$A$4:$L$4,0))</f>
        <v>1.2990244223062084</v>
      </c>
      <c r="O15" s="292">
        <f>INDEX(Calibration!$A$4:$L$13,MATCH($D15&amp;$E15,Calibration!$A$4:$A$13,0),MATCH(O$4,Calibration!$A$4:$L$4,0))</f>
        <v>-4.1003353805007361</v>
      </c>
      <c r="P15" s="292">
        <f>INDEX(Calibration!$A$4:$L$13,MATCH($D15&amp;$E15,Calibration!$A$4:$A$13,0),MATCH(P$4,Calibration!$A$4:$L$4,0))</f>
        <v>1.452786999074986</v>
      </c>
      <c r="Q15" s="292">
        <f>INDEX(Calibration!$A$4:$L$13,MATCH($D15&amp;$E15,Calibration!$A$4:$A$13,0),MATCH(Q$4,Calibration!$A$4:$L$4,0))</f>
        <v>0.73522830748735724</v>
      </c>
      <c r="R15" s="293">
        <f>IF(C15&lt;Calibration!$F$5,L15,IF(C15&lt;Calibration!$E$5,C15*M15+N15,IF(C15&lt;K15,C15*O15+P15,Q15)))</f>
        <v>1.0847112360903484</v>
      </c>
      <c r="S15" s="286">
        <f t="shared" si="0"/>
        <v>5940.0004182454804</v>
      </c>
      <c r="T15" s="293">
        <f>IF(E15="DHP",VLOOKUP(D15,Calibration!$C$20:$E$22,2,FALSE),IF(D15=1,Calibration!$D$17,Calibration!$D$18))</f>
        <v>0.85917762533929642</v>
      </c>
      <c r="U15" s="286">
        <f t="shared" si="1"/>
        <v>5103.5154538625793</v>
      </c>
      <c r="V15" s="286">
        <f>VLOOKUP(T15,Calibration!$D$17:$E$22,2,FALSE)*S15</f>
        <v>733.99341971570948</v>
      </c>
      <c r="W15" t="s">
        <v>782</v>
      </c>
      <c r="X15">
        <v>549.97146099999998</v>
      </c>
      <c r="Y15">
        <v>0</v>
      </c>
    </row>
    <row r="16" spans="1:25">
      <c r="A16" s="277" t="str">
        <f>SEEMoutput!A18</f>
        <v>WxHZ2CZ3_1568e_20hp85_des0</v>
      </c>
      <c r="B16" s="286">
        <f>SEEMoutput!O18</f>
        <v>5476.1121860000003</v>
      </c>
      <c r="C16" s="287">
        <v>8.9767233367063715E-2</v>
      </c>
      <c r="D16" s="277">
        <f>IF(SEEMoutput!G18&lt;6000,1,IF(SEEMoutput!G18&lt;7500,2,3))</f>
        <v>2</v>
      </c>
      <c r="E16" s="277" t="str">
        <f>IF(LEFT(SEEMoutput!BE18,1)="F","FUR",IF(LEFT(SEEMoutput!BE18,1)="D","DHP","HP"))</f>
        <v>HP</v>
      </c>
      <c r="F16" s="288">
        <f>SEEMoutput!E18</f>
        <v>379.89995499999998</v>
      </c>
      <c r="G16" s="289">
        <f>F16*(69-30)*SEEMoutput!N18/SEEMoutput!M18</f>
        <v>16684.676775501623</v>
      </c>
      <c r="H16" s="290">
        <f>'(Tons) (Furnsize)'!$F$52+'(Tons) (Furnsize)'!$F$53*'(Tons) (Furnsize)'!$B$15+'(Tons) (Furnsize)'!$F$54*G16</f>
        <v>2.0183030148714067</v>
      </c>
      <c r="I16" s="290">
        <f>H16/'(Tons) (Furnsize)'!$G$7</f>
        <v>1.6728842851357957</v>
      </c>
      <c r="J16" s="291">
        <f>F16*(69-VLOOKUP(D16,'(Tons) (Furnsize)'!$D$15:$E$17,2,FALSE))/3412</f>
        <v>7.682619254103165</v>
      </c>
      <c r="K16" s="292">
        <f>INDEX(Calibration!$A$4:$L$13,MATCH($D16&amp;$E16,Calibration!$A$4:$A$13,0),MATCH(K$4,Calibration!$A$4:$L$4,0))</f>
        <v>0.17499999999999999</v>
      </c>
      <c r="L16" s="292">
        <f>INDEX(Calibration!$A$4:$L$13,MATCH($D16&amp;$E16,Calibration!$A$4:$A$13,0),MATCH(L$4,Calibration!$A$4:$L$4,0))</f>
        <v>1.1965160377936901</v>
      </c>
      <c r="M16" s="292">
        <f>INDEX(Calibration!$A$4:$L$13,MATCH($D16&amp;$E16,Calibration!$A$4:$A$13,0),MATCH(M$4,Calibration!$A$4:$L$4,0))</f>
        <v>-2.050167690250368</v>
      </c>
      <c r="N16" s="292">
        <f>INDEX(Calibration!$A$4:$L$13,MATCH($D16&amp;$E16,Calibration!$A$4:$A$13,0),MATCH(N$4,Calibration!$A$4:$L$4,0))</f>
        <v>1.2990244223062084</v>
      </c>
      <c r="O16" s="292">
        <f>INDEX(Calibration!$A$4:$L$13,MATCH($D16&amp;$E16,Calibration!$A$4:$A$13,0),MATCH(O$4,Calibration!$A$4:$L$4,0))</f>
        <v>-4.1003353805007361</v>
      </c>
      <c r="P16" s="292">
        <f>INDEX(Calibration!$A$4:$L$13,MATCH($D16&amp;$E16,Calibration!$A$4:$A$13,0),MATCH(P$4,Calibration!$A$4:$L$4,0))</f>
        <v>1.452786999074986</v>
      </c>
      <c r="Q16" s="292">
        <f>INDEX(Calibration!$A$4:$L$13,MATCH($D16&amp;$E16,Calibration!$A$4:$A$13,0),MATCH(Q$4,Calibration!$A$4:$L$4,0))</f>
        <v>0.73522830748735724</v>
      </c>
      <c r="R16" s="293">
        <f>IF(C16&lt;Calibration!$F$5,L16,IF(C16&lt;Calibration!$E$5,C16*M16+N16,IF(C16&lt;K16,C16*O16+P16,Q16)))</f>
        <v>1.0847112360903484</v>
      </c>
      <c r="S16" s="286">
        <f t="shared" si="0"/>
        <v>5940.0004182454804</v>
      </c>
      <c r="T16" s="293">
        <f>IF(E16="DHP",VLOOKUP(D16,Calibration!$C$20:$E$22,2,FALSE),IF(D16=1,Calibration!$D$17,Calibration!$D$18))</f>
        <v>0.85917762533929642</v>
      </c>
      <c r="U16" s="286">
        <f t="shared" si="1"/>
        <v>5103.5154538625793</v>
      </c>
      <c r="V16" s="286">
        <f>VLOOKUP(T16,Calibration!$D$17:$E$22,2,FALSE)*S16</f>
        <v>733.99341971570948</v>
      </c>
      <c r="W16" t="s">
        <v>785</v>
      </c>
      <c r="X16">
        <v>896.45154300000002</v>
      </c>
      <c r="Y16">
        <v>0</v>
      </c>
    </row>
    <row r="17" spans="1:25">
      <c r="A17" s="277" t="str">
        <f>SEEMoutput!A19</f>
        <v>NWHZ3CZ1_1568n_20hp85_des0</v>
      </c>
      <c r="B17" s="286">
        <f>SEEMoutput!O19</f>
        <v>6537.5637049999996</v>
      </c>
      <c r="C17" s="287">
        <v>7.9314158171842564E-2</v>
      </c>
      <c r="D17" s="277">
        <f>IF(SEEMoutput!G19&lt;6000,1,IF(SEEMoutput!G19&lt;7500,2,3))</f>
        <v>3</v>
      </c>
      <c r="E17" s="277" t="str">
        <f>IF(LEFT(SEEMoutput!BE19,1)="F","FUR",IF(LEFT(SEEMoutput!BE19,1)="D","DHP","HP"))</f>
        <v>HP</v>
      </c>
      <c r="F17" s="288">
        <f>SEEMoutput!E19</f>
        <v>338.600503</v>
      </c>
      <c r="G17" s="289">
        <f>F17*(69-30)*SEEMoutput!N19/SEEMoutput!M19</f>
        <v>15026.026901170266</v>
      </c>
      <c r="H17" s="290">
        <f>'(Tons) (Furnsize)'!$F$52+'(Tons) (Furnsize)'!$F$53*'(Tons) (Furnsize)'!$B$15+'(Tons) (Furnsize)'!$F$54*G17</f>
        <v>1.8235602775447615</v>
      </c>
      <c r="I17" s="290">
        <f>H17/'(Tons) (Furnsize)'!$G$7</f>
        <v>1.5114704327471196</v>
      </c>
      <c r="J17" s="291">
        <f>F17*(69-VLOOKUP(D17,'(Tons) (Furnsize)'!$D$15:$E$17,2,FALSE))/3412</f>
        <v>9.3283843147713945</v>
      </c>
      <c r="K17" s="292">
        <f>INDEX(Calibration!$A$4:$L$13,MATCH($D17&amp;$E17,Calibration!$A$4:$A$13,0),MATCH(K$4,Calibration!$A$4:$L$4,0))</f>
        <v>0.15</v>
      </c>
      <c r="L17" s="292">
        <f>INDEX(Calibration!$A$4:$L$13,MATCH($D17&amp;$E17,Calibration!$A$4:$A$13,0),MATCH(L$4,Calibration!$A$4:$L$4,0))</f>
        <v>1.0259371368886356</v>
      </c>
      <c r="M17" s="292">
        <f>INDEX(Calibration!$A$4:$L$13,MATCH($D17&amp;$E17,Calibration!$A$4:$A$13,0),MATCH(M$4,Calibration!$A$4:$L$4,0))</f>
        <v>-1.8551508104013119</v>
      </c>
      <c r="N17" s="292">
        <f>INDEX(Calibration!$A$4:$L$13,MATCH($D17&amp;$E17,Calibration!$A$4:$A$13,0),MATCH(N$4,Calibration!$A$4:$L$4,0))</f>
        <v>1.1186946774087012</v>
      </c>
      <c r="O17" s="292">
        <f>INDEX(Calibration!$A$4:$L$13,MATCH($D17&amp;$E17,Calibration!$A$4:$A$13,0),MATCH(O$4,Calibration!$A$4:$L$4,0))</f>
        <v>-3.7103016208026238</v>
      </c>
      <c r="P17" s="292">
        <f>INDEX(Calibration!$A$4:$L$13,MATCH($D17&amp;$E17,Calibration!$A$4:$A$13,0),MATCH(P$4,Calibration!$A$4:$L$4,0))</f>
        <v>1.2578309881887995</v>
      </c>
      <c r="Q17" s="292">
        <f>INDEX(Calibration!$A$4:$L$13,MATCH($D17&amp;$E17,Calibration!$A$4:$A$13,0),MATCH(Q$4,Calibration!$A$4:$L$4,0))</f>
        <v>0.7012857450684058</v>
      </c>
      <c r="R17" s="293">
        <f>IF(C17&lt;Calibration!$F$5,L17,IF(C17&lt;Calibration!$E$5,C17*M17+N17,IF(C17&lt;K17,C17*O17+P17,Q17)))</f>
        <v>0.96355153857121634</v>
      </c>
      <c r="S17" s="286">
        <f t="shared" si="0"/>
        <v>6299.2795664600908</v>
      </c>
      <c r="T17" s="293">
        <f>IF(E17="DHP",VLOOKUP(D17,Calibration!$C$20:$E$22,2,FALSE),IF(D17=1,Calibration!$D$17,Calibration!$D$18))</f>
        <v>0.85917762533929642</v>
      </c>
      <c r="U17" s="286">
        <f t="shared" si="1"/>
        <v>5412.2000592595332</v>
      </c>
      <c r="V17" s="286">
        <f>VLOOKUP(T17,Calibration!$D$17:$E$22,2,FALSE)*S17</f>
        <v>778.38879211679114</v>
      </c>
      <c r="W17" t="s">
        <v>794</v>
      </c>
      <c r="X17">
        <v>306.99070799999998</v>
      </c>
      <c r="Y17">
        <v>0</v>
      </c>
    </row>
    <row r="18" spans="1:25">
      <c r="A18" s="277" t="str">
        <f>SEEMoutput!A20</f>
        <v>NWHZ3CZ2_1568n_20hp85_des0</v>
      </c>
      <c r="B18" s="286">
        <f>SEEMoutput!O20</f>
        <v>6537.5637049999996</v>
      </c>
      <c r="C18" s="287">
        <v>7.9314158171842564E-2</v>
      </c>
      <c r="D18" s="277">
        <f>IF(SEEMoutput!G20&lt;6000,1,IF(SEEMoutput!G20&lt;7500,2,3))</f>
        <v>3</v>
      </c>
      <c r="E18" s="277" t="str">
        <f>IF(LEFT(SEEMoutput!BE20,1)="F","FUR",IF(LEFT(SEEMoutput!BE20,1)="D","DHP","HP"))</f>
        <v>HP</v>
      </c>
      <c r="F18" s="288">
        <f>SEEMoutput!E20</f>
        <v>338.600503</v>
      </c>
      <c r="G18" s="289">
        <f>F18*(69-30)*SEEMoutput!N20/SEEMoutput!M20</f>
        <v>15026.026901170266</v>
      </c>
      <c r="H18" s="290">
        <f>'(Tons) (Furnsize)'!$F$52+'(Tons) (Furnsize)'!$F$53*'(Tons) (Furnsize)'!$B$15+'(Tons) (Furnsize)'!$F$54*G18</f>
        <v>1.8235602775447615</v>
      </c>
      <c r="I18" s="290">
        <f>H18/'(Tons) (Furnsize)'!$G$7</f>
        <v>1.5114704327471196</v>
      </c>
      <c r="J18" s="291">
        <f>F18*(69-VLOOKUP(D18,'(Tons) (Furnsize)'!$D$15:$E$17,2,FALSE))/3412</f>
        <v>9.3283843147713945</v>
      </c>
      <c r="K18" s="292">
        <f>INDEX(Calibration!$A$4:$L$13,MATCH($D18&amp;$E18,Calibration!$A$4:$A$13,0),MATCH(K$4,Calibration!$A$4:$L$4,0))</f>
        <v>0.15</v>
      </c>
      <c r="L18" s="292">
        <f>INDEX(Calibration!$A$4:$L$13,MATCH($D18&amp;$E18,Calibration!$A$4:$A$13,0),MATCH(L$4,Calibration!$A$4:$L$4,0))</f>
        <v>1.0259371368886356</v>
      </c>
      <c r="M18" s="292">
        <f>INDEX(Calibration!$A$4:$L$13,MATCH($D18&amp;$E18,Calibration!$A$4:$A$13,0),MATCH(M$4,Calibration!$A$4:$L$4,0))</f>
        <v>-1.8551508104013119</v>
      </c>
      <c r="N18" s="292">
        <f>INDEX(Calibration!$A$4:$L$13,MATCH($D18&amp;$E18,Calibration!$A$4:$A$13,0),MATCH(N$4,Calibration!$A$4:$L$4,0))</f>
        <v>1.1186946774087012</v>
      </c>
      <c r="O18" s="292">
        <f>INDEX(Calibration!$A$4:$L$13,MATCH($D18&amp;$E18,Calibration!$A$4:$A$13,0),MATCH(O$4,Calibration!$A$4:$L$4,0))</f>
        <v>-3.7103016208026238</v>
      </c>
      <c r="P18" s="292">
        <f>INDEX(Calibration!$A$4:$L$13,MATCH($D18&amp;$E18,Calibration!$A$4:$A$13,0),MATCH(P$4,Calibration!$A$4:$L$4,0))</f>
        <v>1.2578309881887995</v>
      </c>
      <c r="Q18" s="292">
        <f>INDEX(Calibration!$A$4:$L$13,MATCH($D18&amp;$E18,Calibration!$A$4:$A$13,0),MATCH(Q$4,Calibration!$A$4:$L$4,0))</f>
        <v>0.7012857450684058</v>
      </c>
      <c r="R18" s="293">
        <f>IF(C18&lt;Calibration!$F$5,L18,IF(C18&lt;Calibration!$E$5,C18*M18+N18,IF(C18&lt;K18,C18*O18+P18,Q18)))</f>
        <v>0.96355153857121634</v>
      </c>
      <c r="S18" s="286">
        <f t="shared" si="0"/>
        <v>6299.2795664600908</v>
      </c>
      <c r="T18" s="293">
        <f>IF(E18="DHP",VLOOKUP(D18,Calibration!$C$20:$E$22,2,FALSE),IF(D18=1,Calibration!$D$17,Calibration!$D$18))</f>
        <v>0.85917762533929642</v>
      </c>
      <c r="U18" s="286">
        <f t="shared" si="1"/>
        <v>5412.2000592595332</v>
      </c>
      <c r="V18" s="286">
        <f>VLOOKUP(T18,Calibration!$D$17:$E$22,2,FALSE)*S18</f>
        <v>778.38879211679114</v>
      </c>
      <c r="W18" t="s">
        <v>797</v>
      </c>
      <c r="X18">
        <v>565.17622900000003</v>
      </c>
      <c r="Y18">
        <v>0</v>
      </c>
    </row>
    <row r="19" spans="1:25">
      <c r="A19" s="277" t="str">
        <f>SEEMoutput!A21</f>
        <v>NWHZ3CZ3_1568n_20hp85_des0</v>
      </c>
      <c r="B19" s="286">
        <f>SEEMoutput!O21</f>
        <v>6537.5637049999996</v>
      </c>
      <c r="C19" s="287">
        <v>7.9314158171842564E-2</v>
      </c>
      <c r="D19" s="277">
        <f>IF(SEEMoutput!G21&lt;6000,1,IF(SEEMoutput!G21&lt;7500,2,3))</f>
        <v>3</v>
      </c>
      <c r="E19" s="277" t="str">
        <f>IF(LEFT(SEEMoutput!BE21,1)="F","FUR",IF(LEFT(SEEMoutput!BE21,1)="D","DHP","HP"))</f>
        <v>HP</v>
      </c>
      <c r="F19" s="288">
        <f>SEEMoutput!E21</f>
        <v>338.600503</v>
      </c>
      <c r="G19" s="289">
        <f>F19*(69-30)*SEEMoutput!N21/SEEMoutput!M21</f>
        <v>15026.026901170266</v>
      </c>
      <c r="H19" s="290">
        <f>'(Tons) (Furnsize)'!$F$52+'(Tons) (Furnsize)'!$F$53*'(Tons) (Furnsize)'!$B$15+'(Tons) (Furnsize)'!$F$54*G19</f>
        <v>1.8235602775447615</v>
      </c>
      <c r="I19" s="290">
        <f>H19/'(Tons) (Furnsize)'!$G$7</f>
        <v>1.5114704327471196</v>
      </c>
      <c r="J19" s="291">
        <f>F19*(69-VLOOKUP(D19,'(Tons) (Furnsize)'!$D$15:$E$17,2,FALSE))/3412</f>
        <v>9.3283843147713945</v>
      </c>
      <c r="K19" s="292">
        <f>INDEX(Calibration!$A$4:$L$13,MATCH($D19&amp;$E19,Calibration!$A$4:$A$13,0),MATCH(K$4,Calibration!$A$4:$L$4,0))</f>
        <v>0.15</v>
      </c>
      <c r="L19" s="292">
        <f>INDEX(Calibration!$A$4:$L$13,MATCH($D19&amp;$E19,Calibration!$A$4:$A$13,0),MATCH(L$4,Calibration!$A$4:$L$4,0))</f>
        <v>1.0259371368886356</v>
      </c>
      <c r="M19" s="292">
        <f>INDEX(Calibration!$A$4:$L$13,MATCH($D19&amp;$E19,Calibration!$A$4:$A$13,0),MATCH(M$4,Calibration!$A$4:$L$4,0))</f>
        <v>-1.8551508104013119</v>
      </c>
      <c r="N19" s="292">
        <f>INDEX(Calibration!$A$4:$L$13,MATCH($D19&amp;$E19,Calibration!$A$4:$A$13,0),MATCH(N$4,Calibration!$A$4:$L$4,0))</f>
        <v>1.1186946774087012</v>
      </c>
      <c r="O19" s="292">
        <f>INDEX(Calibration!$A$4:$L$13,MATCH($D19&amp;$E19,Calibration!$A$4:$A$13,0),MATCH(O$4,Calibration!$A$4:$L$4,0))</f>
        <v>-3.7103016208026238</v>
      </c>
      <c r="P19" s="292">
        <f>INDEX(Calibration!$A$4:$L$13,MATCH($D19&amp;$E19,Calibration!$A$4:$A$13,0),MATCH(P$4,Calibration!$A$4:$L$4,0))</f>
        <v>1.2578309881887995</v>
      </c>
      <c r="Q19" s="292">
        <f>INDEX(Calibration!$A$4:$L$13,MATCH($D19&amp;$E19,Calibration!$A$4:$A$13,0),MATCH(Q$4,Calibration!$A$4:$L$4,0))</f>
        <v>0.7012857450684058</v>
      </c>
      <c r="R19" s="293">
        <f>IF(C19&lt;Calibration!$F$5,L19,IF(C19&lt;Calibration!$E$5,C19*M19+N19,IF(C19&lt;K19,C19*O19+P19,Q19)))</f>
        <v>0.96355153857121634</v>
      </c>
      <c r="S19" s="286">
        <f t="shared" si="0"/>
        <v>6299.2795664600908</v>
      </c>
      <c r="T19" s="293">
        <f>IF(E19="DHP",VLOOKUP(D19,Calibration!$C$20:$E$22,2,FALSE),IF(D19=1,Calibration!$D$17,Calibration!$D$18))</f>
        <v>0.85917762533929642</v>
      </c>
      <c r="U19" s="286">
        <f t="shared" si="1"/>
        <v>5412.2000592595332</v>
      </c>
      <c r="V19" s="286">
        <f>VLOOKUP(T19,Calibration!$D$17:$E$22,2,FALSE)*S19</f>
        <v>778.38879211679114</v>
      </c>
      <c r="W19" t="s">
        <v>800</v>
      </c>
      <c r="X19">
        <v>897.60377600000004</v>
      </c>
      <c r="Y19">
        <v>0</v>
      </c>
    </row>
    <row r="20" spans="1:25">
      <c r="A20" s="277" t="str">
        <f>SEEMoutput!A22</f>
        <v>WxHZ3CZ1_1568e_20hp85_des0</v>
      </c>
      <c r="B20" s="286">
        <f>SEEMoutput!O22</f>
        <v>7552.8177930000002</v>
      </c>
      <c r="C20" s="287">
        <v>8.9506490527369059E-2</v>
      </c>
      <c r="D20" s="277">
        <f>IF(SEEMoutput!G22&lt;6000,1,IF(SEEMoutput!G22&lt;7500,2,3))</f>
        <v>3</v>
      </c>
      <c r="E20" s="277" t="str">
        <f>IF(LEFT(SEEMoutput!BE22,1)="F","FUR",IF(LEFT(SEEMoutput!BE22,1)="D","DHP","HP"))</f>
        <v>HP</v>
      </c>
      <c r="F20" s="288">
        <f>SEEMoutput!E22</f>
        <v>377.50067000000001</v>
      </c>
      <c r="G20" s="289">
        <f>F20*(69-30)*SEEMoutput!N22/SEEMoutput!M22</f>
        <v>16689.064776929201</v>
      </c>
      <c r="H20" s="290">
        <f>'(Tons) (Furnsize)'!$F$52+'(Tons) (Furnsize)'!$F$53*'(Tons) (Furnsize)'!$B$15+'(Tons) (Furnsize)'!$F$54*G20</f>
        <v>2.0188182118533762</v>
      </c>
      <c r="I20" s="290">
        <f>H20/'(Tons) (Furnsize)'!$G$7</f>
        <v>1.6733113096849024</v>
      </c>
      <c r="J20" s="291">
        <f>F20*(69-VLOOKUP(D20,'(Tons) (Furnsize)'!$D$15:$E$17,2,FALSE))/3412</f>
        <v>10.400077075029309</v>
      </c>
      <c r="K20" s="292">
        <f>INDEX(Calibration!$A$4:$L$13,MATCH($D20&amp;$E20,Calibration!$A$4:$A$13,0),MATCH(K$4,Calibration!$A$4:$L$4,0))</f>
        <v>0.15</v>
      </c>
      <c r="L20" s="292">
        <f>INDEX(Calibration!$A$4:$L$13,MATCH($D20&amp;$E20,Calibration!$A$4:$A$13,0),MATCH(L$4,Calibration!$A$4:$L$4,0))</f>
        <v>1.0259371368886356</v>
      </c>
      <c r="M20" s="292">
        <f>INDEX(Calibration!$A$4:$L$13,MATCH($D20&amp;$E20,Calibration!$A$4:$A$13,0),MATCH(M$4,Calibration!$A$4:$L$4,0))</f>
        <v>-1.8551508104013119</v>
      </c>
      <c r="N20" s="292">
        <f>INDEX(Calibration!$A$4:$L$13,MATCH($D20&amp;$E20,Calibration!$A$4:$A$13,0),MATCH(N$4,Calibration!$A$4:$L$4,0))</f>
        <v>1.1186946774087012</v>
      </c>
      <c r="O20" s="292">
        <f>INDEX(Calibration!$A$4:$L$13,MATCH($D20&amp;$E20,Calibration!$A$4:$A$13,0),MATCH(O$4,Calibration!$A$4:$L$4,0))</f>
        <v>-3.7103016208026238</v>
      </c>
      <c r="P20" s="292">
        <f>INDEX(Calibration!$A$4:$L$13,MATCH($D20&amp;$E20,Calibration!$A$4:$A$13,0),MATCH(P$4,Calibration!$A$4:$L$4,0))</f>
        <v>1.2578309881887995</v>
      </c>
      <c r="Q20" s="292">
        <f>INDEX(Calibration!$A$4:$L$13,MATCH($D20&amp;$E20,Calibration!$A$4:$A$13,0),MATCH(Q$4,Calibration!$A$4:$L$4,0))</f>
        <v>0.7012857450684058</v>
      </c>
      <c r="R20" s="293">
        <f>IF(C20&lt;Calibration!$F$5,L20,IF(C20&lt;Calibration!$E$5,C20*M20+N20,IF(C20&lt;K20,C20*O20+P20,Q20)))</f>
        <v>0.92573491131274732</v>
      </c>
      <c r="S20" s="286">
        <f t="shared" si="0"/>
        <v>6991.9071097641954</v>
      </c>
      <c r="T20" s="293">
        <f>IF(E20="DHP",VLOOKUP(D20,Calibration!$C$20:$E$22,2,FALSE),IF(D20=1,Calibration!$D$17,Calibration!$D$18))</f>
        <v>0.85917762533929642</v>
      </c>
      <c r="U20" s="286">
        <f t="shared" si="1"/>
        <v>6007.2901471601444</v>
      </c>
      <c r="V20" s="286">
        <f>VLOOKUP(T20,Calibration!$D$17:$E$22,2,FALSE)*S20</f>
        <v>863.97532802636829</v>
      </c>
      <c r="W20" t="s">
        <v>794</v>
      </c>
      <c r="X20">
        <v>283.834363</v>
      </c>
      <c r="Y20">
        <v>0</v>
      </c>
    </row>
    <row r="21" spans="1:25">
      <c r="A21" s="277" t="str">
        <f>SEEMoutput!A23</f>
        <v>WxHZ3CZ2_1568e_20hp85_des0</v>
      </c>
      <c r="B21" s="286">
        <f>SEEMoutput!O23</f>
        <v>7552.8177930000002</v>
      </c>
      <c r="C21" s="287">
        <v>8.9506490527369059E-2</v>
      </c>
      <c r="D21" s="277">
        <f>IF(SEEMoutput!G23&lt;6000,1,IF(SEEMoutput!G23&lt;7500,2,3))</f>
        <v>3</v>
      </c>
      <c r="E21" s="277" t="str">
        <f>IF(LEFT(SEEMoutput!BE23,1)="F","FUR",IF(LEFT(SEEMoutput!BE23,1)="D","DHP","HP"))</f>
        <v>HP</v>
      </c>
      <c r="F21" s="288">
        <f>SEEMoutput!E23</f>
        <v>377.50067000000001</v>
      </c>
      <c r="G21" s="289">
        <f>F21*(69-30)*SEEMoutput!N23/SEEMoutput!M23</f>
        <v>16689.064776929201</v>
      </c>
      <c r="H21" s="290">
        <f>'(Tons) (Furnsize)'!$F$52+'(Tons) (Furnsize)'!$F$53*'(Tons) (Furnsize)'!$B$15+'(Tons) (Furnsize)'!$F$54*G21</f>
        <v>2.0188182118533762</v>
      </c>
      <c r="I21" s="290">
        <f>H21/'(Tons) (Furnsize)'!$G$7</f>
        <v>1.6733113096849024</v>
      </c>
      <c r="J21" s="291">
        <f>F21*(69-VLOOKUP(D21,'(Tons) (Furnsize)'!$D$15:$E$17,2,FALSE))/3412</f>
        <v>10.400077075029309</v>
      </c>
      <c r="K21" s="292">
        <f>INDEX(Calibration!$A$4:$L$13,MATCH($D21&amp;$E21,Calibration!$A$4:$A$13,0),MATCH(K$4,Calibration!$A$4:$L$4,0))</f>
        <v>0.15</v>
      </c>
      <c r="L21" s="292">
        <f>INDEX(Calibration!$A$4:$L$13,MATCH($D21&amp;$E21,Calibration!$A$4:$A$13,0),MATCH(L$4,Calibration!$A$4:$L$4,0))</f>
        <v>1.0259371368886356</v>
      </c>
      <c r="M21" s="292">
        <f>INDEX(Calibration!$A$4:$L$13,MATCH($D21&amp;$E21,Calibration!$A$4:$A$13,0),MATCH(M$4,Calibration!$A$4:$L$4,0))</f>
        <v>-1.8551508104013119</v>
      </c>
      <c r="N21" s="292">
        <f>INDEX(Calibration!$A$4:$L$13,MATCH($D21&amp;$E21,Calibration!$A$4:$A$13,0),MATCH(N$4,Calibration!$A$4:$L$4,0))</f>
        <v>1.1186946774087012</v>
      </c>
      <c r="O21" s="292">
        <f>INDEX(Calibration!$A$4:$L$13,MATCH($D21&amp;$E21,Calibration!$A$4:$A$13,0),MATCH(O$4,Calibration!$A$4:$L$4,0))</f>
        <v>-3.7103016208026238</v>
      </c>
      <c r="P21" s="292">
        <f>INDEX(Calibration!$A$4:$L$13,MATCH($D21&amp;$E21,Calibration!$A$4:$A$13,0),MATCH(P$4,Calibration!$A$4:$L$4,0))</f>
        <v>1.2578309881887995</v>
      </c>
      <c r="Q21" s="292">
        <f>INDEX(Calibration!$A$4:$L$13,MATCH($D21&amp;$E21,Calibration!$A$4:$A$13,0),MATCH(Q$4,Calibration!$A$4:$L$4,0))</f>
        <v>0.7012857450684058</v>
      </c>
      <c r="R21" s="293">
        <f>IF(C21&lt;Calibration!$F$5,L21,IF(C21&lt;Calibration!$E$5,C21*M21+N21,IF(C21&lt;K21,C21*O21+P21,Q21)))</f>
        <v>0.92573491131274732</v>
      </c>
      <c r="S21" s="286">
        <f t="shared" si="0"/>
        <v>6991.9071097641954</v>
      </c>
      <c r="T21" s="293">
        <f>IF(E21="DHP",VLOOKUP(D21,Calibration!$C$20:$E$22,2,FALSE),IF(D21=1,Calibration!$D$17,Calibration!$D$18))</f>
        <v>0.85917762533929642</v>
      </c>
      <c r="U21" s="286">
        <f t="shared" si="1"/>
        <v>6007.2901471601444</v>
      </c>
      <c r="V21" s="286">
        <f>VLOOKUP(T21,Calibration!$D$17:$E$22,2,FALSE)*S21</f>
        <v>863.97532802636829</v>
      </c>
      <c r="W21" t="s">
        <v>797</v>
      </c>
      <c r="X21">
        <v>549.97146099999998</v>
      </c>
      <c r="Y21">
        <v>0</v>
      </c>
    </row>
    <row r="22" spans="1:25">
      <c r="A22" s="277" t="str">
        <f>SEEMoutput!A24</f>
        <v>WxHZ3CZ3_1568e_20hp85_des0</v>
      </c>
      <c r="B22" s="286">
        <f>SEEMoutput!O24</f>
        <v>7552.8177930000002</v>
      </c>
      <c r="C22" s="287">
        <v>8.9506490527369059E-2</v>
      </c>
      <c r="D22" s="277">
        <f>IF(SEEMoutput!G24&lt;6000,1,IF(SEEMoutput!G24&lt;7500,2,3))</f>
        <v>3</v>
      </c>
      <c r="E22" s="277" t="str">
        <f>IF(LEFT(SEEMoutput!BE24,1)="F","FUR",IF(LEFT(SEEMoutput!BE24,1)="D","DHP","HP"))</f>
        <v>HP</v>
      </c>
      <c r="F22" s="288">
        <f>SEEMoutput!E24</f>
        <v>377.50067000000001</v>
      </c>
      <c r="G22" s="289">
        <f>F22*(69-30)*SEEMoutput!N24/SEEMoutput!M24</f>
        <v>16689.064776929201</v>
      </c>
      <c r="H22" s="290">
        <f>'(Tons) (Furnsize)'!$F$52+'(Tons) (Furnsize)'!$F$53*'(Tons) (Furnsize)'!$B$15+'(Tons) (Furnsize)'!$F$54*G22</f>
        <v>2.0188182118533762</v>
      </c>
      <c r="I22" s="290">
        <f>H22/'(Tons) (Furnsize)'!$G$7</f>
        <v>1.6733113096849024</v>
      </c>
      <c r="J22" s="291">
        <f>F22*(69-VLOOKUP(D22,'(Tons) (Furnsize)'!$D$15:$E$17,2,FALSE))/3412</f>
        <v>10.400077075029309</v>
      </c>
      <c r="K22" s="292">
        <f>INDEX(Calibration!$A$4:$L$13,MATCH($D22&amp;$E22,Calibration!$A$4:$A$13,0),MATCH(K$4,Calibration!$A$4:$L$4,0))</f>
        <v>0.15</v>
      </c>
      <c r="L22" s="292">
        <f>INDEX(Calibration!$A$4:$L$13,MATCH($D22&amp;$E22,Calibration!$A$4:$A$13,0),MATCH(L$4,Calibration!$A$4:$L$4,0))</f>
        <v>1.0259371368886356</v>
      </c>
      <c r="M22" s="292">
        <f>INDEX(Calibration!$A$4:$L$13,MATCH($D22&amp;$E22,Calibration!$A$4:$A$13,0),MATCH(M$4,Calibration!$A$4:$L$4,0))</f>
        <v>-1.8551508104013119</v>
      </c>
      <c r="N22" s="292">
        <f>INDEX(Calibration!$A$4:$L$13,MATCH($D22&amp;$E22,Calibration!$A$4:$A$13,0),MATCH(N$4,Calibration!$A$4:$L$4,0))</f>
        <v>1.1186946774087012</v>
      </c>
      <c r="O22" s="292">
        <f>INDEX(Calibration!$A$4:$L$13,MATCH($D22&amp;$E22,Calibration!$A$4:$A$13,0),MATCH(O$4,Calibration!$A$4:$L$4,0))</f>
        <v>-3.7103016208026238</v>
      </c>
      <c r="P22" s="292">
        <f>INDEX(Calibration!$A$4:$L$13,MATCH($D22&amp;$E22,Calibration!$A$4:$A$13,0),MATCH(P$4,Calibration!$A$4:$L$4,0))</f>
        <v>1.2578309881887995</v>
      </c>
      <c r="Q22" s="292">
        <f>INDEX(Calibration!$A$4:$L$13,MATCH($D22&amp;$E22,Calibration!$A$4:$A$13,0),MATCH(Q$4,Calibration!$A$4:$L$4,0))</f>
        <v>0.7012857450684058</v>
      </c>
      <c r="R22" s="293">
        <f>IF(C22&lt;Calibration!$F$5,L22,IF(C22&lt;Calibration!$E$5,C22*M22+N22,IF(C22&lt;K22,C22*O22+P22,Q22)))</f>
        <v>0.92573491131274732</v>
      </c>
      <c r="S22" s="286">
        <f t="shared" si="0"/>
        <v>6991.9071097641954</v>
      </c>
      <c r="T22" s="293">
        <f>IF(E22="DHP",VLOOKUP(D22,Calibration!$C$20:$E$22,2,FALSE),IF(D22=1,Calibration!$D$17,Calibration!$D$18))</f>
        <v>0.85917762533929642</v>
      </c>
      <c r="U22" s="286">
        <f t="shared" si="1"/>
        <v>6007.2901471601444</v>
      </c>
      <c r="V22" s="286">
        <f>VLOOKUP(T22,Calibration!$D$17:$E$22,2,FALSE)*S22</f>
        <v>863.97532802636829</v>
      </c>
      <c r="W22" t="s">
        <v>800</v>
      </c>
      <c r="X22">
        <v>896.45154300000002</v>
      </c>
      <c r="Y22">
        <v>0</v>
      </c>
    </row>
    <row r="23" spans="1:25">
      <c r="A23" s="277" t="str">
        <f>SEEMoutput!A25</f>
        <v>NWHZ1CZ1_2200n_25hp85_des0</v>
      </c>
      <c r="B23" s="286">
        <f>SEEMoutput!O25</f>
        <v>4018.6755149999999</v>
      </c>
      <c r="C23" s="287">
        <v>7.274647098283793E-2</v>
      </c>
      <c r="D23" s="277">
        <f>IF(SEEMoutput!G25&lt;6000,1,IF(SEEMoutput!G25&lt;7500,2,3))</f>
        <v>1</v>
      </c>
      <c r="E23" s="277" t="str">
        <f>IF(LEFT(SEEMoutput!BE25,1)="F","FUR",IF(LEFT(SEEMoutput!BE25,1)="D","DHP","HP"))</f>
        <v>HP</v>
      </c>
      <c r="F23" s="288">
        <f>SEEMoutput!E25</f>
        <v>417.78652699999998</v>
      </c>
      <c r="G23" s="289">
        <f>F23*(69-30)*SEEMoutput!N25/SEEMoutput!M25</f>
        <v>20296.932618464256</v>
      </c>
      <c r="H23" s="290">
        <f>'(Tons) (Furnsize)'!$F$52+'(Tons) (Furnsize)'!$F$53*'(Tons) (Furnsize)'!$B$15+'(Tons) (Furnsize)'!$F$54*G23</f>
        <v>2.4424194011378533</v>
      </c>
      <c r="I23" s="290">
        <f>H23/'(Tons) (Furnsize)'!$G$7</f>
        <v>2.0244160583264166</v>
      </c>
      <c r="J23" s="291">
        <f>F23*(69-VLOOKUP(D23,'(Tons) (Furnsize)'!$D$15:$E$17,2,FALSE))/3412</f>
        <v>6.3672038112543961</v>
      </c>
      <c r="K23" s="292">
        <f>INDEX(Calibration!$A$4:$L$13,MATCH($D23&amp;$E23,Calibration!$A$4:$A$13,0),MATCH(K$4,Calibration!$A$4:$L$4,0))</f>
        <v>0.2</v>
      </c>
      <c r="L23" s="292">
        <f>INDEX(Calibration!$A$4:$L$13,MATCH($D23&amp;$E23,Calibration!$A$4:$A$13,0),MATCH(L$4,Calibration!$A$4:$L$4,0))</f>
        <v>1.3869915874526988</v>
      </c>
      <c r="M23" s="292">
        <f>INDEX(Calibration!$A$4:$L$13,MATCH($D23&amp;$E23,Calibration!$A$4:$A$13,0),MATCH(M$4,Calibration!$A$4:$L$4,0))</f>
        <v>-2.2641144651923684</v>
      </c>
      <c r="N23" s="292">
        <f>INDEX(Calibration!$A$4:$L$13,MATCH($D23&amp;$E23,Calibration!$A$4:$A$13,0),MATCH(N$4,Calibration!$A$4:$L$4,0))</f>
        <v>1.5001973107123172</v>
      </c>
      <c r="O23" s="292">
        <f>INDEX(Calibration!$A$4:$L$13,MATCH($D23&amp;$E23,Calibration!$A$4:$A$13,0),MATCH(O$4,Calibration!$A$4:$L$4,0))</f>
        <v>-4.5282289303847367</v>
      </c>
      <c r="P23" s="292">
        <f>INDEX(Calibration!$A$4:$L$13,MATCH($D23&amp;$E23,Calibration!$A$4:$A$13,0),MATCH(P$4,Calibration!$A$4:$L$4,0))</f>
        <v>1.6700058956017449</v>
      </c>
      <c r="Q23" s="292">
        <f>INDEX(Calibration!$A$4:$L$13,MATCH($D23&amp;$E23,Calibration!$A$4:$A$13,0),MATCH(Q$4,Calibration!$A$4:$L$4,0))</f>
        <v>0.7643601095247976</v>
      </c>
      <c r="R23" s="293">
        <f>IF(C23&lt;Calibration!$F$5,L23,IF(C23&lt;Calibration!$E$5,C23*M23+N23,IF(C23&lt;K23,C23*O23+P23,Q23)))</f>
        <v>1.3354909734683771</v>
      </c>
      <c r="S23" s="286">
        <f t="shared" si="0"/>
        <v>5366.9048755808817</v>
      </c>
      <c r="T23" s="293">
        <f>IF(E23="DHP",VLOOKUP(D23,Calibration!$C$20:$E$22,2,FALSE),IF(D23=1,Calibration!$D$17,Calibration!$D$18))</f>
        <v>0.82813167326562143</v>
      </c>
      <c r="U23" s="286">
        <f t="shared" si="1"/>
        <v>4444.5039148722171</v>
      </c>
      <c r="V23" s="286">
        <f>VLOOKUP(T23,Calibration!$D$17:$E$22,2,FALSE)*S23</f>
        <v>838.8627758040783</v>
      </c>
      <c r="W23" t="s">
        <v>764</v>
      </c>
      <c r="X23">
        <v>438.83140600000002</v>
      </c>
      <c r="Y23">
        <v>0</v>
      </c>
    </row>
    <row r="24" spans="1:25">
      <c r="A24" s="277" t="str">
        <f>SEEMoutput!A26</f>
        <v>NWHZ1CZ2_2200n_25hp85_des0</v>
      </c>
      <c r="B24" s="286">
        <f>SEEMoutput!O26</f>
        <v>4018.6755149999999</v>
      </c>
      <c r="C24" s="287">
        <v>7.274647098283793E-2</v>
      </c>
      <c r="D24" s="277">
        <f>IF(SEEMoutput!G26&lt;6000,1,IF(SEEMoutput!G26&lt;7500,2,3))</f>
        <v>1</v>
      </c>
      <c r="E24" s="277" t="str">
        <f>IF(LEFT(SEEMoutput!BE26,1)="F","FUR",IF(LEFT(SEEMoutput!BE26,1)="D","DHP","HP"))</f>
        <v>HP</v>
      </c>
      <c r="F24" s="288">
        <f>SEEMoutput!E26</f>
        <v>417.78652699999998</v>
      </c>
      <c r="G24" s="289">
        <f>F24*(69-30)*SEEMoutput!N26/SEEMoutput!M26</f>
        <v>20296.932618464256</v>
      </c>
      <c r="H24" s="290">
        <f>'(Tons) (Furnsize)'!$F$52+'(Tons) (Furnsize)'!$F$53*'(Tons) (Furnsize)'!$B$15+'(Tons) (Furnsize)'!$F$54*G24</f>
        <v>2.4424194011378533</v>
      </c>
      <c r="I24" s="290">
        <f>H24/'(Tons) (Furnsize)'!$G$7</f>
        <v>2.0244160583264166</v>
      </c>
      <c r="J24" s="291">
        <f>F24*(69-VLOOKUP(D24,'(Tons) (Furnsize)'!$D$15:$E$17,2,FALSE))/3412</f>
        <v>6.3672038112543961</v>
      </c>
      <c r="K24" s="292">
        <f>INDEX(Calibration!$A$4:$L$13,MATCH($D24&amp;$E24,Calibration!$A$4:$A$13,0),MATCH(K$4,Calibration!$A$4:$L$4,0))</f>
        <v>0.2</v>
      </c>
      <c r="L24" s="292">
        <f>INDEX(Calibration!$A$4:$L$13,MATCH($D24&amp;$E24,Calibration!$A$4:$A$13,0),MATCH(L$4,Calibration!$A$4:$L$4,0))</f>
        <v>1.3869915874526988</v>
      </c>
      <c r="M24" s="292">
        <f>INDEX(Calibration!$A$4:$L$13,MATCH($D24&amp;$E24,Calibration!$A$4:$A$13,0),MATCH(M$4,Calibration!$A$4:$L$4,0))</f>
        <v>-2.2641144651923684</v>
      </c>
      <c r="N24" s="292">
        <f>INDEX(Calibration!$A$4:$L$13,MATCH($D24&amp;$E24,Calibration!$A$4:$A$13,0),MATCH(N$4,Calibration!$A$4:$L$4,0))</f>
        <v>1.5001973107123172</v>
      </c>
      <c r="O24" s="292">
        <f>INDEX(Calibration!$A$4:$L$13,MATCH($D24&amp;$E24,Calibration!$A$4:$A$13,0),MATCH(O$4,Calibration!$A$4:$L$4,0))</f>
        <v>-4.5282289303847367</v>
      </c>
      <c r="P24" s="292">
        <f>INDEX(Calibration!$A$4:$L$13,MATCH($D24&amp;$E24,Calibration!$A$4:$A$13,0),MATCH(P$4,Calibration!$A$4:$L$4,0))</f>
        <v>1.6700058956017449</v>
      </c>
      <c r="Q24" s="292">
        <f>INDEX(Calibration!$A$4:$L$13,MATCH($D24&amp;$E24,Calibration!$A$4:$A$13,0),MATCH(Q$4,Calibration!$A$4:$L$4,0))</f>
        <v>0.7643601095247976</v>
      </c>
      <c r="R24" s="293">
        <f>IF(C24&lt;Calibration!$F$5,L24,IF(C24&lt;Calibration!$E$5,C24*M24+N24,IF(C24&lt;K24,C24*O24+P24,Q24)))</f>
        <v>1.3354909734683771</v>
      </c>
      <c r="S24" s="286">
        <f t="shared" si="0"/>
        <v>5366.9048755808817</v>
      </c>
      <c r="T24" s="293">
        <f>IF(E24="DHP",VLOOKUP(D24,Calibration!$C$20:$E$22,2,FALSE),IF(D24=1,Calibration!$D$17,Calibration!$D$18))</f>
        <v>0.82813167326562143</v>
      </c>
      <c r="U24" s="286">
        <f t="shared" si="1"/>
        <v>4444.5039148722171</v>
      </c>
      <c r="V24" s="286">
        <f>VLOOKUP(T24,Calibration!$D$17:$E$22,2,FALSE)*S24</f>
        <v>838.8627758040783</v>
      </c>
      <c r="W24" t="s">
        <v>767</v>
      </c>
      <c r="X24">
        <v>808.87732800000003</v>
      </c>
      <c r="Y24">
        <v>0</v>
      </c>
    </row>
    <row r="25" spans="1:25">
      <c r="A25" s="277" t="str">
        <f>SEEMoutput!A27</f>
        <v>NWHZ1CZ3_2200n_25hp85_des0</v>
      </c>
      <c r="B25" s="286">
        <f>SEEMoutput!O27</f>
        <v>4018.6755149999999</v>
      </c>
      <c r="C25" s="287">
        <v>7.274647098283793E-2</v>
      </c>
      <c r="D25" s="277">
        <f>IF(SEEMoutput!G27&lt;6000,1,IF(SEEMoutput!G27&lt;7500,2,3))</f>
        <v>1</v>
      </c>
      <c r="E25" s="277" t="str">
        <f>IF(LEFT(SEEMoutput!BE27,1)="F","FUR",IF(LEFT(SEEMoutput!BE27,1)="D","DHP","HP"))</f>
        <v>HP</v>
      </c>
      <c r="F25" s="288">
        <f>SEEMoutput!E27</f>
        <v>417.78652699999998</v>
      </c>
      <c r="G25" s="289">
        <f>F25*(69-30)*SEEMoutput!N27/SEEMoutput!M27</f>
        <v>20296.932618464256</v>
      </c>
      <c r="H25" s="290">
        <f>'(Tons) (Furnsize)'!$F$52+'(Tons) (Furnsize)'!$F$53*'(Tons) (Furnsize)'!$B$15+'(Tons) (Furnsize)'!$F$54*G25</f>
        <v>2.4424194011378533</v>
      </c>
      <c r="I25" s="290">
        <f>H25/'(Tons) (Furnsize)'!$G$7</f>
        <v>2.0244160583264166</v>
      </c>
      <c r="J25" s="291">
        <f>F25*(69-VLOOKUP(D25,'(Tons) (Furnsize)'!$D$15:$E$17,2,FALSE))/3412</f>
        <v>6.3672038112543961</v>
      </c>
      <c r="K25" s="292">
        <f>INDEX(Calibration!$A$4:$L$13,MATCH($D25&amp;$E25,Calibration!$A$4:$A$13,0),MATCH(K$4,Calibration!$A$4:$L$4,0))</f>
        <v>0.2</v>
      </c>
      <c r="L25" s="292">
        <f>INDEX(Calibration!$A$4:$L$13,MATCH($D25&amp;$E25,Calibration!$A$4:$A$13,0),MATCH(L$4,Calibration!$A$4:$L$4,0))</f>
        <v>1.3869915874526988</v>
      </c>
      <c r="M25" s="292">
        <f>INDEX(Calibration!$A$4:$L$13,MATCH($D25&amp;$E25,Calibration!$A$4:$A$13,0),MATCH(M$4,Calibration!$A$4:$L$4,0))</f>
        <v>-2.2641144651923684</v>
      </c>
      <c r="N25" s="292">
        <f>INDEX(Calibration!$A$4:$L$13,MATCH($D25&amp;$E25,Calibration!$A$4:$A$13,0),MATCH(N$4,Calibration!$A$4:$L$4,0))</f>
        <v>1.5001973107123172</v>
      </c>
      <c r="O25" s="292">
        <f>INDEX(Calibration!$A$4:$L$13,MATCH($D25&amp;$E25,Calibration!$A$4:$A$13,0),MATCH(O$4,Calibration!$A$4:$L$4,0))</f>
        <v>-4.5282289303847367</v>
      </c>
      <c r="P25" s="292">
        <f>INDEX(Calibration!$A$4:$L$13,MATCH($D25&amp;$E25,Calibration!$A$4:$A$13,0),MATCH(P$4,Calibration!$A$4:$L$4,0))</f>
        <v>1.6700058956017449</v>
      </c>
      <c r="Q25" s="292">
        <f>INDEX(Calibration!$A$4:$L$13,MATCH($D25&amp;$E25,Calibration!$A$4:$A$13,0),MATCH(Q$4,Calibration!$A$4:$L$4,0))</f>
        <v>0.7643601095247976</v>
      </c>
      <c r="R25" s="293">
        <f>IF(C25&lt;Calibration!$F$5,L25,IF(C25&lt;Calibration!$E$5,C25*M25+N25,IF(C25&lt;K25,C25*O25+P25,Q25)))</f>
        <v>1.3354909734683771</v>
      </c>
      <c r="S25" s="286">
        <f t="shared" si="0"/>
        <v>5366.9048755808817</v>
      </c>
      <c r="T25" s="293">
        <f>IF(E25="DHP",VLOOKUP(D25,Calibration!$C$20:$E$22,2,FALSE),IF(D25=1,Calibration!$D$17,Calibration!$D$18))</f>
        <v>0.82813167326562143</v>
      </c>
      <c r="U25" s="286">
        <f t="shared" si="1"/>
        <v>4444.5039148722171</v>
      </c>
      <c r="V25" s="286">
        <f>VLOOKUP(T25,Calibration!$D$17:$E$22,2,FALSE)*S25</f>
        <v>838.8627758040783</v>
      </c>
      <c r="W25" t="s">
        <v>770</v>
      </c>
      <c r="X25">
        <v>1284.1718780000001</v>
      </c>
      <c r="Y25">
        <v>0</v>
      </c>
    </row>
    <row r="26" spans="1:25">
      <c r="A26" s="277" t="str">
        <f>SEEMoutput!A28</f>
        <v>WxHZ1CZ1_2200e_30hp85_des0</v>
      </c>
      <c r="B26" s="286">
        <f>SEEMoutput!O28</f>
        <v>4829.780917</v>
      </c>
      <c r="C26" s="287">
        <v>8.5595518452497577E-2</v>
      </c>
      <c r="D26" s="277">
        <f>IF(SEEMoutput!G28&lt;6000,1,IF(SEEMoutput!G28&lt;7500,2,3))</f>
        <v>1</v>
      </c>
      <c r="E26" s="277" t="str">
        <f>IF(LEFT(SEEMoutput!BE28,1)="F","FUR",IF(LEFT(SEEMoutput!BE28,1)="D","DHP","HP"))</f>
        <v>HP</v>
      </c>
      <c r="F26" s="288">
        <f>SEEMoutput!E28</f>
        <v>483.43167399999999</v>
      </c>
      <c r="G26" s="289">
        <f>F26*(69-30)*SEEMoutput!N28/SEEMoutput!M28</f>
        <v>23686.34207479726</v>
      </c>
      <c r="H26" s="290">
        <f>'(Tons) (Furnsize)'!$F$52+'(Tons) (Furnsize)'!$F$53*'(Tons) (Furnsize)'!$B$15+'(Tons) (Furnsize)'!$F$54*G26</f>
        <v>2.8403713050700761</v>
      </c>
      <c r="I26" s="290">
        <f>H26/'(Tons) (Furnsize)'!$G$7</f>
        <v>2.3542612210313343</v>
      </c>
      <c r="J26" s="291">
        <f>F26*(69-VLOOKUP(D26,'(Tons) (Furnsize)'!$D$15:$E$17,2,FALSE))/3412</f>
        <v>7.367657399765533</v>
      </c>
      <c r="K26" s="292">
        <f>INDEX(Calibration!$A$4:$L$13,MATCH($D26&amp;$E26,Calibration!$A$4:$A$13,0),MATCH(K$4,Calibration!$A$4:$L$4,0))</f>
        <v>0.2</v>
      </c>
      <c r="L26" s="292">
        <f>INDEX(Calibration!$A$4:$L$13,MATCH($D26&amp;$E26,Calibration!$A$4:$A$13,0),MATCH(L$4,Calibration!$A$4:$L$4,0))</f>
        <v>1.3869915874526988</v>
      </c>
      <c r="M26" s="292">
        <f>INDEX(Calibration!$A$4:$L$13,MATCH($D26&amp;$E26,Calibration!$A$4:$A$13,0),MATCH(M$4,Calibration!$A$4:$L$4,0))</f>
        <v>-2.2641144651923684</v>
      </c>
      <c r="N26" s="292">
        <f>INDEX(Calibration!$A$4:$L$13,MATCH($D26&amp;$E26,Calibration!$A$4:$A$13,0),MATCH(N$4,Calibration!$A$4:$L$4,0))</f>
        <v>1.5001973107123172</v>
      </c>
      <c r="O26" s="292">
        <f>INDEX(Calibration!$A$4:$L$13,MATCH($D26&amp;$E26,Calibration!$A$4:$A$13,0),MATCH(O$4,Calibration!$A$4:$L$4,0))</f>
        <v>-4.5282289303847367</v>
      </c>
      <c r="P26" s="292">
        <f>INDEX(Calibration!$A$4:$L$13,MATCH($D26&amp;$E26,Calibration!$A$4:$A$13,0),MATCH(P$4,Calibration!$A$4:$L$4,0))</f>
        <v>1.6700058956017449</v>
      </c>
      <c r="Q26" s="292">
        <f>INDEX(Calibration!$A$4:$L$13,MATCH($D26&amp;$E26,Calibration!$A$4:$A$13,0),MATCH(Q$4,Calibration!$A$4:$L$4,0))</f>
        <v>0.7643601095247976</v>
      </c>
      <c r="R26" s="293">
        <f>IF(C26&lt;Calibration!$F$5,L26,IF(C26&lt;Calibration!$E$5,C26*M26+N26,IF(C26&lt;K26,C26*O26+P26,Q26)))</f>
        <v>1.2824097926338649</v>
      </c>
      <c r="S26" s="286">
        <f t="shared" si="0"/>
        <v>6193.7583442369678</v>
      </c>
      <c r="T26" s="293">
        <f>IF(E26="DHP",VLOOKUP(D26,Calibration!$C$20:$E$22,2,FALSE),IF(D26=1,Calibration!$D$17,Calibration!$D$18))</f>
        <v>0.82813167326562143</v>
      </c>
      <c r="U26" s="286">
        <f t="shared" si="1"/>
        <v>5129.2474614158646</v>
      </c>
      <c r="V26" s="286">
        <f>VLOOKUP(T26,Calibration!$D$17:$E$22,2,FALSE)*S26</f>
        <v>968.10236770666472</v>
      </c>
      <c r="W26" t="s">
        <v>764</v>
      </c>
      <c r="X26">
        <v>431.02065199999998</v>
      </c>
      <c r="Y26">
        <v>0</v>
      </c>
    </row>
    <row r="27" spans="1:25">
      <c r="A27" s="277" t="str">
        <f>SEEMoutput!A29</f>
        <v>WxHZ1CZ2_2200e_30hp85_des0</v>
      </c>
      <c r="B27" s="286">
        <f>SEEMoutput!O29</f>
        <v>4829.780917</v>
      </c>
      <c r="C27" s="287">
        <v>8.5595518452497577E-2</v>
      </c>
      <c r="D27" s="277">
        <f>IF(SEEMoutput!G29&lt;6000,1,IF(SEEMoutput!G29&lt;7500,2,3))</f>
        <v>1</v>
      </c>
      <c r="E27" s="277" t="str">
        <f>IF(LEFT(SEEMoutput!BE29,1)="F","FUR",IF(LEFT(SEEMoutput!BE29,1)="D","DHP","HP"))</f>
        <v>HP</v>
      </c>
      <c r="F27" s="288">
        <f>SEEMoutput!E29</f>
        <v>483.43167399999999</v>
      </c>
      <c r="G27" s="289">
        <f>F27*(69-30)*SEEMoutput!N29/SEEMoutput!M29</f>
        <v>23686.34207479726</v>
      </c>
      <c r="H27" s="290">
        <f>'(Tons) (Furnsize)'!$F$52+'(Tons) (Furnsize)'!$F$53*'(Tons) (Furnsize)'!$B$15+'(Tons) (Furnsize)'!$F$54*G27</f>
        <v>2.8403713050700761</v>
      </c>
      <c r="I27" s="290">
        <f>H27/'(Tons) (Furnsize)'!$G$7</f>
        <v>2.3542612210313343</v>
      </c>
      <c r="J27" s="291">
        <f>F27*(69-VLOOKUP(D27,'(Tons) (Furnsize)'!$D$15:$E$17,2,FALSE))/3412</f>
        <v>7.367657399765533</v>
      </c>
      <c r="K27" s="292">
        <f>INDEX(Calibration!$A$4:$L$13,MATCH($D27&amp;$E27,Calibration!$A$4:$A$13,0),MATCH(K$4,Calibration!$A$4:$L$4,0))</f>
        <v>0.2</v>
      </c>
      <c r="L27" s="292">
        <f>INDEX(Calibration!$A$4:$L$13,MATCH($D27&amp;$E27,Calibration!$A$4:$A$13,0),MATCH(L$4,Calibration!$A$4:$L$4,0))</f>
        <v>1.3869915874526988</v>
      </c>
      <c r="M27" s="292">
        <f>INDEX(Calibration!$A$4:$L$13,MATCH($D27&amp;$E27,Calibration!$A$4:$A$13,0),MATCH(M$4,Calibration!$A$4:$L$4,0))</f>
        <v>-2.2641144651923684</v>
      </c>
      <c r="N27" s="292">
        <f>INDEX(Calibration!$A$4:$L$13,MATCH($D27&amp;$E27,Calibration!$A$4:$A$13,0),MATCH(N$4,Calibration!$A$4:$L$4,0))</f>
        <v>1.5001973107123172</v>
      </c>
      <c r="O27" s="292">
        <f>INDEX(Calibration!$A$4:$L$13,MATCH($D27&amp;$E27,Calibration!$A$4:$A$13,0),MATCH(O$4,Calibration!$A$4:$L$4,0))</f>
        <v>-4.5282289303847367</v>
      </c>
      <c r="P27" s="292">
        <f>INDEX(Calibration!$A$4:$L$13,MATCH($D27&amp;$E27,Calibration!$A$4:$A$13,0),MATCH(P$4,Calibration!$A$4:$L$4,0))</f>
        <v>1.6700058956017449</v>
      </c>
      <c r="Q27" s="292">
        <f>INDEX(Calibration!$A$4:$L$13,MATCH($D27&amp;$E27,Calibration!$A$4:$A$13,0),MATCH(Q$4,Calibration!$A$4:$L$4,0))</f>
        <v>0.7643601095247976</v>
      </c>
      <c r="R27" s="293">
        <f>IF(C27&lt;Calibration!$F$5,L27,IF(C27&lt;Calibration!$E$5,C27*M27+N27,IF(C27&lt;K27,C27*O27+P27,Q27)))</f>
        <v>1.2824097926338649</v>
      </c>
      <c r="S27" s="286">
        <f t="shared" si="0"/>
        <v>6193.7583442369678</v>
      </c>
      <c r="T27" s="293">
        <f>IF(E27="DHP",VLOOKUP(D27,Calibration!$C$20:$E$22,2,FALSE),IF(D27=1,Calibration!$D$17,Calibration!$D$18))</f>
        <v>0.82813167326562143</v>
      </c>
      <c r="U27" s="286">
        <f t="shared" si="1"/>
        <v>5129.2474614158646</v>
      </c>
      <c r="V27" s="286">
        <f>VLOOKUP(T27,Calibration!$D$17:$E$22,2,FALSE)*S27</f>
        <v>968.10236770666472</v>
      </c>
      <c r="W27" t="s">
        <v>767</v>
      </c>
      <c r="X27">
        <v>832.24579200000005</v>
      </c>
      <c r="Y27">
        <v>0</v>
      </c>
    </row>
    <row r="28" spans="1:25">
      <c r="A28" s="277" t="str">
        <f>SEEMoutput!A30</f>
        <v>WxHZ1CZ3_2200e_30hp85_des0</v>
      </c>
      <c r="B28" s="286">
        <f>SEEMoutput!O30</f>
        <v>4829.780917</v>
      </c>
      <c r="C28" s="287">
        <v>8.5595518452497577E-2</v>
      </c>
      <c r="D28" s="277">
        <f>IF(SEEMoutput!G30&lt;6000,1,IF(SEEMoutput!G30&lt;7500,2,3))</f>
        <v>1</v>
      </c>
      <c r="E28" s="277" t="str">
        <f>IF(LEFT(SEEMoutput!BE30,1)="F","FUR",IF(LEFT(SEEMoutput!BE30,1)="D","DHP","HP"))</f>
        <v>HP</v>
      </c>
      <c r="F28" s="288">
        <f>SEEMoutput!E30</f>
        <v>483.43167399999999</v>
      </c>
      <c r="G28" s="289">
        <f>F28*(69-30)*SEEMoutput!N30/SEEMoutput!M30</f>
        <v>23686.34207479726</v>
      </c>
      <c r="H28" s="290">
        <f>'(Tons) (Furnsize)'!$F$52+'(Tons) (Furnsize)'!$F$53*'(Tons) (Furnsize)'!$B$15+'(Tons) (Furnsize)'!$F$54*G28</f>
        <v>2.8403713050700761</v>
      </c>
      <c r="I28" s="290">
        <f>H28/'(Tons) (Furnsize)'!$G$7</f>
        <v>2.3542612210313343</v>
      </c>
      <c r="J28" s="291">
        <f>F28*(69-VLOOKUP(D28,'(Tons) (Furnsize)'!$D$15:$E$17,2,FALSE))/3412</f>
        <v>7.367657399765533</v>
      </c>
      <c r="K28" s="292">
        <f>INDEX(Calibration!$A$4:$L$13,MATCH($D28&amp;$E28,Calibration!$A$4:$A$13,0),MATCH(K$4,Calibration!$A$4:$L$4,0))</f>
        <v>0.2</v>
      </c>
      <c r="L28" s="292">
        <f>INDEX(Calibration!$A$4:$L$13,MATCH($D28&amp;$E28,Calibration!$A$4:$A$13,0),MATCH(L$4,Calibration!$A$4:$L$4,0))</f>
        <v>1.3869915874526988</v>
      </c>
      <c r="M28" s="292">
        <f>INDEX(Calibration!$A$4:$L$13,MATCH($D28&amp;$E28,Calibration!$A$4:$A$13,0),MATCH(M$4,Calibration!$A$4:$L$4,0))</f>
        <v>-2.2641144651923684</v>
      </c>
      <c r="N28" s="292">
        <f>INDEX(Calibration!$A$4:$L$13,MATCH($D28&amp;$E28,Calibration!$A$4:$A$13,0),MATCH(N$4,Calibration!$A$4:$L$4,0))</f>
        <v>1.5001973107123172</v>
      </c>
      <c r="O28" s="292">
        <f>INDEX(Calibration!$A$4:$L$13,MATCH($D28&amp;$E28,Calibration!$A$4:$A$13,0),MATCH(O$4,Calibration!$A$4:$L$4,0))</f>
        <v>-4.5282289303847367</v>
      </c>
      <c r="P28" s="292">
        <f>INDEX(Calibration!$A$4:$L$13,MATCH($D28&amp;$E28,Calibration!$A$4:$A$13,0),MATCH(P$4,Calibration!$A$4:$L$4,0))</f>
        <v>1.6700058956017449</v>
      </c>
      <c r="Q28" s="292">
        <f>INDEX(Calibration!$A$4:$L$13,MATCH($D28&amp;$E28,Calibration!$A$4:$A$13,0),MATCH(Q$4,Calibration!$A$4:$L$4,0))</f>
        <v>0.7643601095247976</v>
      </c>
      <c r="R28" s="293">
        <f>IF(C28&lt;Calibration!$F$5,L28,IF(C28&lt;Calibration!$E$5,C28*M28+N28,IF(C28&lt;K28,C28*O28+P28,Q28)))</f>
        <v>1.2824097926338649</v>
      </c>
      <c r="S28" s="286">
        <f t="shared" si="0"/>
        <v>6193.7583442369678</v>
      </c>
      <c r="T28" s="293">
        <f>IF(E28="DHP",VLOOKUP(D28,Calibration!$C$20:$E$22,2,FALSE),IF(D28=1,Calibration!$D$17,Calibration!$D$18))</f>
        <v>0.82813167326562143</v>
      </c>
      <c r="U28" s="286">
        <f t="shared" si="1"/>
        <v>5129.2474614158646</v>
      </c>
      <c r="V28" s="286">
        <f>VLOOKUP(T28,Calibration!$D$17:$E$22,2,FALSE)*S28</f>
        <v>968.10236770666472</v>
      </c>
      <c r="W28" t="s">
        <v>770</v>
      </c>
      <c r="X28">
        <v>1352.019055</v>
      </c>
      <c r="Y28">
        <v>0</v>
      </c>
    </row>
    <row r="29" spans="1:25">
      <c r="A29" s="277" t="str">
        <f>SEEMoutput!A31</f>
        <v>NWHZ2CZ1_2200n_25hp85_des0</v>
      </c>
      <c r="B29" s="286">
        <f>SEEMoutput!O31</f>
        <v>6948.072674</v>
      </c>
      <c r="C29" s="287">
        <v>7.5067660662553229E-2</v>
      </c>
      <c r="D29" s="277">
        <f>IF(SEEMoutput!G31&lt;6000,1,IF(SEEMoutput!G31&lt;7500,2,3))</f>
        <v>2</v>
      </c>
      <c r="E29" s="277" t="str">
        <f>IF(LEFT(SEEMoutput!BE31,1)="F","FUR",IF(LEFT(SEEMoutput!BE31,1)="D","DHP","HP"))</f>
        <v>HP</v>
      </c>
      <c r="F29" s="288">
        <f>SEEMoutput!E31</f>
        <v>425.780959</v>
      </c>
      <c r="G29" s="289">
        <f>F29*(69-30)*SEEMoutput!N31/SEEMoutput!M31</f>
        <v>21313.153162109887</v>
      </c>
      <c r="H29" s="290">
        <f>'(Tons) (Furnsize)'!$F$52+'(Tons) (Furnsize)'!$F$53*'(Tons) (Furnsize)'!$B$15+'(Tons) (Furnsize)'!$F$54*G29</f>
        <v>2.5617342568284798</v>
      </c>
      <c r="I29" s="290">
        <f>H29/'(Tons) (Furnsize)'!$G$7</f>
        <v>2.1233109941201933</v>
      </c>
      <c r="J29" s="291">
        <f>F29*(69-VLOOKUP(D29,'(Tons) (Furnsize)'!$D$15:$E$17,2,FALSE))/3412</f>
        <v>8.610459018464244</v>
      </c>
      <c r="K29" s="292">
        <f>INDEX(Calibration!$A$4:$L$13,MATCH($D29&amp;$E29,Calibration!$A$4:$A$13,0),MATCH(K$4,Calibration!$A$4:$L$4,0))</f>
        <v>0.17499999999999999</v>
      </c>
      <c r="L29" s="292">
        <f>INDEX(Calibration!$A$4:$L$13,MATCH($D29&amp;$E29,Calibration!$A$4:$A$13,0),MATCH(L$4,Calibration!$A$4:$L$4,0))</f>
        <v>1.1965160377936901</v>
      </c>
      <c r="M29" s="292">
        <f>INDEX(Calibration!$A$4:$L$13,MATCH($D29&amp;$E29,Calibration!$A$4:$A$13,0),MATCH(M$4,Calibration!$A$4:$L$4,0))</f>
        <v>-2.050167690250368</v>
      </c>
      <c r="N29" s="292">
        <f>INDEX(Calibration!$A$4:$L$13,MATCH($D29&amp;$E29,Calibration!$A$4:$A$13,0),MATCH(N$4,Calibration!$A$4:$L$4,0))</f>
        <v>1.2990244223062084</v>
      </c>
      <c r="O29" s="292">
        <f>INDEX(Calibration!$A$4:$L$13,MATCH($D29&amp;$E29,Calibration!$A$4:$A$13,0),MATCH(O$4,Calibration!$A$4:$L$4,0))</f>
        <v>-4.1003353805007361</v>
      </c>
      <c r="P29" s="292">
        <f>INDEX(Calibration!$A$4:$L$13,MATCH($D29&amp;$E29,Calibration!$A$4:$A$13,0),MATCH(P$4,Calibration!$A$4:$L$4,0))</f>
        <v>1.452786999074986</v>
      </c>
      <c r="Q29" s="292">
        <f>INDEX(Calibration!$A$4:$L$13,MATCH($D29&amp;$E29,Calibration!$A$4:$A$13,0),MATCH(Q$4,Calibration!$A$4:$L$4,0))</f>
        <v>0.73522830748735724</v>
      </c>
      <c r="R29" s="293">
        <f>IF(C29&lt;Calibration!$F$5,L29,IF(C29&lt;Calibration!$E$5,C29*M29+N29,IF(C29&lt;K29,C29*O29+P29,Q29)))</f>
        <v>1.1449844141288956</v>
      </c>
      <c r="S29" s="286">
        <f t="shared" si="0"/>
        <v>7955.4349199648796</v>
      </c>
      <c r="T29" s="293">
        <f>IF(E29="DHP",VLOOKUP(D29,Calibration!$C$20:$E$22,2,FALSE),IF(D29=1,Calibration!$D$17,Calibration!$D$18))</f>
        <v>0.85917762533929642</v>
      </c>
      <c r="U29" s="286">
        <f t="shared" si="1"/>
        <v>6835.131683076741</v>
      </c>
      <c r="V29" s="286">
        <f>VLOOKUP(T29,Calibration!$D$17:$E$22,2,FALSE)*S29</f>
        <v>983.03644294280195</v>
      </c>
      <c r="W29" t="s">
        <v>779</v>
      </c>
      <c r="X29">
        <v>438.83140600000002</v>
      </c>
      <c r="Y29">
        <v>0</v>
      </c>
    </row>
    <row r="30" spans="1:25">
      <c r="A30" s="277" t="str">
        <f>SEEMoutput!A32</f>
        <v>NWHZ2CZ2_2200n_25hp85_des0</v>
      </c>
      <c r="B30" s="286">
        <f>SEEMoutput!O32</f>
        <v>6948.072674</v>
      </c>
      <c r="C30" s="287">
        <v>7.5067660662553229E-2</v>
      </c>
      <c r="D30" s="277">
        <f>IF(SEEMoutput!G32&lt;6000,1,IF(SEEMoutput!G32&lt;7500,2,3))</f>
        <v>2</v>
      </c>
      <c r="E30" s="277" t="str">
        <f>IF(LEFT(SEEMoutput!BE32,1)="F","FUR",IF(LEFT(SEEMoutput!BE32,1)="D","DHP","HP"))</f>
        <v>HP</v>
      </c>
      <c r="F30" s="288">
        <f>SEEMoutput!E32</f>
        <v>425.780959</v>
      </c>
      <c r="G30" s="289">
        <f>F30*(69-30)*SEEMoutput!N32/SEEMoutput!M32</f>
        <v>21313.153162109887</v>
      </c>
      <c r="H30" s="290">
        <f>'(Tons) (Furnsize)'!$F$52+'(Tons) (Furnsize)'!$F$53*'(Tons) (Furnsize)'!$B$15+'(Tons) (Furnsize)'!$F$54*G30</f>
        <v>2.5617342568284798</v>
      </c>
      <c r="I30" s="290">
        <f>H30/'(Tons) (Furnsize)'!$G$7</f>
        <v>2.1233109941201933</v>
      </c>
      <c r="J30" s="291">
        <f>F30*(69-VLOOKUP(D30,'(Tons) (Furnsize)'!$D$15:$E$17,2,FALSE))/3412</f>
        <v>8.610459018464244</v>
      </c>
      <c r="K30" s="292">
        <f>INDEX(Calibration!$A$4:$L$13,MATCH($D30&amp;$E30,Calibration!$A$4:$A$13,0),MATCH(K$4,Calibration!$A$4:$L$4,0))</f>
        <v>0.17499999999999999</v>
      </c>
      <c r="L30" s="292">
        <f>INDEX(Calibration!$A$4:$L$13,MATCH($D30&amp;$E30,Calibration!$A$4:$A$13,0),MATCH(L$4,Calibration!$A$4:$L$4,0))</f>
        <v>1.1965160377936901</v>
      </c>
      <c r="M30" s="292">
        <f>INDEX(Calibration!$A$4:$L$13,MATCH($D30&amp;$E30,Calibration!$A$4:$A$13,0),MATCH(M$4,Calibration!$A$4:$L$4,0))</f>
        <v>-2.050167690250368</v>
      </c>
      <c r="N30" s="292">
        <f>INDEX(Calibration!$A$4:$L$13,MATCH($D30&amp;$E30,Calibration!$A$4:$A$13,0),MATCH(N$4,Calibration!$A$4:$L$4,0))</f>
        <v>1.2990244223062084</v>
      </c>
      <c r="O30" s="292">
        <f>INDEX(Calibration!$A$4:$L$13,MATCH($D30&amp;$E30,Calibration!$A$4:$A$13,0),MATCH(O$4,Calibration!$A$4:$L$4,0))</f>
        <v>-4.1003353805007361</v>
      </c>
      <c r="P30" s="292">
        <f>INDEX(Calibration!$A$4:$L$13,MATCH($D30&amp;$E30,Calibration!$A$4:$A$13,0),MATCH(P$4,Calibration!$A$4:$L$4,0))</f>
        <v>1.452786999074986</v>
      </c>
      <c r="Q30" s="292">
        <f>INDEX(Calibration!$A$4:$L$13,MATCH($D30&amp;$E30,Calibration!$A$4:$A$13,0),MATCH(Q$4,Calibration!$A$4:$L$4,0))</f>
        <v>0.73522830748735724</v>
      </c>
      <c r="R30" s="293">
        <f>IF(C30&lt;Calibration!$F$5,L30,IF(C30&lt;Calibration!$E$5,C30*M30+N30,IF(C30&lt;K30,C30*O30+P30,Q30)))</f>
        <v>1.1449844141288956</v>
      </c>
      <c r="S30" s="286">
        <f t="shared" si="0"/>
        <v>7955.4349199648796</v>
      </c>
      <c r="T30" s="293">
        <f>IF(E30="DHP",VLOOKUP(D30,Calibration!$C$20:$E$22,2,FALSE),IF(D30=1,Calibration!$D$17,Calibration!$D$18))</f>
        <v>0.85917762533929642</v>
      </c>
      <c r="U30" s="286">
        <f t="shared" si="1"/>
        <v>6835.131683076741</v>
      </c>
      <c r="V30" s="286">
        <f>VLOOKUP(T30,Calibration!$D$17:$E$22,2,FALSE)*S30</f>
        <v>983.03644294280195</v>
      </c>
      <c r="W30" t="s">
        <v>782</v>
      </c>
      <c r="X30">
        <v>808.87732800000003</v>
      </c>
      <c r="Y30">
        <v>0</v>
      </c>
    </row>
    <row r="31" spans="1:25">
      <c r="A31" s="277" t="str">
        <f>SEEMoutput!A33</f>
        <v>NWHZ2CZ3_2200n_25hp85_des0</v>
      </c>
      <c r="B31" s="286">
        <f>SEEMoutput!O33</f>
        <v>6948.072674</v>
      </c>
      <c r="C31" s="287">
        <v>7.5067660662553229E-2</v>
      </c>
      <c r="D31" s="277">
        <f>IF(SEEMoutput!G33&lt;6000,1,IF(SEEMoutput!G33&lt;7500,2,3))</f>
        <v>2</v>
      </c>
      <c r="E31" s="277" t="str">
        <f>IF(LEFT(SEEMoutput!BE33,1)="F","FUR",IF(LEFT(SEEMoutput!BE33,1)="D","DHP","HP"))</f>
        <v>HP</v>
      </c>
      <c r="F31" s="288">
        <f>SEEMoutput!E33</f>
        <v>425.780959</v>
      </c>
      <c r="G31" s="289">
        <f>F31*(69-30)*SEEMoutput!N33/SEEMoutput!M33</f>
        <v>21313.153162109887</v>
      </c>
      <c r="H31" s="290">
        <f>'(Tons) (Furnsize)'!$F$52+'(Tons) (Furnsize)'!$F$53*'(Tons) (Furnsize)'!$B$15+'(Tons) (Furnsize)'!$F$54*G31</f>
        <v>2.5617342568284798</v>
      </c>
      <c r="I31" s="290">
        <f>H31/'(Tons) (Furnsize)'!$G$7</f>
        <v>2.1233109941201933</v>
      </c>
      <c r="J31" s="291">
        <f>F31*(69-VLOOKUP(D31,'(Tons) (Furnsize)'!$D$15:$E$17,2,FALSE))/3412</f>
        <v>8.610459018464244</v>
      </c>
      <c r="K31" s="292">
        <f>INDEX(Calibration!$A$4:$L$13,MATCH($D31&amp;$E31,Calibration!$A$4:$A$13,0),MATCH(K$4,Calibration!$A$4:$L$4,0))</f>
        <v>0.17499999999999999</v>
      </c>
      <c r="L31" s="292">
        <f>INDEX(Calibration!$A$4:$L$13,MATCH($D31&amp;$E31,Calibration!$A$4:$A$13,0),MATCH(L$4,Calibration!$A$4:$L$4,0))</f>
        <v>1.1965160377936901</v>
      </c>
      <c r="M31" s="292">
        <f>INDEX(Calibration!$A$4:$L$13,MATCH($D31&amp;$E31,Calibration!$A$4:$A$13,0),MATCH(M$4,Calibration!$A$4:$L$4,0))</f>
        <v>-2.050167690250368</v>
      </c>
      <c r="N31" s="292">
        <f>INDEX(Calibration!$A$4:$L$13,MATCH($D31&amp;$E31,Calibration!$A$4:$A$13,0),MATCH(N$4,Calibration!$A$4:$L$4,0))</f>
        <v>1.2990244223062084</v>
      </c>
      <c r="O31" s="292">
        <f>INDEX(Calibration!$A$4:$L$13,MATCH($D31&amp;$E31,Calibration!$A$4:$A$13,0),MATCH(O$4,Calibration!$A$4:$L$4,0))</f>
        <v>-4.1003353805007361</v>
      </c>
      <c r="P31" s="292">
        <f>INDEX(Calibration!$A$4:$L$13,MATCH($D31&amp;$E31,Calibration!$A$4:$A$13,0),MATCH(P$4,Calibration!$A$4:$L$4,0))</f>
        <v>1.452786999074986</v>
      </c>
      <c r="Q31" s="292">
        <f>INDEX(Calibration!$A$4:$L$13,MATCH($D31&amp;$E31,Calibration!$A$4:$A$13,0),MATCH(Q$4,Calibration!$A$4:$L$4,0))</f>
        <v>0.73522830748735724</v>
      </c>
      <c r="R31" s="293">
        <f>IF(C31&lt;Calibration!$F$5,L31,IF(C31&lt;Calibration!$E$5,C31*M31+N31,IF(C31&lt;K31,C31*O31+P31,Q31)))</f>
        <v>1.1449844141288956</v>
      </c>
      <c r="S31" s="286">
        <f t="shared" si="0"/>
        <v>7955.4349199648796</v>
      </c>
      <c r="T31" s="293">
        <f>IF(E31="DHP",VLOOKUP(D31,Calibration!$C$20:$E$22,2,FALSE),IF(D31=1,Calibration!$D$17,Calibration!$D$18))</f>
        <v>0.85917762533929642</v>
      </c>
      <c r="U31" s="286">
        <f t="shared" si="1"/>
        <v>6835.131683076741</v>
      </c>
      <c r="V31" s="286">
        <f>VLOOKUP(T31,Calibration!$D$17:$E$22,2,FALSE)*S31</f>
        <v>983.03644294280195</v>
      </c>
      <c r="W31" t="s">
        <v>785</v>
      </c>
      <c r="X31">
        <v>1284.1718780000001</v>
      </c>
      <c r="Y31">
        <v>0</v>
      </c>
    </row>
    <row r="32" spans="1:25">
      <c r="A32" s="277" t="str">
        <f>SEEMoutput!A34</f>
        <v>WxHZ2CZ1_2200e_30hp85_des0</v>
      </c>
      <c r="B32" s="286">
        <f>SEEMoutput!O34</f>
        <v>8188.0991979999999</v>
      </c>
      <c r="C32" s="287">
        <v>8.8008072545024268E-2</v>
      </c>
      <c r="D32" s="277">
        <f>IF(SEEMoutput!G34&lt;6000,1,IF(SEEMoutput!G34&lt;7500,2,3))</f>
        <v>2</v>
      </c>
      <c r="E32" s="277" t="str">
        <f>IF(LEFT(SEEMoutput!BE34,1)="F","FUR",IF(LEFT(SEEMoutput!BE34,1)="D","DHP","HP"))</f>
        <v>HP</v>
      </c>
      <c r="F32" s="288">
        <f>SEEMoutput!E34</f>
        <v>491.93877800000001</v>
      </c>
      <c r="G32" s="289">
        <f>F32*(69-30)*SEEMoutput!N34/SEEMoutput!M34</f>
        <v>24895.636374522401</v>
      </c>
      <c r="H32" s="290">
        <f>'(Tons) (Furnsize)'!$F$52+'(Tons) (Furnsize)'!$F$53*'(Tons) (Furnsize)'!$B$15+'(Tons) (Furnsize)'!$F$54*G32</f>
        <v>2.9823550267744041</v>
      </c>
      <c r="I32" s="290">
        <f>H32/'(Tons) (Furnsize)'!$G$7</f>
        <v>2.4719454017683868</v>
      </c>
      <c r="J32" s="291">
        <f>F32*(69-VLOOKUP(D32,'(Tons) (Furnsize)'!$D$15:$E$17,2,FALSE))/3412</f>
        <v>9.9483516066822979</v>
      </c>
      <c r="K32" s="292">
        <f>INDEX(Calibration!$A$4:$L$13,MATCH($D32&amp;$E32,Calibration!$A$4:$A$13,0),MATCH(K$4,Calibration!$A$4:$L$4,0))</f>
        <v>0.17499999999999999</v>
      </c>
      <c r="L32" s="292">
        <f>INDEX(Calibration!$A$4:$L$13,MATCH($D32&amp;$E32,Calibration!$A$4:$A$13,0),MATCH(L$4,Calibration!$A$4:$L$4,0))</f>
        <v>1.1965160377936901</v>
      </c>
      <c r="M32" s="292">
        <f>INDEX(Calibration!$A$4:$L$13,MATCH($D32&amp;$E32,Calibration!$A$4:$A$13,0),MATCH(M$4,Calibration!$A$4:$L$4,0))</f>
        <v>-2.050167690250368</v>
      </c>
      <c r="N32" s="292">
        <f>INDEX(Calibration!$A$4:$L$13,MATCH($D32&amp;$E32,Calibration!$A$4:$A$13,0),MATCH(N$4,Calibration!$A$4:$L$4,0))</f>
        <v>1.2990244223062084</v>
      </c>
      <c r="O32" s="292">
        <f>INDEX(Calibration!$A$4:$L$13,MATCH($D32&amp;$E32,Calibration!$A$4:$A$13,0),MATCH(O$4,Calibration!$A$4:$L$4,0))</f>
        <v>-4.1003353805007361</v>
      </c>
      <c r="P32" s="292">
        <f>INDEX(Calibration!$A$4:$L$13,MATCH($D32&amp;$E32,Calibration!$A$4:$A$13,0),MATCH(P$4,Calibration!$A$4:$L$4,0))</f>
        <v>1.452786999074986</v>
      </c>
      <c r="Q32" s="292">
        <f>INDEX(Calibration!$A$4:$L$13,MATCH($D32&amp;$E32,Calibration!$A$4:$A$13,0),MATCH(Q$4,Calibration!$A$4:$L$4,0))</f>
        <v>0.73522830748735724</v>
      </c>
      <c r="R32" s="293">
        <f>IF(C32&lt;Calibration!$F$5,L32,IF(C32&lt;Calibration!$E$5,C32*M32+N32,IF(C32&lt;K32,C32*O32+P32,Q32)))</f>
        <v>1.0919243854489475</v>
      </c>
      <c r="S32" s="286">
        <f t="shared" si="0"/>
        <v>8940.78518477117</v>
      </c>
      <c r="T32" s="293">
        <f>IF(E32="DHP",VLOOKUP(D32,Calibration!$C$20:$E$22,2,FALSE),IF(D32=1,Calibration!$D$17,Calibration!$D$18))</f>
        <v>0.85917762533929642</v>
      </c>
      <c r="U32" s="286">
        <f t="shared" si="1"/>
        <v>7681.722583720456</v>
      </c>
      <c r="V32" s="286">
        <f>VLOOKUP(T32,Calibration!$D$17:$E$22,2,FALSE)*S32</f>
        <v>1104.7941129021208</v>
      </c>
      <c r="W32" t="s">
        <v>779</v>
      </c>
      <c r="X32">
        <v>431.02065199999998</v>
      </c>
      <c r="Y32">
        <v>0</v>
      </c>
    </row>
    <row r="33" spans="1:25">
      <c r="A33" s="277" t="str">
        <f>SEEMoutput!A35</f>
        <v>WxHZ2CZ2_2200e_30hp85_des0</v>
      </c>
      <c r="B33" s="286">
        <f>SEEMoutput!O35</f>
        <v>8188.0991979999999</v>
      </c>
      <c r="C33" s="287">
        <v>8.8008072545024268E-2</v>
      </c>
      <c r="D33" s="277">
        <f>IF(SEEMoutput!G35&lt;6000,1,IF(SEEMoutput!G35&lt;7500,2,3))</f>
        <v>2</v>
      </c>
      <c r="E33" s="277" t="str">
        <f>IF(LEFT(SEEMoutput!BE35,1)="F","FUR",IF(LEFT(SEEMoutput!BE35,1)="D","DHP","HP"))</f>
        <v>HP</v>
      </c>
      <c r="F33" s="288">
        <f>SEEMoutput!E35</f>
        <v>491.93877800000001</v>
      </c>
      <c r="G33" s="289">
        <f>F33*(69-30)*SEEMoutput!N35/SEEMoutput!M35</f>
        <v>24895.636374522401</v>
      </c>
      <c r="H33" s="290">
        <f>'(Tons) (Furnsize)'!$F$52+'(Tons) (Furnsize)'!$F$53*'(Tons) (Furnsize)'!$B$15+'(Tons) (Furnsize)'!$F$54*G33</f>
        <v>2.9823550267744041</v>
      </c>
      <c r="I33" s="290">
        <f>H33/'(Tons) (Furnsize)'!$G$7</f>
        <v>2.4719454017683868</v>
      </c>
      <c r="J33" s="291">
        <f>F33*(69-VLOOKUP(D33,'(Tons) (Furnsize)'!$D$15:$E$17,2,FALSE))/3412</f>
        <v>9.9483516066822979</v>
      </c>
      <c r="K33" s="292">
        <f>INDEX(Calibration!$A$4:$L$13,MATCH($D33&amp;$E33,Calibration!$A$4:$A$13,0),MATCH(K$4,Calibration!$A$4:$L$4,0))</f>
        <v>0.17499999999999999</v>
      </c>
      <c r="L33" s="292">
        <f>INDEX(Calibration!$A$4:$L$13,MATCH($D33&amp;$E33,Calibration!$A$4:$A$13,0),MATCH(L$4,Calibration!$A$4:$L$4,0))</f>
        <v>1.1965160377936901</v>
      </c>
      <c r="M33" s="292">
        <f>INDEX(Calibration!$A$4:$L$13,MATCH($D33&amp;$E33,Calibration!$A$4:$A$13,0),MATCH(M$4,Calibration!$A$4:$L$4,0))</f>
        <v>-2.050167690250368</v>
      </c>
      <c r="N33" s="292">
        <f>INDEX(Calibration!$A$4:$L$13,MATCH($D33&amp;$E33,Calibration!$A$4:$A$13,0),MATCH(N$4,Calibration!$A$4:$L$4,0))</f>
        <v>1.2990244223062084</v>
      </c>
      <c r="O33" s="292">
        <f>INDEX(Calibration!$A$4:$L$13,MATCH($D33&amp;$E33,Calibration!$A$4:$A$13,0),MATCH(O$4,Calibration!$A$4:$L$4,0))</f>
        <v>-4.1003353805007361</v>
      </c>
      <c r="P33" s="292">
        <f>INDEX(Calibration!$A$4:$L$13,MATCH($D33&amp;$E33,Calibration!$A$4:$A$13,0),MATCH(P$4,Calibration!$A$4:$L$4,0))</f>
        <v>1.452786999074986</v>
      </c>
      <c r="Q33" s="292">
        <f>INDEX(Calibration!$A$4:$L$13,MATCH($D33&amp;$E33,Calibration!$A$4:$A$13,0),MATCH(Q$4,Calibration!$A$4:$L$4,0))</f>
        <v>0.73522830748735724</v>
      </c>
      <c r="R33" s="293">
        <f>IF(C33&lt;Calibration!$F$5,L33,IF(C33&lt;Calibration!$E$5,C33*M33+N33,IF(C33&lt;K33,C33*O33+P33,Q33)))</f>
        <v>1.0919243854489475</v>
      </c>
      <c r="S33" s="286">
        <f t="shared" si="0"/>
        <v>8940.78518477117</v>
      </c>
      <c r="T33" s="293">
        <f>IF(E33="DHP",VLOOKUP(D33,Calibration!$C$20:$E$22,2,FALSE),IF(D33=1,Calibration!$D$17,Calibration!$D$18))</f>
        <v>0.85917762533929642</v>
      </c>
      <c r="U33" s="286">
        <f t="shared" si="1"/>
        <v>7681.722583720456</v>
      </c>
      <c r="V33" s="286">
        <f>VLOOKUP(T33,Calibration!$D$17:$E$22,2,FALSE)*S33</f>
        <v>1104.7941129021208</v>
      </c>
      <c r="W33" t="s">
        <v>782</v>
      </c>
      <c r="X33">
        <v>832.24579200000005</v>
      </c>
      <c r="Y33">
        <v>0</v>
      </c>
    </row>
    <row r="34" spans="1:25">
      <c r="A34" s="277" t="str">
        <f>SEEMoutput!A36</f>
        <v>WxHZ2CZ3_2200e_30hp85_des0</v>
      </c>
      <c r="B34" s="286">
        <f>SEEMoutput!O36</f>
        <v>8188.0991979999999</v>
      </c>
      <c r="C34" s="287">
        <v>8.8008072545024268E-2</v>
      </c>
      <c r="D34" s="277">
        <f>IF(SEEMoutput!G36&lt;6000,1,IF(SEEMoutput!G36&lt;7500,2,3))</f>
        <v>2</v>
      </c>
      <c r="E34" s="277" t="str">
        <f>IF(LEFT(SEEMoutput!BE36,1)="F","FUR",IF(LEFT(SEEMoutput!BE36,1)="D","DHP","HP"))</f>
        <v>HP</v>
      </c>
      <c r="F34" s="288">
        <f>SEEMoutput!E36</f>
        <v>491.93877800000001</v>
      </c>
      <c r="G34" s="289">
        <f>F34*(69-30)*SEEMoutput!N36/SEEMoutput!M36</f>
        <v>24895.636374522401</v>
      </c>
      <c r="H34" s="290">
        <f>'(Tons) (Furnsize)'!$F$52+'(Tons) (Furnsize)'!$F$53*'(Tons) (Furnsize)'!$B$15+'(Tons) (Furnsize)'!$F$54*G34</f>
        <v>2.9823550267744041</v>
      </c>
      <c r="I34" s="290">
        <f>H34/'(Tons) (Furnsize)'!$G$7</f>
        <v>2.4719454017683868</v>
      </c>
      <c r="J34" s="291">
        <f>F34*(69-VLOOKUP(D34,'(Tons) (Furnsize)'!$D$15:$E$17,2,FALSE))/3412</f>
        <v>9.9483516066822979</v>
      </c>
      <c r="K34" s="292">
        <f>INDEX(Calibration!$A$4:$L$13,MATCH($D34&amp;$E34,Calibration!$A$4:$A$13,0),MATCH(K$4,Calibration!$A$4:$L$4,0))</f>
        <v>0.17499999999999999</v>
      </c>
      <c r="L34" s="292">
        <f>INDEX(Calibration!$A$4:$L$13,MATCH($D34&amp;$E34,Calibration!$A$4:$A$13,0),MATCH(L$4,Calibration!$A$4:$L$4,0))</f>
        <v>1.1965160377936901</v>
      </c>
      <c r="M34" s="292">
        <f>INDEX(Calibration!$A$4:$L$13,MATCH($D34&amp;$E34,Calibration!$A$4:$A$13,0),MATCH(M$4,Calibration!$A$4:$L$4,0))</f>
        <v>-2.050167690250368</v>
      </c>
      <c r="N34" s="292">
        <f>INDEX(Calibration!$A$4:$L$13,MATCH($D34&amp;$E34,Calibration!$A$4:$A$13,0),MATCH(N$4,Calibration!$A$4:$L$4,0))</f>
        <v>1.2990244223062084</v>
      </c>
      <c r="O34" s="292">
        <f>INDEX(Calibration!$A$4:$L$13,MATCH($D34&amp;$E34,Calibration!$A$4:$A$13,0),MATCH(O$4,Calibration!$A$4:$L$4,0))</f>
        <v>-4.1003353805007361</v>
      </c>
      <c r="P34" s="292">
        <f>INDEX(Calibration!$A$4:$L$13,MATCH($D34&amp;$E34,Calibration!$A$4:$A$13,0),MATCH(P$4,Calibration!$A$4:$L$4,0))</f>
        <v>1.452786999074986</v>
      </c>
      <c r="Q34" s="292">
        <f>INDEX(Calibration!$A$4:$L$13,MATCH($D34&amp;$E34,Calibration!$A$4:$A$13,0),MATCH(Q$4,Calibration!$A$4:$L$4,0))</f>
        <v>0.73522830748735724</v>
      </c>
      <c r="R34" s="293">
        <f>IF(C34&lt;Calibration!$F$5,L34,IF(C34&lt;Calibration!$E$5,C34*M34+N34,IF(C34&lt;K34,C34*O34+P34,Q34)))</f>
        <v>1.0919243854489475</v>
      </c>
      <c r="S34" s="286">
        <f t="shared" si="0"/>
        <v>8940.78518477117</v>
      </c>
      <c r="T34" s="293">
        <f>IF(E34="DHP",VLOOKUP(D34,Calibration!$C$20:$E$22,2,FALSE),IF(D34=1,Calibration!$D$17,Calibration!$D$18))</f>
        <v>0.85917762533929642</v>
      </c>
      <c r="U34" s="286">
        <f t="shared" si="1"/>
        <v>7681.722583720456</v>
      </c>
      <c r="V34" s="286">
        <f>VLOOKUP(T34,Calibration!$D$17:$E$22,2,FALSE)*S34</f>
        <v>1104.7941129021208</v>
      </c>
      <c r="W34" t="s">
        <v>785</v>
      </c>
      <c r="X34">
        <v>1352.019055</v>
      </c>
      <c r="Y34">
        <v>0</v>
      </c>
    </row>
    <row r="35" spans="1:25">
      <c r="A35" s="277" t="str">
        <f>SEEMoutput!A37</f>
        <v>NWHZ3CZ1_2200n_25hp85_des0</v>
      </c>
      <c r="B35" s="286">
        <f>SEEMoutput!O37</f>
        <v>9618.0938389999992</v>
      </c>
      <c r="C35" s="287">
        <v>7.4822043936574573E-2</v>
      </c>
      <c r="D35" s="277">
        <f>IF(SEEMoutput!G37&lt;6000,1,IF(SEEMoutput!G37&lt;7500,2,3))</f>
        <v>3</v>
      </c>
      <c r="E35" s="277" t="str">
        <f>IF(LEFT(SEEMoutput!BE37,1)="F","FUR",IF(LEFT(SEEMoutput!BE37,1)="D","DHP","HP"))</f>
        <v>HP</v>
      </c>
      <c r="F35" s="288">
        <f>SEEMoutput!E37</f>
        <v>422.34503599999999</v>
      </c>
      <c r="G35" s="289">
        <f>F35*(69-30)*SEEMoutput!N37/SEEMoutput!M37</f>
        <v>21424.302785415206</v>
      </c>
      <c r="H35" s="290">
        <f>'(Tons) (Furnsize)'!$F$52+'(Tons) (Furnsize)'!$F$53*'(Tons) (Furnsize)'!$B$15+'(Tons) (Furnsize)'!$F$54*G35</f>
        <v>2.5747843780326485</v>
      </c>
      <c r="I35" s="290">
        <f>H35/'(Tons) (Furnsize)'!$G$7</f>
        <v>2.1341276765116439</v>
      </c>
      <c r="J35" s="291">
        <f>F35*(69-VLOOKUP(D35,'(Tons) (Furnsize)'!$D$15:$E$17,2,FALSE))/3412</f>
        <v>11.635531472450175</v>
      </c>
      <c r="K35" s="292">
        <f>INDEX(Calibration!$A$4:$L$13,MATCH($D35&amp;$E35,Calibration!$A$4:$A$13,0),MATCH(K$4,Calibration!$A$4:$L$4,0))</f>
        <v>0.15</v>
      </c>
      <c r="L35" s="292">
        <f>INDEX(Calibration!$A$4:$L$13,MATCH($D35&amp;$E35,Calibration!$A$4:$A$13,0),MATCH(L$4,Calibration!$A$4:$L$4,0))</f>
        <v>1.0259371368886356</v>
      </c>
      <c r="M35" s="292">
        <f>INDEX(Calibration!$A$4:$L$13,MATCH($D35&amp;$E35,Calibration!$A$4:$A$13,0),MATCH(M$4,Calibration!$A$4:$L$4,0))</f>
        <v>-1.8551508104013119</v>
      </c>
      <c r="N35" s="292">
        <f>INDEX(Calibration!$A$4:$L$13,MATCH($D35&amp;$E35,Calibration!$A$4:$A$13,0),MATCH(N$4,Calibration!$A$4:$L$4,0))</f>
        <v>1.1186946774087012</v>
      </c>
      <c r="O35" s="292">
        <f>INDEX(Calibration!$A$4:$L$13,MATCH($D35&amp;$E35,Calibration!$A$4:$A$13,0),MATCH(O$4,Calibration!$A$4:$L$4,0))</f>
        <v>-3.7103016208026238</v>
      </c>
      <c r="P35" s="292">
        <f>INDEX(Calibration!$A$4:$L$13,MATCH($D35&amp;$E35,Calibration!$A$4:$A$13,0),MATCH(P$4,Calibration!$A$4:$L$4,0))</f>
        <v>1.2578309881887995</v>
      </c>
      <c r="Q35" s="292">
        <f>INDEX(Calibration!$A$4:$L$13,MATCH($D35&amp;$E35,Calibration!$A$4:$A$13,0),MATCH(Q$4,Calibration!$A$4:$L$4,0))</f>
        <v>0.7012857450684058</v>
      </c>
      <c r="R35" s="293">
        <f>IF(C35&lt;Calibration!$F$5,L35,IF(C35&lt;Calibration!$E$5,C35*M35+N35,IF(C35&lt;K35,C35*O35+P35,Q35)))</f>
        <v>0.97988850196388233</v>
      </c>
      <c r="S35" s="286">
        <f t="shared" si="0"/>
        <v>9424.659563645755</v>
      </c>
      <c r="T35" s="293">
        <f>IF(E35="DHP",VLOOKUP(D35,Calibration!$C$20:$E$22,2,FALSE),IF(D35=1,Calibration!$D$17,Calibration!$D$18))</f>
        <v>0.85917762533929642</v>
      </c>
      <c r="U35" s="286">
        <f t="shared" si="1"/>
        <v>8097.4566235244492</v>
      </c>
      <c r="V35" s="286">
        <f>VLOOKUP(T35,Calibration!$D$17:$E$22,2,FALSE)*S35</f>
        <v>1164.5854571875605</v>
      </c>
      <c r="W35" t="s">
        <v>794</v>
      </c>
      <c r="X35">
        <v>438.83140600000002</v>
      </c>
      <c r="Y35">
        <v>0</v>
      </c>
    </row>
    <row r="36" spans="1:25">
      <c r="A36" s="277" t="str">
        <f>SEEMoutput!A38</f>
        <v>NWHZ3CZ2_2200n_25hp85_des0</v>
      </c>
      <c r="B36" s="286">
        <f>SEEMoutput!O38</f>
        <v>9618.0938389999992</v>
      </c>
      <c r="C36" s="287">
        <v>7.4822043936574573E-2</v>
      </c>
      <c r="D36" s="277">
        <f>IF(SEEMoutput!G38&lt;6000,1,IF(SEEMoutput!G38&lt;7500,2,3))</f>
        <v>3</v>
      </c>
      <c r="E36" s="277" t="str">
        <f>IF(LEFT(SEEMoutput!BE38,1)="F","FUR",IF(LEFT(SEEMoutput!BE38,1)="D","DHP","HP"))</f>
        <v>HP</v>
      </c>
      <c r="F36" s="288">
        <f>SEEMoutput!E38</f>
        <v>422.34503599999999</v>
      </c>
      <c r="G36" s="289">
        <f>F36*(69-30)*SEEMoutput!N38/SEEMoutput!M38</f>
        <v>21424.302785415206</v>
      </c>
      <c r="H36" s="290">
        <f>'(Tons) (Furnsize)'!$F$52+'(Tons) (Furnsize)'!$F$53*'(Tons) (Furnsize)'!$B$15+'(Tons) (Furnsize)'!$F$54*G36</f>
        <v>2.5747843780326485</v>
      </c>
      <c r="I36" s="290">
        <f>H36/'(Tons) (Furnsize)'!$G$7</f>
        <v>2.1341276765116439</v>
      </c>
      <c r="J36" s="291">
        <f>F36*(69-VLOOKUP(D36,'(Tons) (Furnsize)'!$D$15:$E$17,2,FALSE))/3412</f>
        <v>11.635531472450175</v>
      </c>
      <c r="K36" s="292">
        <f>INDEX(Calibration!$A$4:$L$13,MATCH($D36&amp;$E36,Calibration!$A$4:$A$13,0),MATCH(K$4,Calibration!$A$4:$L$4,0))</f>
        <v>0.15</v>
      </c>
      <c r="L36" s="292">
        <f>INDEX(Calibration!$A$4:$L$13,MATCH($D36&amp;$E36,Calibration!$A$4:$A$13,0),MATCH(L$4,Calibration!$A$4:$L$4,0))</f>
        <v>1.0259371368886356</v>
      </c>
      <c r="M36" s="292">
        <f>INDEX(Calibration!$A$4:$L$13,MATCH($D36&amp;$E36,Calibration!$A$4:$A$13,0),MATCH(M$4,Calibration!$A$4:$L$4,0))</f>
        <v>-1.8551508104013119</v>
      </c>
      <c r="N36" s="292">
        <f>INDEX(Calibration!$A$4:$L$13,MATCH($D36&amp;$E36,Calibration!$A$4:$A$13,0),MATCH(N$4,Calibration!$A$4:$L$4,0))</f>
        <v>1.1186946774087012</v>
      </c>
      <c r="O36" s="292">
        <f>INDEX(Calibration!$A$4:$L$13,MATCH($D36&amp;$E36,Calibration!$A$4:$A$13,0),MATCH(O$4,Calibration!$A$4:$L$4,0))</f>
        <v>-3.7103016208026238</v>
      </c>
      <c r="P36" s="292">
        <f>INDEX(Calibration!$A$4:$L$13,MATCH($D36&amp;$E36,Calibration!$A$4:$A$13,0),MATCH(P$4,Calibration!$A$4:$L$4,0))</f>
        <v>1.2578309881887995</v>
      </c>
      <c r="Q36" s="292">
        <f>INDEX(Calibration!$A$4:$L$13,MATCH($D36&amp;$E36,Calibration!$A$4:$A$13,0),MATCH(Q$4,Calibration!$A$4:$L$4,0))</f>
        <v>0.7012857450684058</v>
      </c>
      <c r="R36" s="293">
        <f>IF(C36&lt;Calibration!$F$5,L36,IF(C36&lt;Calibration!$E$5,C36*M36+N36,IF(C36&lt;K36,C36*O36+P36,Q36)))</f>
        <v>0.97988850196388233</v>
      </c>
      <c r="S36" s="286">
        <f t="shared" si="0"/>
        <v>9424.659563645755</v>
      </c>
      <c r="T36" s="293">
        <f>IF(E36="DHP",VLOOKUP(D36,Calibration!$C$20:$E$22,2,FALSE),IF(D36=1,Calibration!$D$17,Calibration!$D$18))</f>
        <v>0.85917762533929642</v>
      </c>
      <c r="U36" s="286">
        <f t="shared" si="1"/>
        <v>8097.4566235244492</v>
      </c>
      <c r="V36" s="286">
        <f>VLOOKUP(T36,Calibration!$D$17:$E$22,2,FALSE)*S36</f>
        <v>1164.5854571875605</v>
      </c>
      <c r="W36" t="s">
        <v>797</v>
      </c>
      <c r="X36">
        <v>808.87732800000003</v>
      </c>
      <c r="Y36">
        <v>0</v>
      </c>
    </row>
    <row r="37" spans="1:25">
      <c r="A37" s="277" t="str">
        <f>SEEMoutput!A39</f>
        <v>NWHZ3CZ3_2200n_25hp85_des0</v>
      </c>
      <c r="B37" s="286">
        <f>SEEMoutput!O39</f>
        <v>9618.0938389999992</v>
      </c>
      <c r="C37" s="287">
        <v>7.4822043936574573E-2</v>
      </c>
      <c r="D37" s="277">
        <f>IF(SEEMoutput!G39&lt;6000,1,IF(SEEMoutput!G39&lt;7500,2,3))</f>
        <v>3</v>
      </c>
      <c r="E37" s="277" t="str">
        <f>IF(LEFT(SEEMoutput!BE39,1)="F","FUR",IF(LEFT(SEEMoutput!BE39,1)="D","DHP","HP"))</f>
        <v>HP</v>
      </c>
      <c r="F37" s="288">
        <f>SEEMoutput!E39</f>
        <v>422.34503599999999</v>
      </c>
      <c r="G37" s="289">
        <f>F37*(69-30)*SEEMoutput!N39/SEEMoutput!M39</f>
        <v>21424.302785415206</v>
      </c>
      <c r="H37" s="290">
        <f>'(Tons) (Furnsize)'!$F$52+'(Tons) (Furnsize)'!$F$53*'(Tons) (Furnsize)'!$B$15+'(Tons) (Furnsize)'!$F$54*G37</f>
        <v>2.5747843780326485</v>
      </c>
      <c r="I37" s="290">
        <f>H37/'(Tons) (Furnsize)'!$G$7</f>
        <v>2.1341276765116439</v>
      </c>
      <c r="J37" s="291">
        <f>F37*(69-VLOOKUP(D37,'(Tons) (Furnsize)'!$D$15:$E$17,2,FALSE))/3412</f>
        <v>11.635531472450175</v>
      </c>
      <c r="K37" s="292">
        <f>INDEX(Calibration!$A$4:$L$13,MATCH($D37&amp;$E37,Calibration!$A$4:$A$13,0),MATCH(K$4,Calibration!$A$4:$L$4,0))</f>
        <v>0.15</v>
      </c>
      <c r="L37" s="292">
        <f>INDEX(Calibration!$A$4:$L$13,MATCH($D37&amp;$E37,Calibration!$A$4:$A$13,0),MATCH(L$4,Calibration!$A$4:$L$4,0))</f>
        <v>1.0259371368886356</v>
      </c>
      <c r="M37" s="292">
        <f>INDEX(Calibration!$A$4:$L$13,MATCH($D37&amp;$E37,Calibration!$A$4:$A$13,0),MATCH(M$4,Calibration!$A$4:$L$4,0))</f>
        <v>-1.8551508104013119</v>
      </c>
      <c r="N37" s="292">
        <f>INDEX(Calibration!$A$4:$L$13,MATCH($D37&amp;$E37,Calibration!$A$4:$A$13,0),MATCH(N$4,Calibration!$A$4:$L$4,0))</f>
        <v>1.1186946774087012</v>
      </c>
      <c r="O37" s="292">
        <f>INDEX(Calibration!$A$4:$L$13,MATCH($D37&amp;$E37,Calibration!$A$4:$A$13,0),MATCH(O$4,Calibration!$A$4:$L$4,0))</f>
        <v>-3.7103016208026238</v>
      </c>
      <c r="P37" s="292">
        <f>INDEX(Calibration!$A$4:$L$13,MATCH($D37&amp;$E37,Calibration!$A$4:$A$13,0),MATCH(P$4,Calibration!$A$4:$L$4,0))</f>
        <v>1.2578309881887995</v>
      </c>
      <c r="Q37" s="292">
        <f>INDEX(Calibration!$A$4:$L$13,MATCH($D37&amp;$E37,Calibration!$A$4:$A$13,0),MATCH(Q$4,Calibration!$A$4:$L$4,0))</f>
        <v>0.7012857450684058</v>
      </c>
      <c r="R37" s="293">
        <f>IF(C37&lt;Calibration!$F$5,L37,IF(C37&lt;Calibration!$E$5,C37*M37+N37,IF(C37&lt;K37,C37*O37+P37,Q37)))</f>
        <v>0.97988850196388233</v>
      </c>
      <c r="S37" s="286">
        <f t="shared" si="0"/>
        <v>9424.659563645755</v>
      </c>
      <c r="T37" s="293">
        <f>IF(E37="DHP",VLOOKUP(D37,Calibration!$C$20:$E$22,2,FALSE),IF(D37=1,Calibration!$D$17,Calibration!$D$18))</f>
        <v>0.85917762533929642</v>
      </c>
      <c r="U37" s="286">
        <f t="shared" si="1"/>
        <v>8097.4566235244492</v>
      </c>
      <c r="V37" s="286">
        <f>VLOOKUP(T37,Calibration!$D$17:$E$22,2,FALSE)*S37</f>
        <v>1164.5854571875605</v>
      </c>
      <c r="W37" t="s">
        <v>800</v>
      </c>
      <c r="X37">
        <v>1284.1718780000001</v>
      </c>
      <c r="Y37">
        <v>0</v>
      </c>
    </row>
    <row r="38" spans="1:25">
      <c r="A38" s="277" t="str">
        <f>SEEMoutput!A40</f>
        <v>WxHZ3CZ1_2200e_30hp85_des0</v>
      </c>
      <c r="B38" s="286">
        <f>SEEMoutput!O40</f>
        <v>11294.843601</v>
      </c>
      <c r="C38" s="287">
        <v>8.790070030303139E-2</v>
      </c>
      <c r="D38" s="277">
        <f>IF(SEEMoutput!G40&lt;6000,1,IF(SEEMoutput!G40&lt;7500,2,3))</f>
        <v>3</v>
      </c>
      <c r="E38" s="277" t="str">
        <f>IF(LEFT(SEEMoutput!BE40,1)="F","FUR",IF(LEFT(SEEMoutput!BE40,1)="D","DHP","HP"))</f>
        <v>HP</v>
      </c>
      <c r="F38" s="288">
        <f>SEEMoutput!E40</f>
        <v>489.25743499999999</v>
      </c>
      <c r="G38" s="289">
        <f>F38*(69-30)*SEEMoutput!N40/SEEMoutput!M40</f>
        <v>25124.717776249585</v>
      </c>
      <c r="H38" s="290">
        <f>'(Tons) (Furnsize)'!$F$52+'(Tons) (Furnsize)'!$F$53*'(Tons) (Furnsize)'!$B$15+'(Tons) (Furnsize)'!$F$54*G38</f>
        <v>3.0092515646956222</v>
      </c>
      <c r="I38" s="290">
        <f>H38/'(Tons) (Furnsize)'!$G$7</f>
        <v>2.4942387815440847</v>
      </c>
      <c r="J38" s="291">
        <f>F38*(69-VLOOKUP(D38,'(Tons) (Furnsize)'!$D$15:$E$17,2,FALSE))/3412</f>
        <v>13.478956298358733</v>
      </c>
      <c r="K38" s="292">
        <f>INDEX(Calibration!$A$4:$L$13,MATCH($D38&amp;$E38,Calibration!$A$4:$A$13,0),MATCH(K$4,Calibration!$A$4:$L$4,0))</f>
        <v>0.15</v>
      </c>
      <c r="L38" s="292">
        <f>INDEX(Calibration!$A$4:$L$13,MATCH($D38&amp;$E38,Calibration!$A$4:$A$13,0),MATCH(L$4,Calibration!$A$4:$L$4,0))</f>
        <v>1.0259371368886356</v>
      </c>
      <c r="M38" s="292">
        <f>INDEX(Calibration!$A$4:$L$13,MATCH($D38&amp;$E38,Calibration!$A$4:$A$13,0),MATCH(M$4,Calibration!$A$4:$L$4,0))</f>
        <v>-1.8551508104013119</v>
      </c>
      <c r="N38" s="292">
        <f>INDEX(Calibration!$A$4:$L$13,MATCH($D38&amp;$E38,Calibration!$A$4:$A$13,0),MATCH(N$4,Calibration!$A$4:$L$4,0))</f>
        <v>1.1186946774087012</v>
      </c>
      <c r="O38" s="292">
        <f>INDEX(Calibration!$A$4:$L$13,MATCH($D38&amp;$E38,Calibration!$A$4:$A$13,0),MATCH(O$4,Calibration!$A$4:$L$4,0))</f>
        <v>-3.7103016208026238</v>
      </c>
      <c r="P38" s="292">
        <f>INDEX(Calibration!$A$4:$L$13,MATCH($D38&amp;$E38,Calibration!$A$4:$A$13,0),MATCH(P$4,Calibration!$A$4:$L$4,0))</f>
        <v>1.2578309881887995</v>
      </c>
      <c r="Q38" s="292">
        <f>INDEX(Calibration!$A$4:$L$13,MATCH($D38&amp;$E38,Calibration!$A$4:$A$13,0),MATCH(Q$4,Calibration!$A$4:$L$4,0))</f>
        <v>0.7012857450684058</v>
      </c>
      <c r="R38" s="293">
        <f>IF(C38&lt;Calibration!$F$5,L38,IF(C38&lt;Calibration!$E$5,C38*M38+N38,IF(C38&lt;K38,C38*O38+P38,Q38)))</f>
        <v>0.93169287738477635</v>
      </c>
      <c r="S38" s="286">
        <f t="shared" si="0"/>
        <v>10523.32533422672</v>
      </c>
      <c r="T38" s="293">
        <f>IF(E38="DHP",VLOOKUP(D38,Calibration!$C$20:$E$22,2,FALSE),IF(D38=1,Calibration!$D$17,Calibration!$D$18))</f>
        <v>0.85917762533929642</v>
      </c>
      <c r="U38" s="286">
        <f t="shared" si="1"/>
        <v>9041.4056713337704</v>
      </c>
      <c r="V38" s="286">
        <f>VLOOKUP(T38,Calibration!$D$17:$E$22,2,FALSE)*S38</f>
        <v>1300.345287034763</v>
      </c>
      <c r="W38" t="s">
        <v>794</v>
      </c>
      <c r="X38">
        <v>431.02065199999998</v>
      </c>
      <c r="Y38">
        <v>0</v>
      </c>
    </row>
    <row r="39" spans="1:25">
      <c r="A39" s="277" t="str">
        <f>SEEMoutput!A41</f>
        <v>WxHZ3CZ2_2200e_30hp85_des0</v>
      </c>
      <c r="B39" s="286">
        <f>SEEMoutput!O41</f>
        <v>11294.843601</v>
      </c>
      <c r="C39" s="287">
        <v>8.790070030303139E-2</v>
      </c>
      <c r="D39" s="277">
        <f>IF(SEEMoutput!G41&lt;6000,1,IF(SEEMoutput!G41&lt;7500,2,3))</f>
        <v>3</v>
      </c>
      <c r="E39" s="277" t="str">
        <f>IF(LEFT(SEEMoutput!BE41,1)="F","FUR",IF(LEFT(SEEMoutput!BE41,1)="D","DHP","HP"))</f>
        <v>HP</v>
      </c>
      <c r="F39" s="288">
        <f>SEEMoutput!E41</f>
        <v>489.25743499999999</v>
      </c>
      <c r="G39" s="289">
        <f>F39*(69-30)*SEEMoutput!N41/SEEMoutput!M41</f>
        <v>25124.717776249585</v>
      </c>
      <c r="H39" s="290">
        <f>'(Tons) (Furnsize)'!$F$52+'(Tons) (Furnsize)'!$F$53*'(Tons) (Furnsize)'!$B$15+'(Tons) (Furnsize)'!$F$54*G39</f>
        <v>3.0092515646956222</v>
      </c>
      <c r="I39" s="290">
        <f>H39/'(Tons) (Furnsize)'!$G$7</f>
        <v>2.4942387815440847</v>
      </c>
      <c r="J39" s="291">
        <f>F39*(69-VLOOKUP(D39,'(Tons) (Furnsize)'!$D$15:$E$17,2,FALSE))/3412</f>
        <v>13.478956298358733</v>
      </c>
      <c r="K39" s="292">
        <f>INDEX(Calibration!$A$4:$L$13,MATCH($D39&amp;$E39,Calibration!$A$4:$A$13,0),MATCH(K$4,Calibration!$A$4:$L$4,0))</f>
        <v>0.15</v>
      </c>
      <c r="L39" s="292">
        <f>INDEX(Calibration!$A$4:$L$13,MATCH($D39&amp;$E39,Calibration!$A$4:$A$13,0),MATCH(L$4,Calibration!$A$4:$L$4,0))</f>
        <v>1.0259371368886356</v>
      </c>
      <c r="M39" s="292">
        <f>INDEX(Calibration!$A$4:$L$13,MATCH($D39&amp;$E39,Calibration!$A$4:$A$13,0),MATCH(M$4,Calibration!$A$4:$L$4,0))</f>
        <v>-1.8551508104013119</v>
      </c>
      <c r="N39" s="292">
        <f>INDEX(Calibration!$A$4:$L$13,MATCH($D39&amp;$E39,Calibration!$A$4:$A$13,0),MATCH(N$4,Calibration!$A$4:$L$4,0))</f>
        <v>1.1186946774087012</v>
      </c>
      <c r="O39" s="292">
        <f>INDEX(Calibration!$A$4:$L$13,MATCH($D39&amp;$E39,Calibration!$A$4:$A$13,0),MATCH(O$4,Calibration!$A$4:$L$4,0))</f>
        <v>-3.7103016208026238</v>
      </c>
      <c r="P39" s="292">
        <f>INDEX(Calibration!$A$4:$L$13,MATCH($D39&amp;$E39,Calibration!$A$4:$A$13,0),MATCH(P$4,Calibration!$A$4:$L$4,0))</f>
        <v>1.2578309881887995</v>
      </c>
      <c r="Q39" s="292">
        <f>INDEX(Calibration!$A$4:$L$13,MATCH($D39&amp;$E39,Calibration!$A$4:$A$13,0),MATCH(Q$4,Calibration!$A$4:$L$4,0))</f>
        <v>0.7012857450684058</v>
      </c>
      <c r="R39" s="293">
        <f>IF(C39&lt;Calibration!$F$5,L39,IF(C39&lt;Calibration!$E$5,C39*M39+N39,IF(C39&lt;K39,C39*O39+P39,Q39)))</f>
        <v>0.93169287738477635</v>
      </c>
      <c r="S39" s="286">
        <f t="shared" si="0"/>
        <v>10523.32533422672</v>
      </c>
      <c r="T39" s="293">
        <f>IF(E39="DHP",VLOOKUP(D39,Calibration!$C$20:$E$22,2,FALSE),IF(D39=1,Calibration!$D$17,Calibration!$D$18))</f>
        <v>0.85917762533929642</v>
      </c>
      <c r="U39" s="286">
        <f t="shared" si="1"/>
        <v>9041.4056713337704</v>
      </c>
      <c r="V39" s="286">
        <f>VLOOKUP(T39,Calibration!$D$17:$E$22,2,FALSE)*S39</f>
        <v>1300.345287034763</v>
      </c>
      <c r="W39" t="s">
        <v>797</v>
      </c>
      <c r="X39">
        <v>832.24579200000005</v>
      </c>
      <c r="Y39">
        <v>0</v>
      </c>
    </row>
    <row r="40" spans="1:25">
      <c r="A40" s="277" t="str">
        <f>SEEMoutput!A42</f>
        <v>WxHZ3CZ3_2200e_30hp85_des0</v>
      </c>
      <c r="B40" s="286">
        <f>SEEMoutput!O42</f>
        <v>11294.843601</v>
      </c>
      <c r="C40" s="287">
        <v>8.790070030303139E-2</v>
      </c>
      <c r="D40" s="277">
        <f>IF(SEEMoutput!G42&lt;6000,1,IF(SEEMoutput!G42&lt;7500,2,3))</f>
        <v>3</v>
      </c>
      <c r="E40" s="277" t="str">
        <f>IF(LEFT(SEEMoutput!BE42,1)="F","FUR",IF(LEFT(SEEMoutput!BE42,1)="D","DHP","HP"))</f>
        <v>HP</v>
      </c>
      <c r="F40" s="288">
        <f>SEEMoutput!E42</f>
        <v>489.25743499999999</v>
      </c>
      <c r="G40" s="289">
        <f>F40*(69-30)*SEEMoutput!N42/SEEMoutput!M42</f>
        <v>25124.717776249585</v>
      </c>
      <c r="H40" s="290">
        <f>'(Tons) (Furnsize)'!$F$52+'(Tons) (Furnsize)'!$F$53*'(Tons) (Furnsize)'!$B$15+'(Tons) (Furnsize)'!$F$54*G40</f>
        <v>3.0092515646956222</v>
      </c>
      <c r="I40" s="290">
        <f>H40/'(Tons) (Furnsize)'!$G$7</f>
        <v>2.4942387815440847</v>
      </c>
      <c r="J40" s="291">
        <f>F40*(69-VLOOKUP(D40,'(Tons) (Furnsize)'!$D$15:$E$17,2,FALSE))/3412</f>
        <v>13.478956298358733</v>
      </c>
      <c r="K40" s="292">
        <f>INDEX(Calibration!$A$4:$L$13,MATCH($D40&amp;$E40,Calibration!$A$4:$A$13,0),MATCH(K$4,Calibration!$A$4:$L$4,0))</f>
        <v>0.15</v>
      </c>
      <c r="L40" s="292">
        <f>INDEX(Calibration!$A$4:$L$13,MATCH($D40&amp;$E40,Calibration!$A$4:$A$13,0),MATCH(L$4,Calibration!$A$4:$L$4,0))</f>
        <v>1.0259371368886356</v>
      </c>
      <c r="M40" s="292">
        <f>INDEX(Calibration!$A$4:$L$13,MATCH($D40&amp;$E40,Calibration!$A$4:$A$13,0),MATCH(M$4,Calibration!$A$4:$L$4,0))</f>
        <v>-1.8551508104013119</v>
      </c>
      <c r="N40" s="292">
        <f>INDEX(Calibration!$A$4:$L$13,MATCH($D40&amp;$E40,Calibration!$A$4:$A$13,0),MATCH(N$4,Calibration!$A$4:$L$4,0))</f>
        <v>1.1186946774087012</v>
      </c>
      <c r="O40" s="292">
        <f>INDEX(Calibration!$A$4:$L$13,MATCH($D40&amp;$E40,Calibration!$A$4:$A$13,0),MATCH(O$4,Calibration!$A$4:$L$4,0))</f>
        <v>-3.7103016208026238</v>
      </c>
      <c r="P40" s="292">
        <f>INDEX(Calibration!$A$4:$L$13,MATCH($D40&amp;$E40,Calibration!$A$4:$A$13,0),MATCH(P$4,Calibration!$A$4:$L$4,0))</f>
        <v>1.2578309881887995</v>
      </c>
      <c r="Q40" s="292">
        <f>INDEX(Calibration!$A$4:$L$13,MATCH($D40&amp;$E40,Calibration!$A$4:$A$13,0),MATCH(Q$4,Calibration!$A$4:$L$4,0))</f>
        <v>0.7012857450684058</v>
      </c>
      <c r="R40" s="293">
        <f>IF(C40&lt;Calibration!$F$5,L40,IF(C40&lt;Calibration!$E$5,C40*M40+N40,IF(C40&lt;K40,C40*O40+P40,Q40)))</f>
        <v>0.93169287738477635</v>
      </c>
      <c r="S40" s="286">
        <f t="shared" si="0"/>
        <v>10523.32533422672</v>
      </c>
      <c r="T40" s="293">
        <f>IF(E40="DHP",VLOOKUP(D40,Calibration!$C$20:$E$22,2,FALSE),IF(D40=1,Calibration!$D$17,Calibration!$D$18))</f>
        <v>0.85917762533929642</v>
      </c>
      <c r="U40" s="286">
        <f t="shared" si="1"/>
        <v>9041.4056713337704</v>
      </c>
      <c r="V40" s="286">
        <f>VLOOKUP(T40,Calibration!$D$17:$E$22,2,FALSE)*S40</f>
        <v>1300.345287034763</v>
      </c>
      <c r="W40" t="s">
        <v>800</v>
      </c>
      <c r="X40">
        <v>1352.019055</v>
      </c>
      <c r="Y40">
        <v>0</v>
      </c>
    </row>
    <row r="41" spans="1:25">
      <c r="A41" s="277" t="str">
        <f>SEEMoutput!A43</f>
        <v>NWHZ1CZ1_2688n_25hp85_des0</v>
      </c>
      <c r="B41" s="286">
        <f>SEEMoutput!O43</f>
        <v>3341.0447669999999</v>
      </c>
      <c r="C41" s="287">
        <v>8.2784921998577524E-2</v>
      </c>
      <c r="D41" s="277">
        <f>IF(SEEMoutput!G43&lt;6000,1,IF(SEEMoutput!G43&lt;7500,2,3))</f>
        <v>1</v>
      </c>
      <c r="E41" s="277" t="str">
        <f>IF(LEFT(SEEMoutput!BE43,1)="F","FUR",IF(LEFT(SEEMoutput!BE43,1)="D","DHP","HP"))</f>
        <v>HP</v>
      </c>
      <c r="F41" s="288">
        <f>SEEMoutput!E43</f>
        <v>439.44079399999998</v>
      </c>
      <c r="G41" s="289">
        <f>F41*(69-30)*SEEMoutput!N43/SEEMoutput!M43</f>
        <v>17417.027482238154</v>
      </c>
      <c r="H41" s="290">
        <f>'(Tons) (Furnsize)'!$F$52+'(Tons) (Furnsize)'!$F$53*'(Tons) (Furnsize)'!$B$15+'(Tons) (Furnsize)'!$F$54*G41</f>
        <v>2.104288600810976</v>
      </c>
      <c r="I41" s="290">
        <f>H41/'(Tons) (Furnsize)'!$G$7</f>
        <v>1.7441540272937459</v>
      </c>
      <c r="J41" s="291">
        <f>F41*(69-VLOOKUP(D41,'(Tons) (Furnsize)'!$D$15:$E$17,2,FALSE))/3412</f>
        <v>6.6972219484173499</v>
      </c>
      <c r="K41" s="292">
        <f>INDEX(Calibration!$A$4:$L$13,MATCH($D41&amp;$E41,Calibration!$A$4:$A$13,0),MATCH(K$4,Calibration!$A$4:$L$4,0))</f>
        <v>0.2</v>
      </c>
      <c r="L41" s="292">
        <f>INDEX(Calibration!$A$4:$L$13,MATCH($D41&amp;$E41,Calibration!$A$4:$A$13,0),MATCH(L$4,Calibration!$A$4:$L$4,0))</f>
        <v>1.3869915874526988</v>
      </c>
      <c r="M41" s="292">
        <f>INDEX(Calibration!$A$4:$L$13,MATCH($D41&amp;$E41,Calibration!$A$4:$A$13,0),MATCH(M$4,Calibration!$A$4:$L$4,0))</f>
        <v>-2.2641144651923684</v>
      </c>
      <c r="N41" s="292">
        <f>INDEX(Calibration!$A$4:$L$13,MATCH($D41&amp;$E41,Calibration!$A$4:$A$13,0),MATCH(N$4,Calibration!$A$4:$L$4,0))</f>
        <v>1.5001973107123172</v>
      </c>
      <c r="O41" s="292">
        <f>INDEX(Calibration!$A$4:$L$13,MATCH($D41&amp;$E41,Calibration!$A$4:$A$13,0),MATCH(O$4,Calibration!$A$4:$L$4,0))</f>
        <v>-4.5282289303847367</v>
      </c>
      <c r="P41" s="292">
        <f>INDEX(Calibration!$A$4:$L$13,MATCH($D41&amp;$E41,Calibration!$A$4:$A$13,0),MATCH(P$4,Calibration!$A$4:$L$4,0))</f>
        <v>1.6700058956017449</v>
      </c>
      <c r="Q41" s="292">
        <f>INDEX(Calibration!$A$4:$L$13,MATCH($D41&amp;$E41,Calibration!$A$4:$A$13,0),MATCH(Q$4,Calibration!$A$4:$L$4,0))</f>
        <v>0.7643601095247976</v>
      </c>
      <c r="R41" s="293">
        <f>IF(C41&lt;Calibration!$F$5,L41,IF(C41&lt;Calibration!$E$5,C41*M41+N41,IF(C41&lt;K41,C41*O41+P41,Q41)))</f>
        <v>1.2951368168081423</v>
      </c>
      <c r="S41" s="286">
        <f t="shared" si="0"/>
        <v>4327.1100843458817</v>
      </c>
      <c r="T41" s="293">
        <f>IF(E41="DHP",VLOOKUP(D41,Calibration!$C$20:$E$22,2,FALSE),IF(D41=1,Calibration!$D$17,Calibration!$D$18))</f>
        <v>0.82813167326562143</v>
      </c>
      <c r="U41" s="286">
        <f t="shared" si="1"/>
        <v>3583.4169145538995</v>
      </c>
      <c r="V41" s="286">
        <f>VLOOKUP(T41,Calibration!$D$17:$E$22,2,FALSE)*S41</f>
        <v>676.33983845695275</v>
      </c>
      <c r="W41" t="s">
        <v>764</v>
      </c>
      <c r="X41">
        <v>272.744461</v>
      </c>
      <c r="Y41">
        <v>0</v>
      </c>
    </row>
    <row r="42" spans="1:25">
      <c r="A42" s="277" t="str">
        <f>SEEMoutput!A44</f>
        <v>NWHZ1CZ2_2688n_25hp85_des0</v>
      </c>
      <c r="B42" s="286">
        <f>SEEMoutput!O44</f>
        <v>3341.0447669999999</v>
      </c>
      <c r="C42" s="287">
        <v>8.2784921998577524E-2</v>
      </c>
      <c r="D42" s="277">
        <f>IF(SEEMoutput!G44&lt;6000,1,IF(SEEMoutput!G44&lt;7500,2,3))</f>
        <v>1</v>
      </c>
      <c r="E42" s="277" t="str">
        <f>IF(LEFT(SEEMoutput!BE44,1)="F","FUR",IF(LEFT(SEEMoutput!BE44,1)="D","DHP","HP"))</f>
        <v>HP</v>
      </c>
      <c r="F42" s="288">
        <f>SEEMoutput!E44</f>
        <v>439.44079399999998</v>
      </c>
      <c r="G42" s="289">
        <f>F42*(69-30)*SEEMoutput!N44/SEEMoutput!M44</f>
        <v>17417.027482238154</v>
      </c>
      <c r="H42" s="290">
        <f>'(Tons) (Furnsize)'!$F$52+'(Tons) (Furnsize)'!$F$53*'(Tons) (Furnsize)'!$B$15+'(Tons) (Furnsize)'!$F$54*G42</f>
        <v>2.104288600810976</v>
      </c>
      <c r="I42" s="290">
        <f>H42/'(Tons) (Furnsize)'!$G$7</f>
        <v>1.7441540272937459</v>
      </c>
      <c r="J42" s="291">
        <f>F42*(69-VLOOKUP(D42,'(Tons) (Furnsize)'!$D$15:$E$17,2,FALSE))/3412</f>
        <v>6.6972219484173499</v>
      </c>
      <c r="K42" s="292">
        <f>INDEX(Calibration!$A$4:$L$13,MATCH($D42&amp;$E42,Calibration!$A$4:$A$13,0),MATCH(K$4,Calibration!$A$4:$L$4,0))</f>
        <v>0.2</v>
      </c>
      <c r="L42" s="292">
        <f>INDEX(Calibration!$A$4:$L$13,MATCH($D42&amp;$E42,Calibration!$A$4:$A$13,0),MATCH(L$4,Calibration!$A$4:$L$4,0))</f>
        <v>1.3869915874526988</v>
      </c>
      <c r="M42" s="292">
        <f>INDEX(Calibration!$A$4:$L$13,MATCH($D42&amp;$E42,Calibration!$A$4:$A$13,0),MATCH(M$4,Calibration!$A$4:$L$4,0))</f>
        <v>-2.2641144651923684</v>
      </c>
      <c r="N42" s="292">
        <f>INDEX(Calibration!$A$4:$L$13,MATCH($D42&amp;$E42,Calibration!$A$4:$A$13,0),MATCH(N$4,Calibration!$A$4:$L$4,0))</f>
        <v>1.5001973107123172</v>
      </c>
      <c r="O42" s="292">
        <f>INDEX(Calibration!$A$4:$L$13,MATCH($D42&amp;$E42,Calibration!$A$4:$A$13,0),MATCH(O$4,Calibration!$A$4:$L$4,0))</f>
        <v>-4.5282289303847367</v>
      </c>
      <c r="P42" s="292">
        <f>INDEX(Calibration!$A$4:$L$13,MATCH($D42&amp;$E42,Calibration!$A$4:$A$13,0),MATCH(P$4,Calibration!$A$4:$L$4,0))</f>
        <v>1.6700058956017449</v>
      </c>
      <c r="Q42" s="292">
        <f>INDEX(Calibration!$A$4:$L$13,MATCH($D42&amp;$E42,Calibration!$A$4:$A$13,0),MATCH(Q$4,Calibration!$A$4:$L$4,0))</f>
        <v>0.7643601095247976</v>
      </c>
      <c r="R42" s="293">
        <f>IF(C42&lt;Calibration!$F$5,L42,IF(C42&lt;Calibration!$E$5,C42*M42+N42,IF(C42&lt;K42,C42*O42+P42,Q42)))</f>
        <v>1.2951368168081423</v>
      </c>
      <c r="S42" s="286">
        <f t="shared" si="0"/>
        <v>4327.1100843458817</v>
      </c>
      <c r="T42" s="293">
        <f>IF(E42="DHP",VLOOKUP(D42,Calibration!$C$20:$E$22,2,FALSE),IF(D42=1,Calibration!$D$17,Calibration!$D$18))</f>
        <v>0.82813167326562143</v>
      </c>
      <c r="U42" s="286">
        <f t="shared" si="1"/>
        <v>3583.4169145538995</v>
      </c>
      <c r="V42" s="286">
        <f>VLOOKUP(T42,Calibration!$D$17:$E$22,2,FALSE)*S42</f>
        <v>676.33983845695275</v>
      </c>
      <c r="W42" t="s">
        <v>767</v>
      </c>
      <c r="X42">
        <v>549.49371799999994</v>
      </c>
      <c r="Y42">
        <v>0</v>
      </c>
    </row>
    <row r="43" spans="1:25">
      <c r="A43" s="277" t="str">
        <f>SEEMoutput!A45</f>
        <v>NWHZ1CZ3_2688n_25hp85_des0</v>
      </c>
      <c r="B43" s="286">
        <f>SEEMoutput!O45</f>
        <v>3341.0447669999999</v>
      </c>
      <c r="C43" s="287">
        <v>8.2784921998577524E-2</v>
      </c>
      <c r="D43" s="277">
        <f>IF(SEEMoutput!G45&lt;6000,1,IF(SEEMoutput!G45&lt;7500,2,3))</f>
        <v>1</v>
      </c>
      <c r="E43" s="277" t="str">
        <f>IF(LEFT(SEEMoutput!BE45,1)="F","FUR",IF(LEFT(SEEMoutput!BE45,1)="D","DHP","HP"))</f>
        <v>HP</v>
      </c>
      <c r="F43" s="288">
        <f>SEEMoutput!E45</f>
        <v>439.44079399999998</v>
      </c>
      <c r="G43" s="289">
        <f>F43*(69-30)*SEEMoutput!N45/SEEMoutput!M45</f>
        <v>17417.027482238154</v>
      </c>
      <c r="H43" s="290">
        <f>'(Tons) (Furnsize)'!$F$52+'(Tons) (Furnsize)'!$F$53*'(Tons) (Furnsize)'!$B$15+'(Tons) (Furnsize)'!$F$54*G43</f>
        <v>2.104288600810976</v>
      </c>
      <c r="I43" s="290">
        <f>H43/'(Tons) (Furnsize)'!$G$7</f>
        <v>1.7441540272937459</v>
      </c>
      <c r="J43" s="291">
        <f>F43*(69-VLOOKUP(D43,'(Tons) (Furnsize)'!$D$15:$E$17,2,FALSE))/3412</f>
        <v>6.6972219484173499</v>
      </c>
      <c r="K43" s="292">
        <f>INDEX(Calibration!$A$4:$L$13,MATCH($D43&amp;$E43,Calibration!$A$4:$A$13,0),MATCH(K$4,Calibration!$A$4:$L$4,0))</f>
        <v>0.2</v>
      </c>
      <c r="L43" s="292">
        <f>INDEX(Calibration!$A$4:$L$13,MATCH($D43&amp;$E43,Calibration!$A$4:$A$13,0),MATCH(L$4,Calibration!$A$4:$L$4,0))</f>
        <v>1.3869915874526988</v>
      </c>
      <c r="M43" s="292">
        <f>INDEX(Calibration!$A$4:$L$13,MATCH($D43&amp;$E43,Calibration!$A$4:$A$13,0),MATCH(M$4,Calibration!$A$4:$L$4,0))</f>
        <v>-2.2641144651923684</v>
      </c>
      <c r="N43" s="292">
        <f>INDEX(Calibration!$A$4:$L$13,MATCH($D43&amp;$E43,Calibration!$A$4:$A$13,0),MATCH(N$4,Calibration!$A$4:$L$4,0))</f>
        <v>1.5001973107123172</v>
      </c>
      <c r="O43" s="292">
        <f>INDEX(Calibration!$A$4:$L$13,MATCH($D43&amp;$E43,Calibration!$A$4:$A$13,0),MATCH(O$4,Calibration!$A$4:$L$4,0))</f>
        <v>-4.5282289303847367</v>
      </c>
      <c r="P43" s="292">
        <f>INDEX(Calibration!$A$4:$L$13,MATCH($D43&amp;$E43,Calibration!$A$4:$A$13,0),MATCH(P$4,Calibration!$A$4:$L$4,0))</f>
        <v>1.6700058956017449</v>
      </c>
      <c r="Q43" s="292">
        <f>INDEX(Calibration!$A$4:$L$13,MATCH($D43&amp;$E43,Calibration!$A$4:$A$13,0),MATCH(Q$4,Calibration!$A$4:$L$4,0))</f>
        <v>0.7643601095247976</v>
      </c>
      <c r="R43" s="293">
        <f>IF(C43&lt;Calibration!$F$5,L43,IF(C43&lt;Calibration!$E$5,C43*M43+N43,IF(C43&lt;K43,C43*O43+P43,Q43)))</f>
        <v>1.2951368168081423</v>
      </c>
      <c r="S43" s="286">
        <f t="shared" si="0"/>
        <v>4327.1100843458817</v>
      </c>
      <c r="T43" s="293">
        <f>IF(E43="DHP",VLOOKUP(D43,Calibration!$C$20:$E$22,2,FALSE),IF(D43=1,Calibration!$D$17,Calibration!$D$18))</f>
        <v>0.82813167326562143</v>
      </c>
      <c r="U43" s="286">
        <f t="shared" si="1"/>
        <v>3583.4169145538995</v>
      </c>
      <c r="V43" s="286">
        <f>VLOOKUP(T43,Calibration!$D$17:$E$22,2,FALSE)*S43</f>
        <v>676.33983845695275</v>
      </c>
      <c r="W43" t="s">
        <v>770</v>
      </c>
      <c r="X43">
        <v>937.00133700000004</v>
      </c>
      <c r="Y43">
        <v>0</v>
      </c>
    </row>
    <row r="44" spans="1:25">
      <c r="A44" s="277" t="str">
        <f>SEEMoutput!A46</f>
        <v>WxHZ1CZ1_2688e_25hp85_des0</v>
      </c>
      <c r="B44" s="286">
        <f>SEEMoutput!O46</f>
        <v>3744.5521950000002</v>
      </c>
      <c r="C44" s="287">
        <v>9.1211003193506904E-2</v>
      </c>
      <c r="D44" s="277">
        <f>IF(SEEMoutput!G46&lt;6000,1,IF(SEEMoutput!G46&lt;7500,2,3))</f>
        <v>1</v>
      </c>
      <c r="E44" s="277" t="str">
        <f>IF(LEFT(SEEMoutput!BE46,1)="F","FUR",IF(LEFT(SEEMoutput!BE46,1)="D","DHP","HP"))</f>
        <v>HP</v>
      </c>
      <c r="F44" s="288">
        <f>SEEMoutput!E46</f>
        <v>473.85255100000001</v>
      </c>
      <c r="G44" s="289">
        <f>F44*(69-30)*SEEMoutput!N46/SEEMoutput!M46</f>
        <v>18826.786800058271</v>
      </c>
      <c r="H44" s="290">
        <f>'(Tons) (Furnsize)'!$F$52+'(Tons) (Furnsize)'!$F$53*'(Tons) (Furnsize)'!$B$15+'(Tons) (Furnsize)'!$F$54*G44</f>
        <v>2.2698089995236383</v>
      </c>
      <c r="I44" s="290">
        <f>H44/'(Tons) (Furnsize)'!$G$7</f>
        <v>1.8813467440640106</v>
      </c>
      <c r="J44" s="291">
        <f>F44*(69-VLOOKUP(D44,'(Tons) (Furnsize)'!$D$15:$E$17,2,FALSE))/3412</f>
        <v>7.2216684208675268</v>
      </c>
      <c r="K44" s="292">
        <f>INDEX(Calibration!$A$4:$L$13,MATCH($D44&amp;$E44,Calibration!$A$4:$A$13,0),MATCH(K$4,Calibration!$A$4:$L$4,0))</f>
        <v>0.2</v>
      </c>
      <c r="L44" s="292">
        <f>INDEX(Calibration!$A$4:$L$13,MATCH($D44&amp;$E44,Calibration!$A$4:$A$13,0),MATCH(L$4,Calibration!$A$4:$L$4,0))</f>
        <v>1.3869915874526988</v>
      </c>
      <c r="M44" s="292">
        <f>INDEX(Calibration!$A$4:$L$13,MATCH($D44&amp;$E44,Calibration!$A$4:$A$13,0),MATCH(M$4,Calibration!$A$4:$L$4,0))</f>
        <v>-2.2641144651923684</v>
      </c>
      <c r="N44" s="292">
        <f>INDEX(Calibration!$A$4:$L$13,MATCH($D44&amp;$E44,Calibration!$A$4:$A$13,0),MATCH(N$4,Calibration!$A$4:$L$4,0))</f>
        <v>1.5001973107123172</v>
      </c>
      <c r="O44" s="292">
        <f>INDEX(Calibration!$A$4:$L$13,MATCH($D44&amp;$E44,Calibration!$A$4:$A$13,0),MATCH(O$4,Calibration!$A$4:$L$4,0))</f>
        <v>-4.5282289303847367</v>
      </c>
      <c r="P44" s="292">
        <f>INDEX(Calibration!$A$4:$L$13,MATCH($D44&amp;$E44,Calibration!$A$4:$A$13,0),MATCH(P$4,Calibration!$A$4:$L$4,0))</f>
        <v>1.6700058956017449</v>
      </c>
      <c r="Q44" s="292">
        <f>INDEX(Calibration!$A$4:$L$13,MATCH($D44&amp;$E44,Calibration!$A$4:$A$13,0),MATCH(Q$4,Calibration!$A$4:$L$4,0))</f>
        <v>0.7643601095247976</v>
      </c>
      <c r="R44" s="293">
        <f>IF(C44&lt;Calibration!$F$5,L44,IF(C44&lt;Calibration!$E$5,C44*M44+N44,IF(C44&lt;K44,C44*O44+P44,Q44)))</f>
        <v>1.2569815921714924</v>
      </c>
      <c r="S44" s="286">
        <f t="shared" si="0"/>
        <v>4706.8331800403566</v>
      </c>
      <c r="T44" s="293">
        <f>IF(E44="DHP",VLOOKUP(D44,Calibration!$C$20:$E$22,2,FALSE),IF(D44=1,Calibration!$D$17,Calibration!$D$18))</f>
        <v>0.82813167326562143</v>
      </c>
      <c r="U44" s="286">
        <f t="shared" si="1"/>
        <v>3897.8776371689664</v>
      </c>
      <c r="V44" s="286">
        <f>VLOOKUP(T44,Calibration!$D$17:$E$22,2,FALSE)*S44</f>
        <v>735.69165807658192</v>
      </c>
      <c r="W44" t="s">
        <v>764</v>
      </c>
      <c r="X44">
        <v>274.14681400000001</v>
      </c>
      <c r="Y44">
        <v>0</v>
      </c>
    </row>
    <row r="45" spans="1:25">
      <c r="A45" s="277" t="str">
        <f>SEEMoutput!A47</f>
        <v>WxHZ1CZ2_2688e_25hp85_des0</v>
      </c>
      <c r="B45" s="286">
        <f>SEEMoutput!O47</f>
        <v>3744.5521950000002</v>
      </c>
      <c r="C45" s="287">
        <v>9.1211003193506904E-2</v>
      </c>
      <c r="D45" s="277">
        <f>IF(SEEMoutput!G47&lt;6000,1,IF(SEEMoutput!G47&lt;7500,2,3))</f>
        <v>1</v>
      </c>
      <c r="E45" s="277" t="str">
        <f>IF(LEFT(SEEMoutput!BE47,1)="F","FUR",IF(LEFT(SEEMoutput!BE47,1)="D","DHP","HP"))</f>
        <v>HP</v>
      </c>
      <c r="F45" s="288">
        <f>SEEMoutput!E47</f>
        <v>473.85255100000001</v>
      </c>
      <c r="G45" s="289">
        <f>F45*(69-30)*SEEMoutput!N47/SEEMoutput!M47</f>
        <v>18826.786800058271</v>
      </c>
      <c r="H45" s="290">
        <f>'(Tons) (Furnsize)'!$F$52+'(Tons) (Furnsize)'!$F$53*'(Tons) (Furnsize)'!$B$15+'(Tons) (Furnsize)'!$F$54*G45</f>
        <v>2.2698089995236383</v>
      </c>
      <c r="I45" s="290">
        <f>H45/'(Tons) (Furnsize)'!$G$7</f>
        <v>1.8813467440640106</v>
      </c>
      <c r="J45" s="291">
        <f>F45*(69-VLOOKUP(D45,'(Tons) (Furnsize)'!$D$15:$E$17,2,FALSE))/3412</f>
        <v>7.2216684208675268</v>
      </c>
      <c r="K45" s="292">
        <f>INDEX(Calibration!$A$4:$L$13,MATCH($D45&amp;$E45,Calibration!$A$4:$A$13,0),MATCH(K$4,Calibration!$A$4:$L$4,0))</f>
        <v>0.2</v>
      </c>
      <c r="L45" s="292">
        <f>INDEX(Calibration!$A$4:$L$13,MATCH($D45&amp;$E45,Calibration!$A$4:$A$13,0),MATCH(L$4,Calibration!$A$4:$L$4,0))</f>
        <v>1.3869915874526988</v>
      </c>
      <c r="M45" s="292">
        <f>INDEX(Calibration!$A$4:$L$13,MATCH($D45&amp;$E45,Calibration!$A$4:$A$13,0),MATCH(M$4,Calibration!$A$4:$L$4,0))</f>
        <v>-2.2641144651923684</v>
      </c>
      <c r="N45" s="292">
        <f>INDEX(Calibration!$A$4:$L$13,MATCH($D45&amp;$E45,Calibration!$A$4:$A$13,0),MATCH(N$4,Calibration!$A$4:$L$4,0))</f>
        <v>1.5001973107123172</v>
      </c>
      <c r="O45" s="292">
        <f>INDEX(Calibration!$A$4:$L$13,MATCH($D45&amp;$E45,Calibration!$A$4:$A$13,0),MATCH(O$4,Calibration!$A$4:$L$4,0))</f>
        <v>-4.5282289303847367</v>
      </c>
      <c r="P45" s="292">
        <f>INDEX(Calibration!$A$4:$L$13,MATCH($D45&amp;$E45,Calibration!$A$4:$A$13,0),MATCH(P$4,Calibration!$A$4:$L$4,0))</f>
        <v>1.6700058956017449</v>
      </c>
      <c r="Q45" s="292">
        <f>INDEX(Calibration!$A$4:$L$13,MATCH($D45&amp;$E45,Calibration!$A$4:$A$13,0),MATCH(Q$4,Calibration!$A$4:$L$4,0))</f>
        <v>0.7643601095247976</v>
      </c>
      <c r="R45" s="293">
        <f>IF(C45&lt;Calibration!$F$5,L45,IF(C45&lt;Calibration!$E$5,C45*M45+N45,IF(C45&lt;K45,C45*O45+P45,Q45)))</f>
        <v>1.2569815921714924</v>
      </c>
      <c r="S45" s="286">
        <f t="shared" si="0"/>
        <v>4706.8331800403566</v>
      </c>
      <c r="T45" s="293">
        <f>IF(E45="DHP",VLOOKUP(D45,Calibration!$C$20:$E$22,2,FALSE),IF(D45=1,Calibration!$D$17,Calibration!$D$18))</f>
        <v>0.82813167326562143</v>
      </c>
      <c r="U45" s="286">
        <f t="shared" si="1"/>
        <v>3897.8776371689664</v>
      </c>
      <c r="V45" s="286">
        <f>VLOOKUP(T45,Calibration!$D$17:$E$22,2,FALSE)*S45</f>
        <v>735.69165807658192</v>
      </c>
      <c r="W45" t="s">
        <v>767</v>
      </c>
      <c r="X45">
        <v>564.28717300000005</v>
      </c>
      <c r="Y45">
        <v>0</v>
      </c>
    </row>
    <row r="46" spans="1:25">
      <c r="A46" s="277" t="str">
        <f>SEEMoutput!A48</f>
        <v>WxHZ1CZ3_2688e_25hp85_des0</v>
      </c>
      <c r="B46" s="286">
        <f>SEEMoutput!O48</f>
        <v>3744.5521950000002</v>
      </c>
      <c r="C46" s="287">
        <v>9.1211003193506904E-2</v>
      </c>
      <c r="D46" s="277">
        <f>IF(SEEMoutput!G48&lt;6000,1,IF(SEEMoutput!G48&lt;7500,2,3))</f>
        <v>1</v>
      </c>
      <c r="E46" s="277" t="str">
        <f>IF(LEFT(SEEMoutput!BE48,1)="F","FUR",IF(LEFT(SEEMoutput!BE48,1)="D","DHP","HP"))</f>
        <v>HP</v>
      </c>
      <c r="F46" s="288">
        <f>SEEMoutput!E48</f>
        <v>473.85255100000001</v>
      </c>
      <c r="G46" s="289">
        <f>F46*(69-30)*SEEMoutput!N48/SEEMoutput!M48</f>
        <v>18826.786800058271</v>
      </c>
      <c r="H46" s="290">
        <f>'(Tons) (Furnsize)'!$F$52+'(Tons) (Furnsize)'!$F$53*'(Tons) (Furnsize)'!$B$15+'(Tons) (Furnsize)'!$F$54*G46</f>
        <v>2.2698089995236383</v>
      </c>
      <c r="I46" s="290">
        <f>H46/'(Tons) (Furnsize)'!$G$7</f>
        <v>1.8813467440640106</v>
      </c>
      <c r="J46" s="291">
        <f>F46*(69-VLOOKUP(D46,'(Tons) (Furnsize)'!$D$15:$E$17,2,FALSE))/3412</f>
        <v>7.2216684208675268</v>
      </c>
      <c r="K46" s="292">
        <f>INDEX(Calibration!$A$4:$L$13,MATCH($D46&amp;$E46,Calibration!$A$4:$A$13,0),MATCH(K$4,Calibration!$A$4:$L$4,0))</f>
        <v>0.2</v>
      </c>
      <c r="L46" s="292">
        <f>INDEX(Calibration!$A$4:$L$13,MATCH($D46&amp;$E46,Calibration!$A$4:$A$13,0),MATCH(L$4,Calibration!$A$4:$L$4,0))</f>
        <v>1.3869915874526988</v>
      </c>
      <c r="M46" s="292">
        <f>INDEX(Calibration!$A$4:$L$13,MATCH($D46&amp;$E46,Calibration!$A$4:$A$13,0),MATCH(M$4,Calibration!$A$4:$L$4,0))</f>
        <v>-2.2641144651923684</v>
      </c>
      <c r="N46" s="292">
        <f>INDEX(Calibration!$A$4:$L$13,MATCH($D46&amp;$E46,Calibration!$A$4:$A$13,0),MATCH(N$4,Calibration!$A$4:$L$4,0))</f>
        <v>1.5001973107123172</v>
      </c>
      <c r="O46" s="292">
        <f>INDEX(Calibration!$A$4:$L$13,MATCH($D46&amp;$E46,Calibration!$A$4:$A$13,0),MATCH(O$4,Calibration!$A$4:$L$4,0))</f>
        <v>-4.5282289303847367</v>
      </c>
      <c r="P46" s="292">
        <f>INDEX(Calibration!$A$4:$L$13,MATCH($D46&amp;$E46,Calibration!$A$4:$A$13,0),MATCH(P$4,Calibration!$A$4:$L$4,0))</f>
        <v>1.6700058956017449</v>
      </c>
      <c r="Q46" s="292">
        <f>INDEX(Calibration!$A$4:$L$13,MATCH($D46&amp;$E46,Calibration!$A$4:$A$13,0),MATCH(Q$4,Calibration!$A$4:$L$4,0))</f>
        <v>0.7643601095247976</v>
      </c>
      <c r="R46" s="293">
        <f>IF(C46&lt;Calibration!$F$5,L46,IF(C46&lt;Calibration!$E$5,C46*M46+N46,IF(C46&lt;K46,C46*O46+P46,Q46)))</f>
        <v>1.2569815921714924</v>
      </c>
      <c r="S46" s="286">
        <f t="shared" si="0"/>
        <v>4706.8331800403566</v>
      </c>
      <c r="T46" s="293">
        <f>IF(E46="DHP",VLOOKUP(D46,Calibration!$C$20:$E$22,2,FALSE),IF(D46=1,Calibration!$D$17,Calibration!$D$18))</f>
        <v>0.82813167326562143</v>
      </c>
      <c r="U46" s="286">
        <f t="shared" si="1"/>
        <v>3897.8776371689664</v>
      </c>
      <c r="V46" s="286">
        <f>VLOOKUP(T46,Calibration!$D$17:$E$22,2,FALSE)*S46</f>
        <v>735.69165807658192</v>
      </c>
      <c r="W46" t="s">
        <v>770</v>
      </c>
      <c r="X46">
        <v>970.63462200000004</v>
      </c>
      <c r="Y46">
        <v>0</v>
      </c>
    </row>
    <row r="47" spans="1:25">
      <c r="A47" s="277" t="str">
        <f>SEEMoutput!A49</f>
        <v>NWHZ2CZ1_2688n_25hp85_des0</v>
      </c>
      <c r="B47" s="286">
        <f>SEEMoutput!O49</f>
        <v>5673.3654690000003</v>
      </c>
      <c r="C47" s="287">
        <v>8.5056167686833745E-2</v>
      </c>
      <c r="D47" s="277">
        <f>IF(SEEMoutput!G49&lt;6000,1,IF(SEEMoutput!G49&lt;7500,2,3))</f>
        <v>2</v>
      </c>
      <c r="E47" s="277" t="str">
        <f>IF(LEFT(SEEMoutput!BE49,1)="F","FUR",IF(LEFT(SEEMoutput!BE49,1)="D","DHP","HP"))</f>
        <v>HP</v>
      </c>
      <c r="F47" s="288">
        <f>SEEMoutput!E49</f>
        <v>445.51968099999999</v>
      </c>
      <c r="G47" s="289">
        <f>F47*(69-30)*SEEMoutput!N49/SEEMoutput!M49</f>
        <v>17699.534055617562</v>
      </c>
      <c r="H47" s="290">
        <f>'(Tons) (Furnsize)'!$F$52+'(Tons) (Furnsize)'!$F$53*'(Tons) (Furnsize)'!$B$15+'(Tons) (Furnsize)'!$F$54*G47</f>
        <v>2.1374578092521821</v>
      </c>
      <c r="I47" s="290">
        <f>H47/'(Tons) (Furnsize)'!$G$7</f>
        <v>1.7716465530160159</v>
      </c>
      <c r="J47" s="291">
        <f>F47*(69-VLOOKUP(D47,'(Tons) (Furnsize)'!$D$15:$E$17,2,FALSE))/3412</f>
        <v>9.0096301257327074</v>
      </c>
      <c r="K47" s="292">
        <f>INDEX(Calibration!$A$4:$L$13,MATCH($D47&amp;$E47,Calibration!$A$4:$A$13,0),MATCH(K$4,Calibration!$A$4:$L$4,0))</f>
        <v>0.17499999999999999</v>
      </c>
      <c r="L47" s="292">
        <f>INDEX(Calibration!$A$4:$L$13,MATCH($D47&amp;$E47,Calibration!$A$4:$A$13,0),MATCH(L$4,Calibration!$A$4:$L$4,0))</f>
        <v>1.1965160377936901</v>
      </c>
      <c r="M47" s="292">
        <f>INDEX(Calibration!$A$4:$L$13,MATCH($D47&amp;$E47,Calibration!$A$4:$A$13,0),MATCH(M$4,Calibration!$A$4:$L$4,0))</f>
        <v>-2.050167690250368</v>
      </c>
      <c r="N47" s="292">
        <f>INDEX(Calibration!$A$4:$L$13,MATCH($D47&amp;$E47,Calibration!$A$4:$A$13,0),MATCH(N$4,Calibration!$A$4:$L$4,0))</f>
        <v>1.2990244223062084</v>
      </c>
      <c r="O47" s="292">
        <f>INDEX(Calibration!$A$4:$L$13,MATCH($D47&amp;$E47,Calibration!$A$4:$A$13,0),MATCH(O$4,Calibration!$A$4:$L$4,0))</f>
        <v>-4.1003353805007361</v>
      </c>
      <c r="P47" s="292">
        <f>INDEX(Calibration!$A$4:$L$13,MATCH($D47&amp;$E47,Calibration!$A$4:$A$13,0),MATCH(P$4,Calibration!$A$4:$L$4,0))</f>
        <v>1.452786999074986</v>
      </c>
      <c r="Q47" s="292">
        <f>INDEX(Calibration!$A$4:$L$13,MATCH($D47&amp;$E47,Calibration!$A$4:$A$13,0),MATCH(Q$4,Calibration!$A$4:$L$4,0))</f>
        <v>0.73522830748735724</v>
      </c>
      <c r="R47" s="293">
        <f>IF(C47&lt;Calibration!$F$5,L47,IF(C47&lt;Calibration!$E$5,C47*M47+N47,IF(C47&lt;K47,C47*O47+P47,Q47)))</f>
        <v>1.1040281853788581</v>
      </c>
      <c r="S47" s="286">
        <f t="shared" si="0"/>
        <v>6263.5553837311445</v>
      </c>
      <c r="T47" s="293">
        <f>IF(E47="DHP",VLOOKUP(D47,Calibration!$C$20:$E$22,2,FALSE),IF(D47=1,Calibration!$D$17,Calibration!$D$18))</f>
        <v>0.85917762533929642</v>
      </c>
      <c r="U47" s="286">
        <f t="shared" si="1"/>
        <v>5381.5066407752902</v>
      </c>
      <c r="V47" s="286">
        <f>VLOOKUP(T47,Calibration!$D$17:$E$22,2,FALSE)*S47</f>
        <v>773.97442962495927</v>
      </c>
      <c r="W47" t="s">
        <v>779</v>
      </c>
      <c r="X47">
        <v>272.744461</v>
      </c>
      <c r="Y47">
        <v>0</v>
      </c>
    </row>
    <row r="48" spans="1:25">
      <c r="A48" s="277" t="str">
        <f>SEEMoutput!A50</f>
        <v>NWHZ2CZ2_2688n_25hp85_des0</v>
      </c>
      <c r="B48" s="286">
        <f>SEEMoutput!O50</f>
        <v>5673.3654690000003</v>
      </c>
      <c r="C48" s="287">
        <v>8.5056167686833745E-2</v>
      </c>
      <c r="D48" s="277">
        <f>IF(SEEMoutput!G50&lt;6000,1,IF(SEEMoutput!G50&lt;7500,2,3))</f>
        <v>2</v>
      </c>
      <c r="E48" s="277" t="str">
        <f>IF(LEFT(SEEMoutput!BE50,1)="F","FUR",IF(LEFT(SEEMoutput!BE50,1)="D","DHP","HP"))</f>
        <v>HP</v>
      </c>
      <c r="F48" s="288">
        <f>SEEMoutput!E50</f>
        <v>445.51968099999999</v>
      </c>
      <c r="G48" s="289">
        <f>F48*(69-30)*SEEMoutput!N50/SEEMoutput!M50</f>
        <v>17699.534055617562</v>
      </c>
      <c r="H48" s="290">
        <f>'(Tons) (Furnsize)'!$F$52+'(Tons) (Furnsize)'!$F$53*'(Tons) (Furnsize)'!$B$15+'(Tons) (Furnsize)'!$F$54*G48</f>
        <v>2.1374578092521821</v>
      </c>
      <c r="I48" s="290">
        <f>H48/'(Tons) (Furnsize)'!$G$7</f>
        <v>1.7716465530160159</v>
      </c>
      <c r="J48" s="291">
        <f>F48*(69-VLOOKUP(D48,'(Tons) (Furnsize)'!$D$15:$E$17,2,FALSE))/3412</f>
        <v>9.0096301257327074</v>
      </c>
      <c r="K48" s="292">
        <f>INDEX(Calibration!$A$4:$L$13,MATCH($D48&amp;$E48,Calibration!$A$4:$A$13,0),MATCH(K$4,Calibration!$A$4:$L$4,0))</f>
        <v>0.17499999999999999</v>
      </c>
      <c r="L48" s="292">
        <f>INDEX(Calibration!$A$4:$L$13,MATCH($D48&amp;$E48,Calibration!$A$4:$A$13,0),MATCH(L$4,Calibration!$A$4:$L$4,0))</f>
        <v>1.1965160377936901</v>
      </c>
      <c r="M48" s="292">
        <f>INDEX(Calibration!$A$4:$L$13,MATCH($D48&amp;$E48,Calibration!$A$4:$A$13,0),MATCH(M$4,Calibration!$A$4:$L$4,0))</f>
        <v>-2.050167690250368</v>
      </c>
      <c r="N48" s="292">
        <f>INDEX(Calibration!$A$4:$L$13,MATCH($D48&amp;$E48,Calibration!$A$4:$A$13,0),MATCH(N$4,Calibration!$A$4:$L$4,0))</f>
        <v>1.2990244223062084</v>
      </c>
      <c r="O48" s="292">
        <f>INDEX(Calibration!$A$4:$L$13,MATCH($D48&amp;$E48,Calibration!$A$4:$A$13,0),MATCH(O$4,Calibration!$A$4:$L$4,0))</f>
        <v>-4.1003353805007361</v>
      </c>
      <c r="P48" s="292">
        <f>INDEX(Calibration!$A$4:$L$13,MATCH($D48&amp;$E48,Calibration!$A$4:$A$13,0),MATCH(P$4,Calibration!$A$4:$L$4,0))</f>
        <v>1.452786999074986</v>
      </c>
      <c r="Q48" s="292">
        <f>INDEX(Calibration!$A$4:$L$13,MATCH($D48&amp;$E48,Calibration!$A$4:$A$13,0),MATCH(Q$4,Calibration!$A$4:$L$4,0))</f>
        <v>0.73522830748735724</v>
      </c>
      <c r="R48" s="293">
        <f>IF(C48&lt;Calibration!$F$5,L48,IF(C48&lt;Calibration!$E$5,C48*M48+N48,IF(C48&lt;K48,C48*O48+P48,Q48)))</f>
        <v>1.1040281853788581</v>
      </c>
      <c r="S48" s="286">
        <f t="shared" si="0"/>
        <v>6263.5553837311445</v>
      </c>
      <c r="T48" s="293">
        <f>IF(E48="DHP",VLOOKUP(D48,Calibration!$C$20:$E$22,2,FALSE),IF(D48=1,Calibration!$D$17,Calibration!$D$18))</f>
        <v>0.85917762533929642</v>
      </c>
      <c r="U48" s="286">
        <f t="shared" si="1"/>
        <v>5381.5066407752902</v>
      </c>
      <c r="V48" s="286">
        <f>VLOOKUP(T48,Calibration!$D$17:$E$22,2,FALSE)*S48</f>
        <v>773.97442962495927</v>
      </c>
      <c r="W48" t="s">
        <v>782</v>
      </c>
      <c r="X48">
        <v>549.49371799999994</v>
      </c>
      <c r="Y48">
        <v>0</v>
      </c>
    </row>
    <row r="49" spans="1:25">
      <c r="A49" s="277" t="str">
        <f>SEEMoutput!A51</f>
        <v>NWHZ2CZ3_2688n_25hp85_des0</v>
      </c>
      <c r="B49" s="286">
        <f>SEEMoutput!O51</f>
        <v>5673.3654690000003</v>
      </c>
      <c r="C49" s="287">
        <v>8.5056167686833745E-2</v>
      </c>
      <c r="D49" s="277">
        <f>IF(SEEMoutput!G51&lt;6000,1,IF(SEEMoutput!G51&lt;7500,2,3))</f>
        <v>2</v>
      </c>
      <c r="E49" s="277" t="str">
        <f>IF(LEFT(SEEMoutput!BE51,1)="F","FUR",IF(LEFT(SEEMoutput!BE51,1)="D","DHP","HP"))</f>
        <v>HP</v>
      </c>
      <c r="F49" s="288">
        <f>SEEMoutput!E51</f>
        <v>445.51968099999999</v>
      </c>
      <c r="G49" s="289">
        <f>F49*(69-30)*SEEMoutput!N51/SEEMoutput!M51</f>
        <v>17699.534055617562</v>
      </c>
      <c r="H49" s="290">
        <f>'(Tons) (Furnsize)'!$F$52+'(Tons) (Furnsize)'!$F$53*'(Tons) (Furnsize)'!$B$15+'(Tons) (Furnsize)'!$F$54*G49</f>
        <v>2.1374578092521821</v>
      </c>
      <c r="I49" s="290">
        <f>H49/'(Tons) (Furnsize)'!$G$7</f>
        <v>1.7716465530160159</v>
      </c>
      <c r="J49" s="291">
        <f>F49*(69-VLOOKUP(D49,'(Tons) (Furnsize)'!$D$15:$E$17,2,FALSE))/3412</f>
        <v>9.0096301257327074</v>
      </c>
      <c r="K49" s="292">
        <f>INDEX(Calibration!$A$4:$L$13,MATCH($D49&amp;$E49,Calibration!$A$4:$A$13,0),MATCH(K$4,Calibration!$A$4:$L$4,0))</f>
        <v>0.17499999999999999</v>
      </c>
      <c r="L49" s="292">
        <f>INDEX(Calibration!$A$4:$L$13,MATCH($D49&amp;$E49,Calibration!$A$4:$A$13,0),MATCH(L$4,Calibration!$A$4:$L$4,0))</f>
        <v>1.1965160377936901</v>
      </c>
      <c r="M49" s="292">
        <f>INDEX(Calibration!$A$4:$L$13,MATCH($D49&amp;$E49,Calibration!$A$4:$A$13,0),MATCH(M$4,Calibration!$A$4:$L$4,0))</f>
        <v>-2.050167690250368</v>
      </c>
      <c r="N49" s="292">
        <f>INDEX(Calibration!$A$4:$L$13,MATCH($D49&amp;$E49,Calibration!$A$4:$A$13,0),MATCH(N$4,Calibration!$A$4:$L$4,0))</f>
        <v>1.2990244223062084</v>
      </c>
      <c r="O49" s="292">
        <f>INDEX(Calibration!$A$4:$L$13,MATCH($D49&amp;$E49,Calibration!$A$4:$A$13,0),MATCH(O$4,Calibration!$A$4:$L$4,0))</f>
        <v>-4.1003353805007361</v>
      </c>
      <c r="P49" s="292">
        <f>INDEX(Calibration!$A$4:$L$13,MATCH($D49&amp;$E49,Calibration!$A$4:$A$13,0),MATCH(P$4,Calibration!$A$4:$L$4,0))</f>
        <v>1.452786999074986</v>
      </c>
      <c r="Q49" s="292">
        <f>INDEX(Calibration!$A$4:$L$13,MATCH($D49&amp;$E49,Calibration!$A$4:$A$13,0),MATCH(Q$4,Calibration!$A$4:$L$4,0))</f>
        <v>0.73522830748735724</v>
      </c>
      <c r="R49" s="293">
        <f>IF(C49&lt;Calibration!$F$5,L49,IF(C49&lt;Calibration!$E$5,C49*M49+N49,IF(C49&lt;K49,C49*O49+P49,Q49)))</f>
        <v>1.1040281853788581</v>
      </c>
      <c r="S49" s="286">
        <f t="shared" si="0"/>
        <v>6263.5553837311445</v>
      </c>
      <c r="T49" s="293">
        <f>IF(E49="DHP",VLOOKUP(D49,Calibration!$C$20:$E$22,2,FALSE),IF(D49=1,Calibration!$D$17,Calibration!$D$18))</f>
        <v>0.85917762533929642</v>
      </c>
      <c r="U49" s="286">
        <f t="shared" si="1"/>
        <v>5381.5066407752902</v>
      </c>
      <c r="V49" s="286">
        <f>VLOOKUP(T49,Calibration!$D$17:$E$22,2,FALSE)*S49</f>
        <v>773.97442962495927</v>
      </c>
      <c r="W49" t="s">
        <v>785</v>
      </c>
      <c r="X49">
        <v>937.00133700000004</v>
      </c>
      <c r="Y49">
        <v>0</v>
      </c>
    </row>
    <row r="50" spans="1:25">
      <c r="A50" s="277" t="str">
        <f>SEEMoutput!A52</f>
        <v>WxHZ2CZ1_2688e_25hp85_des0</v>
      </c>
      <c r="B50" s="286">
        <f>SEEMoutput!O52</f>
        <v>6330.242655</v>
      </c>
      <c r="C50" s="287">
        <v>9.3484151526602985E-2</v>
      </c>
      <c r="D50" s="277">
        <f>IF(SEEMoutput!G52&lt;6000,1,IF(SEEMoutput!G52&lt;7500,2,3))</f>
        <v>2</v>
      </c>
      <c r="E50" s="277" t="str">
        <f>IF(LEFT(SEEMoutput!BE52,1)="F","FUR",IF(LEFT(SEEMoutput!BE52,1)="D","DHP","HP"))</f>
        <v>HP</v>
      </c>
      <c r="F50" s="288">
        <f>SEEMoutput!E52</f>
        <v>479.98236900000001</v>
      </c>
      <c r="G50" s="289">
        <f>F50*(69-30)*SEEMoutput!N52/SEEMoutput!M52</f>
        <v>19121.600816670947</v>
      </c>
      <c r="H50" s="290">
        <f>'(Tons) (Furnsize)'!$F$52+'(Tons) (Furnsize)'!$F$53*'(Tons) (Furnsize)'!$B$15+'(Tons) (Furnsize)'!$F$54*G50</f>
        <v>2.3044232297393794</v>
      </c>
      <c r="I50" s="290">
        <f>H50/'(Tons) (Furnsize)'!$G$7</f>
        <v>1.9100369859867157</v>
      </c>
      <c r="J50" s="291">
        <f>F50*(69-VLOOKUP(D50,'(Tons) (Furnsize)'!$D$15:$E$17,2,FALSE))/3412</f>
        <v>9.7065602171746779</v>
      </c>
      <c r="K50" s="292">
        <f>INDEX(Calibration!$A$4:$L$13,MATCH($D50&amp;$E50,Calibration!$A$4:$A$13,0),MATCH(K$4,Calibration!$A$4:$L$4,0))</f>
        <v>0.17499999999999999</v>
      </c>
      <c r="L50" s="292">
        <f>INDEX(Calibration!$A$4:$L$13,MATCH($D50&amp;$E50,Calibration!$A$4:$A$13,0),MATCH(L$4,Calibration!$A$4:$L$4,0))</f>
        <v>1.1965160377936901</v>
      </c>
      <c r="M50" s="292">
        <f>INDEX(Calibration!$A$4:$L$13,MATCH($D50&amp;$E50,Calibration!$A$4:$A$13,0),MATCH(M$4,Calibration!$A$4:$L$4,0))</f>
        <v>-2.050167690250368</v>
      </c>
      <c r="N50" s="292">
        <f>INDEX(Calibration!$A$4:$L$13,MATCH($D50&amp;$E50,Calibration!$A$4:$A$13,0),MATCH(N$4,Calibration!$A$4:$L$4,0))</f>
        <v>1.2990244223062084</v>
      </c>
      <c r="O50" s="292">
        <f>INDEX(Calibration!$A$4:$L$13,MATCH($D50&amp;$E50,Calibration!$A$4:$A$13,0),MATCH(O$4,Calibration!$A$4:$L$4,0))</f>
        <v>-4.1003353805007361</v>
      </c>
      <c r="P50" s="292">
        <f>INDEX(Calibration!$A$4:$L$13,MATCH($D50&amp;$E50,Calibration!$A$4:$A$13,0),MATCH(P$4,Calibration!$A$4:$L$4,0))</f>
        <v>1.452786999074986</v>
      </c>
      <c r="Q50" s="292">
        <f>INDEX(Calibration!$A$4:$L$13,MATCH($D50&amp;$E50,Calibration!$A$4:$A$13,0),MATCH(Q$4,Calibration!$A$4:$L$4,0))</f>
        <v>0.73522830748735724</v>
      </c>
      <c r="R50" s="293">
        <f>IF(C50&lt;Calibration!$F$5,L50,IF(C50&lt;Calibration!$E$5,C50*M50+N50,IF(C50&lt;K50,C50*O50+P50,Q50)))</f>
        <v>1.0694706250543637</v>
      </c>
      <c r="S50" s="286">
        <f t="shared" si="0"/>
        <v>6770.0085689886455</v>
      </c>
      <c r="T50" s="293">
        <f>IF(E50="DHP",VLOOKUP(D50,Calibration!$C$20:$E$22,2,FALSE),IF(D50=1,Calibration!$D$17,Calibration!$D$18))</f>
        <v>0.85917762533929642</v>
      </c>
      <c r="U50" s="286">
        <f t="shared" si="1"/>
        <v>5816.6398858303528</v>
      </c>
      <c r="V50" s="286">
        <f>VLOOKUP(T50,Calibration!$D$17:$E$22,2,FALSE)*S50</f>
        <v>836.55578975941989</v>
      </c>
      <c r="W50" t="s">
        <v>779</v>
      </c>
      <c r="X50">
        <v>274.14681400000001</v>
      </c>
      <c r="Y50">
        <v>0</v>
      </c>
    </row>
    <row r="51" spans="1:25">
      <c r="A51" s="277" t="str">
        <f>SEEMoutput!A53</f>
        <v>WxHZ2CZ2_2688e_25hp85_des0</v>
      </c>
      <c r="B51" s="286">
        <f>SEEMoutput!O53</f>
        <v>6330.242655</v>
      </c>
      <c r="C51" s="287">
        <v>9.3484151526602985E-2</v>
      </c>
      <c r="D51" s="277">
        <f>IF(SEEMoutput!G53&lt;6000,1,IF(SEEMoutput!G53&lt;7500,2,3))</f>
        <v>2</v>
      </c>
      <c r="E51" s="277" t="str">
        <f>IF(LEFT(SEEMoutput!BE53,1)="F","FUR",IF(LEFT(SEEMoutput!BE53,1)="D","DHP","HP"))</f>
        <v>HP</v>
      </c>
      <c r="F51" s="288">
        <f>SEEMoutput!E53</f>
        <v>479.98236900000001</v>
      </c>
      <c r="G51" s="289">
        <f>F51*(69-30)*SEEMoutput!N53/SEEMoutput!M53</f>
        <v>19121.600816670947</v>
      </c>
      <c r="H51" s="290">
        <f>'(Tons) (Furnsize)'!$F$52+'(Tons) (Furnsize)'!$F$53*'(Tons) (Furnsize)'!$B$15+'(Tons) (Furnsize)'!$F$54*G51</f>
        <v>2.3044232297393794</v>
      </c>
      <c r="I51" s="290">
        <f>H51/'(Tons) (Furnsize)'!$G$7</f>
        <v>1.9100369859867157</v>
      </c>
      <c r="J51" s="291">
        <f>F51*(69-VLOOKUP(D51,'(Tons) (Furnsize)'!$D$15:$E$17,2,FALSE))/3412</f>
        <v>9.7065602171746779</v>
      </c>
      <c r="K51" s="292">
        <f>INDEX(Calibration!$A$4:$L$13,MATCH($D51&amp;$E51,Calibration!$A$4:$A$13,0),MATCH(K$4,Calibration!$A$4:$L$4,0))</f>
        <v>0.17499999999999999</v>
      </c>
      <c r="L51" s="292">
        <f>INDEX(Calibration!$A$4:$L$13,MATCH($D51&amp;$E51,Calibration!$A$4:$A$13,0),MATCH(L$4,Calibration!$A$4:$L$4,0))</f>
        <v>1.1965160377936901</v>
      </c>
      <c r="M51" s="292">
        <f>INDEX(Calibration!$A$4:$L$13,MATCH($D51&amp;$E51,Calibration!$A$4:$A$13,0),MATCH(M$4,Calibration!$A$4:$L$4,0))</f>
        <v>-2.050167690250368</v>
      </c>
      <c r="N51" s="292">
        <f>INDEX(Calibration!$A$4:$L$13,MATCH($D51&amp;$E51,Calibration!$A$4:$A$13,0),MATCH(N$4,Calibration!$A$4:$L$4,0))</f>
        <v>1.2990244223062084</v>
      </c>
      <c r="O51" s="292">
        <f>INDEX(Calibration!$A$4:$L$13,MATCH($D51&amp;$E51,Calibration!$A$4:$A$13,0),MATCH(O$4,Calibration!$A$4:$L$4,0))</f>
        <v>-4.1003353805007361</v>
      </c>
      <c r="P51" s="292">
        <f>INDEX(Calibration!$A$4:$L$13,MATCH($D51&amp;$E51,Calibration!$A$4:$A$13,0),MATCH(P$4,Calibration!$A$4:$L$4,0))</f>
        <v>1.452786999074986</v>
      </c>
      <c r="Q51" s="292">
        <f>INDEX(Calibration!$A$4:$L$13,MATCH($D51&amp;$E51,Calibration!$A$4:$A$13,0),MATCH(Q$4,Calibration!$A$4:$L$4,0))</f>
        <v>0.73522830748735724</v>
      </c>
      <c r="R51" s="293">
        <f>IF(C51&lt;Calibration!$F$5,L51,IF(C51&lt;Calibration!$E$5,C51*M51+N51,IF(C51&lt;K51,C51*O51+P51,Q51)))</f>
        <v>1.0694706250543637</v>
      </c>
      <c r="S51" s="286">
        <f t="shared" si="0"/>
        <v>6770.0085689886455</v>
      </c>
      <c r="T51" s="293">
        <f>IF(E51="DHP",VLOOKUP(D51,Calibration!$C$20:$E$22,2,FALSE),IF(D51=1,Calibration!$D$17,Calibration!$D$18))</f>
        <v>0.85917762533929642</v>
      </c>
      <c r="U51" s="286">
        <f t="shared" si="1"/>
        <v>5816.6398858303528</v>
      </c>
      <c r="V51" s="286">
        <f>VLOOKUP(T51,Calibration!$D$17:$E$22,2,FALSE)*S51</f>
        <v>836.55578975941989</v>
      </c>
      <c r="W51" t="s">
        <v>782</v>
      </c>
      <c r="X51">
        <v>564.28717300000005</v>
      </c>
      <c r="Y51">
        <v>0</v>
      </c>
    </row>
    <row r="52" spans="1:25">
      <c r="A52" s="277" t="str">
        <f>SEEMoutput!A54</f>
        <v>WxHZ2CZ3_2688e_25hp85_des0</v>
      </c>
      <c r="B52" s="286">
        <f>SEEMoutput!O54</f>
        <v>6330.242655</v>
      </c>
      <c r="C52" s="287">
        <v>9.3484151526602985E-2</v>
      </c>
      <c r="D52" s="277">
        <f>IF(SEEMoutput!G54&lt;6000,1,IF(SEEMoutput!G54&lt;7500,2,3))</f>
        <v>2</v>
      </c>
      <c r="E52" s="277" t="str">
        <f>IF(LEFT(SEEMoutput!BE54,1)="F","FUR",IF(LEFT(SEEMoutput!BE54,1)="D","DHP","HP"))</f>
        <v>HP</v>
      </c>
      <c r="F52" s="288">
        <f>SEEMoutput!E54</f>
        <v>479.98236900000001</v>
      </c>
      <c r="G52" s="289">
        <f>F52*(69-30)*SEEMoutput!N54/SEEMoutput!M54</f>
        <v>19121.600816670947</v>
      </c>
      <c r="H52" s="290">
        <f>'(Tons) (Furnsize)'!$F$52+'(Tons) (Furnsize)'!$F$53*'(Tons) (Furnsize)'!$B$15+'(Tons) (Furnsize)'!$F$54*G52</f>
        <v>2.3044232297393794</v>
      </c>
      <c r="I52" s="290">
        <f>H52/'(Tons) (Furnsize)'!$G$7</f>
        <v>1.9100369859867157</v>
      </c>
      <c r="J52" s="291">
        <f>F52*(69-VLOOKUP(D52,'(Tons) (Furnsize)'!$D$15:$E$17,2,FALSE))/3412</f>
        <v>9.7065602171746779</v>
      </c>
      <c r="K52" s="292">
        <f>INDEX(Calibration!$A$4:$L$13,MATCH($D52&amp;$E52,Calibration!$A$4:$A$13,0),MATCH(K$4,Calibration!$A$4:$L$4,0))</f>
        <v>0.17499999999999999</v>
      </c>
      <c r="L52" s="292">
        <f>INDEX(Calibration!$A$4:$L$13,MATCH($D52&amp;$E52,Calibration!$A$4:$A$13,0),MATCH(L$4,Calibration!$A$4:$L$4,0))</f>
        <v>1.1965160377936901</v>
      </c>
      <c r="M52" s="292">
        <f>INDEX(Calibration!$A$4:$L$13,MATCH($D52&amp;$E52,Calibration!$A$4:$A$13,0),MATCH(M$4,Calibration!$A$4:$L$4,0))</f>
        <v>-2.050167690250368</v>
      </c>
      <c r="N52" s="292">
        <f>INDEX(Calibration!$A$4:$L$13,MATCH($D52&amp;$E52,Calibration!$A$4:$A$13,0),MATCH(N$4,Calibration!$A$4:$L$4,0))</f>
        <v>1.2990244223062084</v>
      </c>
      <c r="O52" s="292">
        <f>INDEX(Calibration!$A$4:$L$13,MATCH($D52&amp;$E52,Calibration!$A$4:$A$13,0),MATCH(O$4,Calibration!$A$4:$L$4,0))</f>
        <v>-4.1003353805007361</v>
      </c>
      <c r="P52" s="292">
        <f>INDEX(Calibration!$A$4:$L$13,MATCH($D52&amp;$E52,Calibration!$A$4:$A$13,0),MATCH(P$4,Calibration!$A$4:$L$4,0))</f>
        <v>1.452786999074986</v>
      </c>
      <c r="Q52" s="292">
        <f>INDEX(Calibration!$A$4:$L$13,MATCH($D52&amp;$E52,Calibration!$A$4:$A$13,0),MATCH(Q$4,Calibration!$A$4:$L$4,0))</f>
        <v>0.73522830748735724</v>
      </c>
      <c r="R52" s="293">
        <f>IF(C52&lt;Calibration!$F$5,L52,IF(C52&lt;Calibration!$E$5,C52*M52+N52,IF(C52&lt;K52,C52*O52+P52,Q52)))</f>
        <v>1.0694706250543637</v>
      </c>
      <c r="S52" s="286">
        <f t="shared" si="0"/>
        <v>6770.0085689886455</v>
      </c>
      <c r="T52" s="293">
        <f>IF(E52="DHP",VLOOKUP(D52,Calibration!$C$20:$E$22,2,FALSE),IF(D52=1,Calibration!$D$17,Calibration!$D$18))</f>
        <v>0.85917762533929642</v>
      </c>
      <c r="U52" s="286">
        <f t="shared" si="1"/>
        <v>5816.6398858303528</v>
      </c>
      <c r="V52" s="286">
        <f>VLOOKUP(T52,Calibration!$D$17:$E$22,2,FALSE)*S52</f>
        <v>836.55578975941989</v>
      </c>
      <c r="W52" t="s">
        <v>785</v>
      </c>
      <c r="X52">
        <v>970.63462200000004</v>
      </c>
      <c r="Y52">
        <v>0</v>
      </c>
    </row>
    <row r="53" spans="1:25">
      <c r="A53" s="277" t="str">
        <f>SEEMoutput!A55</f>
        <v>NWHZ3CZ1_2688n_25hp85_des0</v>
      </c>
      <c r="B53" s="286">
        <f>SEEMoutput!O55</f>
        <v>7858.401022</v>
      </c>
      <c r="C53" s="287">
        <v>8.411618795729639E-2</v>
      </c>
      <c r="D53" s="277">
        <f>IF(SEEMoutput!G55&lt;6000,1,IF(SEEMoutput!G55&lt;7500,2,3))</f>
        <v>3</v>
      </c>
      <c r="E53" s="277" t="str">
        <f>IF(LEFT(SEEMoutput!BE55,1)="F","FUR",IF(LEFT(SEEMoutput!BE55,1)="D","DHP","HP"))</f>
        <v>HP</v>
      </c>
      <c r="F53" s="288">
        <f>SEEMoutput!E55</f>
        <v>438.57444400000003</v>
      </c>
      <c r="G53" s="289">
        <f>F53*(69-30)*SEEMoutput!N55/SEEMoutput!M55</f>
        <v>17431.338562948793</v>
      </c>
      <c r="H53" s="290">
        <f>'(Tons) (Furnsize)'!$F$52+'(Tons) (Furnsize)'!$F$53*'(Tons) (Furnsize)'!$B$15+'(Tons) (Furnsize)'!$F$54*G53</f>
        <v>2.1059688704536672</v>
      </c>
      <c r="I53" s="290">
        <f>H53/'(Tons) (Furnsize)'!$G$7</f>
        <v>1.7455467303018362</v>
      </c>
      <c r="J53" s="291">
        <f>F53*(69-VLOOKUP(D53,'(Tons) (Furnsize)'!$D$15:$E$17,2,FALSE))/3412</f>
        <v>12.082648808909731</v>
      </c>
      <c r="K53" s="292">
        <f>INDEX(Calibration!$A$4:$L$13,MATCH($D53&amp;$E53,Calibration!$A$4:$A$13,0),MATCH(K$4,Calibration!$A$4:$L$4,0))</f>
        <v>0.15</v>
      </c>
      <c r="L53" s="292">
        <f>INDEX(Calibration!$A$4:$L$13,MATCH($D53&amp;$E53,Calibration!$A$4:$A$13,0),MATCH(L$4,Calibration!$A$4:$L$4,0))</f>
        <v>1.0259371368886356</v>
      </c>
      <c r="M53" s="292">
        <f>INDEX(Calibration!$A$4:$L$13,MATCH($D53&amp;$E53,Calibration!$A$4:$A$13,0),MATCH(M$4,Calibration!$A$4:$L$4,0))</f>
        <v>-1.8551508104013119</v>
      </c>
      <c r="N53" s="292">
        <f>INDEX(Calibration!$A$4:$L$13,MATCH($D53&amp;$E53,Calibration!$A$4:$A$13,0),MATCH(N$4,Calibration!$A$4:$L$4,0))</f>
        <v>1.1186946774087012</v>
      </c>
      <c r="O53" s="292">
        <f>INDEX(Calibration!$A$4:$L$13,MATCH($D53&amp;$E53,Calibration!$A$4:$A$13,0),MATCH(O$4,Calibration!$A$4:$L$4,0))</f>
        <v>-3.7103016208026238</v>
      </c>
      <c r="P53" s="292">
        <f>INDEX(Calibration!$A$4:$L$13,MATCH($D53&amp;$E53,Calibration!$A$4:$A$13,0),MATCH(P$4,Calibration!$A$4:$L$4,0))</f>
        <v>1.2578309881887995</v>
      </c>
      <c r="Q53" s="292">
        <f>INDEX(Calibration!$A$4:$L$13,MATCH($D53&amp;$E53,Calibration!$A$4:$A$13,0),MATCH(Q$4,Calibration!$A$4:$L$4,0))</f>
        <v>0.7012857450684058</v>
      </c>
      <c r="R53" s="293">
        <f>IF(C53&lt;Calibration!$F$5,L53,IF(C53&lt;Calibration!$E$5,C53*M53+N53,IF(C53&lt;K53,C53*O53+P53,Q53)))</f>
        <v>0.94573455967510456</v>
      </c>
      <c r="S53" s="286">
        <f t="shared" si="0"/>
        <v>7431.9614302915616</v>
      </c>
      <c r="T53" s="293">
        <f>IF(E53="DHP",VLOOKUP(D53,Calibration!$C$20:$E$22,2,FALSE),IF(D53=1,Calibration!$D$17,Calibration!$D$18))</f>
        <v>0.85917762533929642</v>
      </c>
      <c r="U53" s="286">
        <f t="shared" si="1"/>
        <v>6385.3749732911447</v>
      </c>
      <c r="V53" s="286">
        <f>VLOOKUP(T53,Calibration!$D$17:$E$22,2,FALSE)*S53</f>
        <v>918.35191941387518</v>
      </c>
      <c r="W53" t="s">
        <v>794</v>
      </c>
      <c r="X53">
        <v>272.744461</v>
      </c>
      <c r="Y53">
        <v>0</v>
      </c>
    </row>
    <row r="54" spans="1:25">
      <c r="A54" s="277" t="str">
        <f>SEEMoutput!A56</f>
        <v>NWHZ3CZ2_2688n_25hp85_des0</v>
      </c>
      <c r="B54" s="286">
        <f>SEEMoutput!O56</f>
        <v>7858.401022</v>
      </c>
      <c r="C54" s="287">
        <v>8.411618795729639E-2</v>
      </c>
      <c r="D54" s="277">
        <f>IF(SEEMoutput!G56&lt;6000,1,IF(SEEMoutput!G56&lt;7500,2,3))</f>
        <v>3</v>
      </c>
      <c r="E54" s="277" t="str">
        <f>IF(LEFT(SEEMoutput!BE56,1)="F","FUR",IF(LEFT(SEEMoutput!BE56,1)="D","DHP","HP"))</f>
        <v>HP</v>
      </c>
      <c r="F54" s="288">
        <f>SEEMoutput!E56</f>
        <v>438.57444400000003</v>
      </c>
      <c r="G54" s="289">
        <f>F54*(69-30)*SEEMoutput!N56/SEEMoutput!M56</f>
        <v>17431.338562948793</v>
      </c>
      <c r="H54" s="290">
        <f>'(Tons) (Furnsize)'!$F$52+'(Tons) (Furnsize)'!$F$53*'(Tons) (Furnsize)'!$B$15+'(Tons) (Furnsize)'!$F$54*G54</f>
        <v>2.1059688704536672</v>
      </c>
      <c r="I54" s="290">
        <f>H54/'(Tons) (Furnsize)'!$G$7</f>
        <v>1.7455467303018362</v>
      </c>
      <c r="J54" s="291">
        <f>F54*(69-VLOOKUP(D54,'(Tons) (Furnsize)'!$D$15:$E$17,2,FALSE))/3412</f>
        <v>12.082648808909731</v>
      </c>
      <c r="K54" s="292">
        <f>INDEX(Calibration!$A$4:$L$13,MATCH($D54&amp;$E54,Calibration!$A$4:$A$13,0),MATCH(K$4,Calibration!$A$4:$L$4,0))</f>
        <v>0.15</v>
      </c>
      <c r="L54" s="292">
        <f>INDEX(Calibration!$A$4:$L$13,MATCH($D54&amp;$E54,Calibration!$A$4:$A$13,0),MATCH(L$4,Calibration!$A$4:$L$4,0))</f>
        <v>1.0259371368886356</v>
      </c>
      <c r="M54" s="292">
        <f>INDEX(Calibration!$A$4:$L$13,MATCH($D54&amp;$E54,Calibration!$A$4:$A$13,0),MATCH(M$4,Calibration!$A$4:$L$4,0))</f>
        <v>-1.8551508104013119</v>
      </c>
      <c r="N54" s="292">
        <f>INDEX(Calibration!$A$4:$L$13,MATCH($D54&amp;$E54,Calibration!$A$4:$A$13,0),MATCH(N$4,Calibration!$A$4:$L$4,0))</f>
        <v>1.1186946774087012</v>
      </c>
      <c r="O54" s="292">
        <f>INDEX(Calibration!$A$4:$L$13,MATCH($D54&amp;$E54,Calibration!$A$4:$A$13,0),MATCH(O$4,Calibration!$A$4:$L$4,0))</f>
        <v>-3.7103016208026238</v>
      </c>
      <c r="P54" s="292">
        <f>INDEX(Calibration!$A$4:$L$13,MATCH($D54&amp;$E54,Calibration!$A$4:$A$13,0),MATCH(P$4,Calibration!$A$4:$L$4,0))</f>
        <v>1.2578309881887995</v>
      </c>
      <c r="Q54" s="292">
        <f>INDEX(Calibration!$A$4:$L$13,MATCH($D54&amp;$E54,Calibration!$A$4:$A$13,0),MATCH(Q$4,Calibration!$A$4:$L$4,0))</f>
        <v>0.7012857450684058</v>
      </c>
      <c r="R54" s="293">
        <f>IF(C54&lt;Calibration!$F$5,L54,IF(C54&lt;Calibration!$E$5,C54*M54+N54,IF(C54&lt;K54,C54*O54+P54,Q54)))</f>
        <v>0.94573455967510456</v>
      </c>
      <c r="S54" s="286">
        <f t="shared" si="0"/>
        <v>7431.9614302915616</v>
      </c>
      <c r="T54" s="293">
        <f>IF(E54="DHP",VLOOKUP(D54,Calibration!$C$20:$E$22,2,FALSE),IF(D54=1,Calibration!$D$17,Calibration!$D$18))</f>
        <v>0.85917762533929642</v>
      </c>
      <c r="U54" s="286">
        <f t="shared" si="1"/>
        <v>6385.3749732911447</v>
      </c>
      <c r="V54" s="286">
        <f>VLOOKUP(T54,Calibration!$D$17:$E$22,2,FALSE)*S54</f>
        <v>918.35191941387518</v>
      </c>
      <c r="W54" t="s">
        <v>797</v>
      </c>
      <c r="X54">
        <v>549.49371799999994</v>
      </c>
      <c r="Y54">
        <v>0</v>
      </c>
    </row>
    <row r="55" spans="1:25">
      <c r="A55" s="277" t="str">
        <f>SEEMoutput!A57</f>
        <v>NWHZ3CZ3_2688n_25hp85_des0</v>
      </c>
      <c r="B55" s="286">
        <f>SEEMoutput!O57</f>
        <v>7858.401022</v>
      </c>
      <c r="C55" s="287">
        <v>8.411618795729639E-2</v>
      </c>
      <c r="D55" s="277">
        <f>IF(SEEMoutput!G57&lt;6000,1,IF(SEEMoutput!G57&lt;7500,2,3))</f>
        <v>3</v>
      </c>
      <c r="E55" s="277" t="str">
        <f>IF(LEFT(SEEMoutput!BE57,1)="F","FUR",IF(LEFT(SEEMoutput!BE57,1)="D","DHP","HP"))</f>
        <v>HP</v>
      </c>
      <c r="F55" s="288">
        <f>SEEMoutput!E57</f>
        <v>438.57444400000003</v>
      </c>
      <c r="G55" s="289">
        <f>F55*(69-30)*SEEMoutput!N57/SEEMoutput!M57</f>
        <v>17431.338562948793</v>
      </c>
      <c r="H55" s="290">
        <f>'(Tons) (Furnsize)'!$F$52+'(Tons) (Furnsize)'!$F$53*'(Tons) (Furnsize)'!$B$15+'(Tons) (Furnsize)'!$F$54*G55</f>
        <v>2.1059688704536672</v>
      </c>
      <c r="I55" s="290">
        <f>H55/'(Tons) (Furnsize)'!$G$7</f>
        <v>1.7455467303018362</v>
      </c>
      <c r="J55" s="291">
        <f>F55*(69-VLOOKUP(D55,'(Tons) (Furnsize)'!$D$15:$E$17,2,FALSE))/3412</f>
        <v>12.082648808909731</v>
      </c>
      <c r="K55" s="292">
        <f>INDEX(Calibration!$A$4:$L$13,MATCH($D55&amp;$E55,Calibration!$A$4:$A$13,0),MATCH(K$4,Calibration!$A$4:$L$4,0))</f>
        <v>0.15</v>
      </c>
      <c r="L55" s="292">
        <f>INDEX(Calibration!$A$4:$L$13,MATCH($D55&amp;$E55,Calibration!$A$4:$A$13,0),MATCH(L$4,Calibration!$A$4:$L$4,0))</f>
        <v>1.0259371368886356</v>
      </c>
      <c r="M55" s="292">
        <f>INDEX(Calibration!$A$4:$L$13,MATCH($D55&amp;$E55,Calibration!$A$4:$A$13,0),MATCH(M$4,Calibration!$A$4:$L$4,0))</f>
        <v>-1.8551508104013119</v>
      </c>
      <c r="N55" s="292">
        <f>INDEX(Calibration!$A$4:$L$13,MATCH($D55&amp;$E55,Calibration!$A$4:$A$13,0),MATCH(N$4,Calibration!$A$4:$L$4,0))</f>
        <v>1.1186946774087012</v>
      </c>
      <c r="O55" s="292">
        <f>INDEX(Calibration!$A$4:$L$13,MATCH($D55&amp;$E55,Calibration!$A$4:$A$13,0),MATCH(O$4,Calibration!$A$4:$L$4,0))</f>
        <v>-3.7103016208026238</v>
      </c>
      <c r="P55" s="292">
        <f>INDEX(Calibration!$A$4:$L$13,MATCH($D55&amp;$E55,Calibration!$A$4:$A$13,0),MATCH(P$4,Calibration!$A$4:$L$4,0))</f>
        <v>1.2578309881887995</v>
      </c>
      <c r="Q55" s="292">
        <f>INDEX(Calibration!$A$4:$L$13,MATCH($D55&amp;$E55,Calibration!$A$4:$A$13,0),MATCH(Q$4,Calibration!$A$4:$L$4,0))</f>
        <v>0.7012857450684058</v>
      </c>
      <c r="R55" s="293">
        <f>IF(C55&lt;Calibration!$F$5,L55,IF(C55&lt;Calibration!$E$5,C55*M55+N55,IF(C55&lt;K55,C55*O55+P55,Q55)))</f>
        <v>0.94573455967510456</v>
      </c>
      <c r="S55" s="286">
        <f t="shared" si="0"/>
        <v>7431.9614302915616</v>
      </c>
      <c r="T55" s="293">
        <f>IF(E55="DHP",VLOOKUP(D55,Calibration!$C$20:$E$22,2,FALSE),IF(D55=1,Calibration!$D$17,Calibration!$D$18))</f>
        <v>0.85917762533929642</v>
      </c>
      <c r="U55" s="286">
        <f t="shared" si="1"/>
        <v>6385.3749732911447</v>
      </c>
      <c r="V55" s="286">
        <f>VLOOKUP(T55,Calibration!$D$17:$E$22,2,FALSE)*S55</f>
        <v>918.35191941387518</v>
      </c>
      <c r="W55" t="s">
        <v>800</v>
      </c>
      <c r="X55">
        <v>937.00133700000004</v>
      </c>
      <c r="Y55">
        <v>0</v>
      </c>
    </row>
    <row r="56" spans="1:25">
      <c r="A56" s="277" t="str">
        <f>SEEMoutput!A58</f>
        <v>WxHZ3CZ1_2688e_25hp85_des0</v>
      </c>
      <c r="B56" s="286">
        <f>SEEMoutput!O58</f>
        <v>8783.3590480000003</v>
      </c>
      <c r="C56" s="287">
        <v>9.2420060810588747E-2</v>
      </c>
      <c r="D56" s="277">
        <f>IF(SEEMoutput!G58&lt;6000,1,IF(SEEMoutput!G58&lt;7500,2,3))</f>
        <v>3</v>
      </c>
      <c r="E56" s="277" t="str">
        <f>IF(LEFT(SEEMoutput!BE58,1)="F","FUR",IF(LEFT(SEEMoutput!BE58,1)="D","DHP","HP"))</f>
        <v>HP</v>
      </c>
      <c r="F56" s="288">
        <f>SEEMoutput!E58</f>
        <v>472.42126500000001</v>
      </c>
      <c r="G56" s="289">
        <f>F56*(69-30)*SEEMoutput!N58/SEEMoutput!M58</f>
        <v>18828.060204968715</v>
      </c>
      <c r="H56" s="290">
        <f>'(Tons) (Furnsize)'!$F$52+'(Tons) (Furnsize)'!$F$53*'(Tons) (Furnsize)'!$B$15+'(Tons) (Furnsize)'!$F$54*G56</f>
        <v>2.2699585104974869</v>
      </c>
      <c r="I56" s="290">
        <f>H56/'(Tons) (Furnsize)'!$G$7</f>
        <v>1.8814706672592709</v>
      </c>
      <c r="J56" s="291">
        <f>F56*(69-VLOOKUP(D56,'(Tons) (Furnsize)'!$D$15:$E$17,2,FALSE))/3412</f>
        <v>13.015122775498241</v>
      </c>
      <c r="K56" s="292">
        <f>INDEX(Calibration!$A$4:$L$13,MATCH($D56&amp;$E56,Calibration!$A$4:$A$13,0),MATCH(K$4,Calibration!$A$4:$L$4,0))</f>
        <v>0.15</v>
      </c>
      <c r="L56" s="292">
        <f>INDEX(Calibration!$A$4:$L$13,MATCH($D56&amp;$E56,Calibration!$A$4:$A$13,0),MATCH(L$4,Calibration!$A$4:$L$4,0))</f>
        <v>1.0259371368886356</v>
      </c>
      <c r="M56" s="292">
        <f>INDEX(Calibration!$A$4:$L$13,MATCH($D56&amp;$E56,Calibration!$A$4:$A$13,0),MATCH(M$4,Calibration!$A$4:$L$4,0))</f>
        <v>-1.8551508104013119</v>
      </c>
      <c r="N56" s="292">
        <f>INDEX(Calibration!$A$4:$L$13,MATCH($D56&amp;$E56,Calibration!$A$4:$A$13,0),MATCH(N$4,Calibration!$A$4:$L$4,0))</f>
        <v>1.1186946774087012</v>
      </c>
      <c r="O56" s="292">
        <f>INDEX(Calibration!$A$4:$L$13,MATCH($D56&amp;$E56,Calibration!$A$4:$A$13,0),MATCH(O$4,Calibration!$A$4:$L$4,0))</f>
        <v>-3.7103016208026238</v>
      </c>
      <c r="P56" s="292">
        <f>INDEX(Calibration!$A$4:$L$13,MATCH($D56&amp;$E56,Calibration!$A$4:$A$13,0),MATCH(P$4,Calibration!$A$4:$L$4,0))</f>
        <v>1.2578309881887995</v>
      </c>
      <c r="Q56" s="292">
        <f>INDEX(Calibration!$A$4:$L$13,MATCH($D56&amp;$E56,Calibration!$A$4:$A$13,0),MATCH(Q$4,Calibration!$A$4:$L$4,0))</f>
        <v>0.7012857450684058</v>
      </c>
      <c r="R56" s="293">
        <f>IF(C56&lt;Calibration!$F$5,L56,IF(C56&lt;Calibration!$E$5,C56*M56+N56,IF(C56&lt;K56,C56*O56+P56,Q56)))</f>
        <v>0.91492468676859495</v>
      </c>
      <c r="S56" s="286">
        <f t="shared" si="0"/>
        <v>8036.1120257675047</v>
      </c>
      <c r="T56" s="293">
        <f>IF(E56="DHP",VLOOKUP(D56,Calibration!$C$20:$E$22,2,FALSE),IF(D56=1,Calibration!$D$17,Calibration!$D$18))</f>
        <v>0.85917762533929642</v>
      </c>
      <c r="U56" s="286">
        <f t="shared" si="1"/>
        <v>6904.4476472594879</v>
      </c>
      <c r="V56" s="286">
        <f>VLOOKUP(T56,Calibration!$D$17:$E$22,2,FALSE)*S56</f>
        <v>993.00554405581602</v>
      </c>
      <c r="W56" t="s">
        <v>794</v>
      </c>
      <c r="X56">
        <v>274.14681400000001</v>
      </c>
      <c r="Y56">
        <v>0</v>
      </c>
    </row>
    <row r="57" spans="1:25">
      <c r="A57" s="277" t="str">
        <f>SEEMoutput!A59</f>
        <v>WxHZ3CZ2_2688e_25hp85_des0</v>
      </c>
      <c r="B57" s="286">
        <f>SEEMoutput!O59</f>
        <v>8783.3590480000003</v>
      </c>
      <c r="C57" s="287">
        <v>9.2420060810588747E-2</v>
      </c>
      <c r="D57" s="277">
        <f>IF(SEEMoutput!G59&lt;6000,1,IF(SEEMoutput!G59&lt;7500,2,3))</f>
        <v>3</v>
      </c>
      <c r="E57" s="277" t="str">
        <f>IF(LEFT(SEEMoutput!BE59,1)="F","FUR",IF(LEFT(SEEMoutput!BE59,1)="D","DHP","HP"))</f>
        <v>HP</v>
      </c>
      <c r="F57" s="288">
        <f>SEEMoutput!E59</f>
        <v>472.42126500000001</v>
      </c>
      <c r="G57" s="289">
        <f>F57*(69-30)*SEEMoutput!N59/SEEMoutput!M59</f>
        <v>18828.060204968715</v>
      </c>
      <c r="H57" s="290">
        <f>'(Tons) (Furnsize)'!$F$52+'(Tons) (Furnsize)'!$F$53*'(Tons) (Furnsize)'!$B$15+'(Tons) (Furnsize)'!$F$54*G57</f>
        <v>2.2699585104974869</v>
      </c>
      <c r="I57" s="290">
        <f>H57/'(Tons) (Furnsize)'!$G$7</f>
        <v>1.8814706672592709</v>
      </c>
      <c r="J57" s="291">
        <f>F57*(69-VLOOKUP(D57,'(Tons) (Furnsize)'!$D$15:$E$17,2,FALSE))/3412</f>
        <v>13.015122775498241</v>
      </c>
      <c r="K57" s="292">
        <f>INDEX(Calibration!$A$4:$L$13,MATCH($D57&amp;$E57,Calibration!$A$4:$A$13,0),MATCH(K$4,Calibration!$A$4:$L$4,0))</f>
        <v>0.15</v>
      </c>
      <c r="L57" s="292">
        <f>INDEX(Calibration!$A$4:$L$13,MATCH($D57&amp;$E57,Calibration!$A$4:$A$13,0),MATCH(L$4,Calibration!$A$4:$L$4,0))</f>
        <v>1.0259371368886356</v>
      </c>
      <c r="M57" s="292">
        <f>INDEX(Calibration!$A$4:$L$13,MATCH($D57&amp;$E57,Calibration!$A$4:$A$13,0),MATCH(M$4,Calibration!$A$4:$L$4,0))</f>
        <v>-1.8551508104013119</v>
      </c>
      <c r="N57" s="292">
        <f>INDEX(Calibration!$A$4:$L$13,MATCH($D57&amp;$E57,Calibration!$A$4:$A$13,0),MATCH(N$4,Calibration!$A$4:$L$4,0))</f>
        <v>1.1186946774087012</v>
      </c>
      <c r="O57" s="292">
        <f>INDEX(Calibration!$A$4:$L$13,MATCH($D57&amp;$E57,Calibration!$A$4:$A$13,0),MATCH(O$4,Calibration!$A$4:$L$4,0))</f>
        <v>-3.7103016208026238</v>
      </c>
      <c r="P57" s="292">
        <f>INDEX(Calibration!$A$4:$L$13,MATCH($D57&amp;$E57,Calibration!$A$4:$A$13,0),MATCH(P$4,Calibration!$A$4:$L$4,0))</f>
        <v>1.2578309881887995</v>
      </c>
      <c r="Q57" s="292">
        <f>INDEX(Calibration!$A$4:$L$13,MATCH($D57&amp;$E57,Calibration!$A$4:$A$13,0),MATCH(Q$4,Calibration!$A$4:$L$4,0))</f>
        <v>0.7012857450684058</v>
      </c>
      <c r="R57" s="293">
        <f>IF(C57&lt;Calibration!$F$5,L57,IF(C57&lt;Calibration!$E$5,C57*M57+N57,IF(C57&lt;K57,C57*O57+P57,Q57)))</f>
        <v>0.91492468676859495</v>
      </c>
      <c r="S57" s="286">
        <f t="shared" si="0"/>
        <v>8036.1120257675047</v>
      </c>
      <c r="T57" s="293">
        <f>IF(E57="DHP",VLOOKUP(D57,Calibration!$C$20:$E$22,2,FALSE),IF(D57=1,Calibration!$D$17,Calibration!$D$18))</f>
        <v>0.85917762533929642</v>
      </c>
      <c r="U57" s="286">
        <f t="shared" si="1"/>
        <v>6904.4476472594879</v>
      </c>
      <c r="V57" s="286">
        <f>VLOOKUP(T57,Calibration!$D$17:$E$22,2,FALSE)*S57</f>
        <v>993.00554405581602</v>
      </c>
      <c r="W57" t="s">
        <v>797</v>
      </c>
      <c r="X57">
        <v>564.28717300000005</v>
      </c>
      <c r="Y57">
        <v>0</v>
      </c>
    </row>
    <row r="58" spans="1:25">
      <c r="A58" s="277" t="str">
        <f>SEEMoutput!A60</f>
        <v>WxHZ3CZ3_2688e_25hp85_des0</v>
      </c>
      <c r="B58" s="286">
        <f>SEEMoutput!O60</f>
        <v>8783.3590480000003</v>
      </c>
      <c r="C58" s="287">
        <v>9.2420060810588747E-2</v>
      </c>
      <c r="D58" s="277">
        <f>IF(SEEMoutput!G60&lt;6000,1,IF(SEEMoutput!G60&lt;7500,2,3))</f>
        <v>3</v>
      </c>
      <c r="E58" s="277" t="str">
        <f>IF(LEFT(SEEMoutput!BE60,1)="F","FUR",IF(LEFT(SEEMoutput!BE60,1)="D","DHP","HP"))</f>
        <v>HP</v>
      </c>
      <c r="F58" s="288">
        <f>SEEMoutput!E60</f>
        <v>472.42126500000001</v>
      </c>
      <c r="G58" s="289">
        <f>F58*(69-30)*SEEMoutput!N60/SEEMoutput!M60</f>
        <v>18828.060204968715</v>
      </c>
      <c r="H58" s="290">
        <f>'(Tons) (Furnsize)'!$F$52+'(Tons) (Furnsize)'!$F$53*'(Tons) (Furnsize)'!$B$15+'(Tons) (Furnsize)'!$F$54*G58</f>
        <v>2.2699585104974869</v>
      </c>
      <c r="I58" s="290">
        <f>H58/'(Tons) (Furnsize)'!$G$7</f>
        <v>1.8814706672592709</v>
      </c>
      <c r="J58" s="291">
        <f>F58*(69-VLOOKUP(D58,'(Tons) (Furnsize)'!$D$15:$E$17,2,FALSE))/3412</f>
        <v>13.015122775498241</v>
      </c>
      <c r="K58" s="292">
        <f>INDEX(Calibration!$A$4:$L$13,MATCH($D58&amp;$E58,Calibration!$A$4:$A$13,0),MATCH(K$4,Calibration!$A$4:$L$4,0))</f>
        <v>0.15</v>
      </c>
      <c r="L58" s="292">
        <f>INDEX(Calibration!$A$4:$L$13,MATCH($D58&amp;$E58,Calibration!$A$4:$A$13,0),MATCH(L$4,Calibration!$A$4:$L$4,0))</f>
        <v>1.0259371368886356</v>
      </c>
      <c r="M58" s="292">
        <f>INDEX(Calibration!$A$4:$L$13,MATCH($D58&amp;$E58,Calibration!$A$4:$A$13,0),MATCH(M$4,Calibration!$A$4:$L$4,0))</f>
        <v>-1.8551508104013119</v>
      </c>
      <c r="N58" s="292">
        <f>INDEX(Calibration!$A$4:$L$13,MATCH($D58&amp;$E58,Calibration!$A$4:$A$13,0),MATCH(N$4,Calibration!$A$4:$L$4,0))</f>
        <v>1.1186946774087012</v>
      </c>
      <c r="O58" s="292">
        <f>INDEX(Calibration!$A$4:$L$13,MATCH($D58&amp;$E58,Calibration!$A$4:$A$13,0),MATCH(O$4,Calibration!$A$4:$L$4,0))</f>
        <v>-3.7103016208026238</v>
      </c>
      <c r="P58" s="292">
        <f>INDEX(Calibration!$A$4:$L$13,MATCH($D58&amp;$E58,Calibration!$A$4:$A$13,0),MATCH(P$4,Calibration!$A$4:$L$4,0))</f>
        <v>1.2578309881887995</v>
      </c>
      <c r="Q58" s="292">
        <f>INDEX(Calibration!$A$4:$L$13,MATCH($D58&amp;$E58,Calibration!$A$4:$A$13,0),MATCH(Q$4,Calibration!$A$4:$L$4,0))</f>
        <v>0.7012857450684058</v>
      </c>
      <c r="R58" s="293">
        <f>IF(C58&lt;Calibration!$F$5,L58,IF(C58&lt;Calibration!$E$5,C58*M58+N58,IF(C58&lt;K58,C58*O58+P58,Q58)))</f>
        <v>0.91492468676859495</v>
      </c>
      <c r="S58" s="286">
        <f t="shared" si="0"/>
        <v>8036.1120257675047</v>
      </c>
      <c r="T58" s="293">
        <f>IF(E58="DHP",VLOOKUP(D58,Calibration!$C$20:$E$22,2,FALSE),IF(D58=1,Calibration!$D$17,Calibration!$D$18))</f>
        <v>0.85917762533929642</v>
      </c>
      <c r="U58" s="286">
        <f t="shared" si="1"/>
        <v>6904.4476472594879</v>
      </c>
      <c r="V58" s="286">
        <f>VLOOKUP(T58,Calibration!$D$17:$E$22,2,FALSE)*S58</f>
        <v>993.00554405581602</v>
      </c>
      <c r="W58" t="s">
        <v>800</v>
      </c>
      <c r="X58">
        <v>970.63462200000004</v>
      </c>
      <c r="Y58">
        <v>0</v>
      </c>
    </row>
    <row r="59" spans="1:25">
      <c r="A59" s="277" t="str">
        <f>SEEMoutput!A61</f>
        <v>NWHZ1CZ1_5000n_35hp85_des0</v>
      </c>
      <c r="B59" s="286">
        <f>SEEMoutput!O61</f>
        <v>7269.812833</v>
      </c>
      <c r="C59" s="287">
        <v>9.7493810960538121E-2</v>
      </c>
      <c r="D59" s="277">
        <f>IF(SEEMoutput!G61&lt;6000,1,IF(SEEMoutput!G61&lt;7500,2,3))</f>
        <v>1</v>
      </c>
      <c r="E59" s="277" t="str">
        <f>IF(LEFT(SEEMoutput!BE61,1)="F","FUR",IF(LEFT(SEEMoutput!BE61,1)="D","DHP","HP"))</f>
        <v>HP</v>
      </c>
      <c r="F59" s="288">
        <f>SEEMoutput!E61</f>
        <v>763.02839900000004</v>
      </c>
      <c r="G59" s="289">
        <f>F59*(69-30)*SEEMoutput!N61/SEEMoutput!M61</f>
        <v>30825.417348487746</v>
      </c>
      <c r="H59" s="290">
        <f>'(Tons) (Furnsize)'!$F$52+'(Tons) (Furnsize)'!$F$53*'(Tons) (Furnsize)'!$B$15+'(Tons) (Furnsize)'!$F$54*G59</f>
        <v>3.6785729546737405</v>
      </c>
      <c r="I59" s="290">
        <f>H59/'(Tons) (Furnsize)'!$G$7</f>
        <v>3.0490104024302487</v>
      </c>
      <c r="J59" s="291">
        <f>F59*(69-VLOOKUP(D59,'(Tons) (Furnsize)'!$D$15:$E$17,2,FALSE))/3412</f>
        <v>11.628803267291911</v>
      </c>
      <c r="K59" s="292">
        <f>INDEX(Calibration!$A$4:$L$13,MATCH($D59&amp;$E59,Calibration!$A$4:$A$13,0),MATCH(K$4,Calibration!$A$4:$L$4,0))</f>
        <v>0.2</v>
      </c>
      <c r="L59" s="292">
        <f>INDEX(Calibration!$A$4:$L$13,MATCH($D59&amp;$E59,Calibration!$A$4:$A$13,0),MATCH(L$4,Calibration!$A$4:$L$4,0))</f>
        <v>1.3869915874526988</v>
      </c>
      <c r="M59" s="292">
        <f>INDEX(Calibration!$A$4:$L$13,MATCH($D59&amp;$E59,Calibration!$A$4:$A$13,0),MATCH(M$4,Calibration!$A$4:$L$4,0))</f>
        <v>-2.2641144651923684</v>
      </c>
      <c r="N59" s="292">
        <f>INDEX(Calibration!$A$4:$L$13,MATCH($D59&amp;$E59,Calibration!$A$4:$A$13,0),MATCH(N$4,Calibration!$A$4:$L$4,0))</f>
        <v>1.5001973107123172</v>
      </c>
      <c r="O59" s="292">
        <f>INDEX(Calibration!$A$4:$L$13,MATCH($D59&amp;$E59,Calibration!$A$4:$A$13,0),MATCH(O$4,Calibration!$A$4:$L$4,0))</f>
        <v>-4.5282289303847367</v>
      </c>
      <c r="P59" s="292">
        <f>INDEX(Calibration!$A$4:$L$13,MATCH($D59&amp;$E59,Calibration!$A$4:$A$13,0),MATCH(P$4,Calibration!$A$4:$L$4,0))</f>
        <v>1.6700058956017449</v>
      </c>
      <c r="Q59" s="292">
        <f>INDEX(Calibration!$A$4:$L$13,MATCH($D59&amp;$E59,Calibration!$A$4:$A$13,0),MATCH(Q$4,Calibration!$A$4:$L$4,0))</f>
        <v>0.7643601095247976</v>
      </c>
      <c r="R59" s="293">
        <f>IF(C59&lt;Calibration!$F$5,L59,IF(C59&lt;Calibration!$E$5,C59*M59+N59,IF(C59&lt;K59,C59*O59+P59,Q59)))</f>
        <v>1.2285316002767757</v>
      </c>
      <c r="S59" s="286">
        <f t="shared" si="0"/>
        <v>8931.1947934381296</v>
      </c>
      <c r="T59" s="293">
        <f>IF(E59="DHP",VLOOKUP(D59,Calibration!$C$20:$E$22,2,FALSE),IF(D59=1,Calibration!$D$17,Calibration!$D$18))</f>
        <v>0.82813167326562143</v>
      </c>
      <c r="U59" s="286">
        <f t="shared" si="1"/>
        <v>7396.2052885511248</v>
      </c>
      <c r="V59" s="286">
        <f>VLOOKUP(T59,Calibration!$D$17:$E$22,2,FALSE)*S59</f>
        <v>1395.9716129419094</v>
      </c>
      <c r="W59" t="s">
        <v>764</v>
      </c>
      <c r="X59">
        <v>476.46530799999999</v>
      </c>
      <c r="Y59">
        <v>0</v>
      </c>
    </row>
    <row r="60" spans="1:25">
      <c r="A60" s="277" t="str">
        <f>SEEMoutput!A62</f>
        <v>NWHZ1CZ2_5000n_35hp85_des0</v>
      </c>
      <c r="B60" s="286">
        <f>SEEMoutput!O62</f>
        <v>7269.812833</v>
      </c>
      <c r="C60" s="287">
        <v>9.7493810960538121E-2</v>
      </c>
      <c r="D60" s="277">
        <f>IF(SEEMoutput!G62&lt;6000,1,IF(SEEMoutput!G62&lt;7500,2,3))</f>
        <v>1</v>
      </c>
      <c r="E60" s="277" t="str">
        <f>IF(LEFT(SEEMoutput!BE62,1)="F","FUR",IF(LEFT(SEEMoutput!BE62,1)="D","DHP","HP"))</f>
        <v>HP</v>
      </c>
      <c r="F60" s="288">
        <f>SEEMoutput!E62</f>
        <v>763.02839900000004</v>
      </c>
      <c r="G60" s="289">
        <f>F60*(69-30)*SEEMoutput!N62/SEEMoutput!M62</f>
        <v>30825.417348487746</v>
      </c>
      <c r="H60" s="290">
        <f>'(Tons) (Furnsize)'!$F$52+'(Tons) (Furnsize)'!$F$53*'(Tons) (Furnsize)'!$B$15+'(Tons) (Furnsize)'!$F$54*G60</f>
        <v>3.6785729546737405</v>
      </c>
      <c r="I60" s="290">
        <f>H60/'(Tons) (Furnsize)'!$G$7</f>
        <v>3.0490104024302487</v>
      </c>
      <c r="J60" s="291">
        <f>F60*(69-VLOOKUP(D60,'(Tons) (Furnsize)'!$D$15:$E$17,2,FALSE))/3412</f>
        <v>11.628803267291911</v>
      </c>
      <c r="K60" s="292">
        <f>INDEX(Calibration!$A$4:$L$13,MATCH($D60&amp;$E60,Calibration!$A$4:$A$13,0),MATCH(K$4,Calibration!$A$4:$L$4,0))</f>
        <v>0.2</v>
      </c>
      <c r="L60" s="292">
        <f>INDEX(Calibration!$A$4:$L$13,MATCH($D60&amp;$E60,Calibration!$A$4:$A$13,0),MATCH(L$4,Calibration!$A$4:$L$4,0))</f>
        <v>1.3869915874526988</v>
      </c>
      <c r="M60" s="292">
        <f>INDEX(Calibration!$A$4:$L$13,MATCH($D60&amp;$E60,Calibration!$A$4:$A$13,0),MATCH(M$4,Calibration!$A$4:$L$4,0))</f>
        <v>-2.2641144651923684</v>
      </c>
      <c r="N60" s="292">
        <f>INDEX(Calibration!$A$4:$L$13,MATCH($D60&amp;$E60,Calibration!$A$4:$A$13,0),MATCH(N$4,Calibration!$A$4:$L$4,0))</f>
        <v>1.5001973107123172</v>
      </c>
      <c r="O60" s="292">
        <f>INDEX(Calibration!$A$4:$L$13,MATCH($D60&amp;$E60,Calibration!$A$4:$A$13,0),MATCH(O$4,Calibration!$A$4:$L$4,0))</f>
        <v>-4.5282289303847367</v>
      </c>
      <c r="P60" s="292">
        <f>INDEX(Calibration!$A$4:$L$13,MATCH($D60&amp;$E60,Calibration!$A$4:$A$13,0),MATCH(P$4,Calibration!$A$4:$L$4,0))</f>
        <v>1.6700058956017449</v>
      </c>
      <c r="Q60" s="292">
        <f>INDEX(Calibration!$A$4:$L$13,MATCH($D60&amp;$E60,Calibration!$A$4:$A$13,0),MATCH(Q$4,Calibration!$A$4:$L$4,0))</f>
        <v>0.7643601095247976</v>
      </c>
      <c r="R60" s="293">
        <f>IF(C60&lt;Calibration!$F$5,L60,IF(C60&lt;Calibration!$E$5,C60*M60+N60,IF(C60&lt;K60,C60*O60+P60,Q60)))</f>
        <v>1.2285316002767757</v>
      </c>
      <c r="S60" s="286">
        <f t="shared" si="0"/>
        <v>8931.1947934381296</v>
      </c>
      <c r="T60" s="293">
        <f>IF(E60="DHP",VLOOKUP(D60,Calibration!$C$20:$E$22,2,FALSE),IF(D60=1,Calibration!$D$17,Calibration!$D$18))</f>
        <v>0.82813167326562143</v>
      </c>
      <c r="U60" s="286">
        <f t="shared" si="1"/>
        <v>7396.2052885511248</v>
      </c>
      <c r="V60" s="286">
        <f>VLOOKUP(T60,Calibration!$D$17:$E$22,2,FALSE)*S60</f>
        <v>1395.9716129419094</v>
      </c>
      <c r="W60" t="s">
        <v>767</v>
      </c>
      <c r="X60">
        <v>987.78206699999998</v>
      </c>
      <c r="Y60">
        <v>0</v>
      </c>
    </row>
    <row r="61" spans="1:25">
      <c r="A61" s="277" t="str">
        <f>SEEMoutput!A63</f>
        <v>NWHZ1CZ3_5000n_35hp85_des0</v>
      </c>
      <c r="B61" s="286">
        <f>SEEMoutput!O63</f>
        <v>7269.812833</v>
      </c>
      <c r="C61" s="287">
        <v>9.7493810960538121E-2</v>
      </c>
      <c r="D61" s="277">
        <f>IF(SEEMoutput!G63&lt;6000,1,IF(SEEMoutput!G63&lt;7500,2,3))</f>
        <v>1</v>
      </c>
      <c r="E61" s="277" t="str">
        <f>IF(LEFT(SEEMoutput!BE63,1)="F","FUR",IF(LEFT(SEEMoutput!BE63,1)="D","DHP","HP"))</f>
        <v>HP</v>
      </c>
      <c r="F61" s="288">
        <f>SEEMoutput!E63</f>
        <v>763.02839900000004</v>
      </c>
      <c r="G61" s="289">
        <f>F61*(69-30)*SEEMoutput!N63/SEEMoutput!M63</f>
        <v>30825.417348487746</v>
      </c>
      <c r="H61" s="290">
        <f>'(Tons) (Furnsize)'!$F$52+'(Tons) (Furnsize)'!$F$53*'(Tons) (Furnsize)'!$B$15+'(Tons) (Furnsize)'!$F$54*G61</f>
        <v>3.6785729546737405</v>
      </c>
      <c r="I61" s="290">
        <f>H61/'(Tons) (Furnsize)'!$G$7</f>
        <v>3.0490104024302487</v>
      </c>
      <c r="J61" s="291">
        <f>F61*(69-VLOOKUP(D61,'(Tons) (Furnsize)'!$D$15:$E$17,2,FALSE))/3412</f>
        <v>11.628803267291911</v>
      </c>
      <c r="K61" s="292">
        <f>INDEX(Calibration!$A$4:$L$13,MATCH($D61&amp;$E61,Calibration!$A$4:$A$13,0),MATCH(K$4,Calibration!$A$4:$L$4,0))</f>
        <v>0.2</v>
      </c>
      <c r="L61" s="292">
        <f>INDEX(Calibration!$A$4:$L$13,MATCH($D61&amp;$E61,Calibration!$A$4:$A$13,0),MATCH(L$4,Calibration!$A$4:$L$4,0))</f>
        <v>1.3869915874526988</v>
      </c>
      <c r="M61" s="292">
        <f>INDEX(Calibration!$A$4:$L$13,MATCH($D61&amp;$E61,Calibration!$A$4:$A$13,0),MATCH(M$4,Calibration!$A$4:$L$4,0))</f>
        <v>-2.2641144651923684</v>
      </c>
      <c r="N61" s="292">
        <f>INDEX(Calibration!$A$4:$L$13,MATCH($D61&amp;$E61,Calibration!$A$4:$A$13,0),MATCH(N$4,Calibration!$A$4:$L$4,0))</f>
        <v>1.5001973107123172</v>
      </c>
      <c r="O61" s="292">
        <f>INDEX(Calibration!$A$4:$L$13,MATCH($D61&amp;$E61,Calibration!$A$4:$A$13,0),MATCH(O$4,Calibration!$A$4:$L$4,0))</f>
        <v>-4.5282289303847367</v>
      </c>
      <c r="P61" s="292">
        <f>INDEX(Calibration!$A$4:$L$13,MATCH($D61&amp;$E61,Calibration!$A$4:$A$13,0),MATCH(P$4,Calibration!$A$4:$L$4,0))</f>
        <v>1.6700058956017449</v>
      </c>
      <c r="Q61" s="292">
        <f>INDEX(Calibration!$A$4:$L$13,MATCH($D61&amp;$E61,Calibration!$A$4:$A$13,0),MATCH(Q$4,Calibration!$A$4:$L$4,0))</f>
        <v>0.7643601095247976</v>
      </c>
      <c r="R61" s="293">
        <f>IF(C61&lt;Calibration!$F$5,L61,IF(C61&lt;Calibration!$E$5,C61*M61+N61,IF(C61&lt;K61,C61*O61+P61,Q61)))</f>
        <v>1.2285316002767757</v>
      </c>
      <c r="S61" s="286">
        <f t="shared" si="0"/>
        <v>8931.1947934381296</v>
      </c>
      <c r="T61" s="293">
        <f>IF(E61="DHP",VLOOKUP(D61,Calibration!$C$20:$E$22,2,FALSE),IF(D61=1,Calibration!$D$17,Calibration!$D$18))</f>
        <v>0.82813167326562143</v>
      </c>
      <c r="U61" s="286">
        <f t="shared" si="1"/>
        <v>7396.2052885511248</v>
      </c>
      <c r="V61" s="286">
        <f>VLOOKUP(T61,Calibration!$D$17:$E$22,2,FALSE)*S61</f>
        <v>1395.9716129419094</v>
      </c>
      <c r="W61" t="s">
        <v>770</v>
      </c>
      <c r="X61">
        <v>1692.414168</v>
      </c>
      <c r="Y61">
        <v>0</v>
      </c>
    </row>
    <row r="62" spans="1:25">
      <c r="A62" s="277" t="str">
        <f>SEEMoutput!A64</f>
        <v>WxHZ1CZ1_5000e_40hp85_des0</v>
      </c>
      <c r="B62" s="286">
        <f>SEEMoutput!O64</f>
        <v>7881.6140189999996</v>
      </c>
      <c r="C62" s="287">
        <v>0.10800845432434633</v>
      </c>
      <c r="D62" s="277">
        <f>IF(SEEMoutput!G64&lt;6000,1,IF(SEEMoutput!G64&lt;7500,2,3))</f>
        <v>1</v>
      </c>
      <c r="E62" s="277" t="str">
        <f>IF(LEFT(SEEMoutput!BE64,1)="F","FUR",IF(LEFT(SEEMoutput!BE64,1)="D","DHP","HP"))</f>
        <v>HP</v>
      </c>
      <c r="F62" s="288">
        <f>SEEMoutput!E64</f>
        <v>826.11945800000001</v>
      </c>
      <c r="G62" s="289">
        <f>F62*(69-30)*SEEMoutput!N64/SEEMoutput!M64</f>
        <v>33388.210624909349</v>
      </c>
      <c r="H62" s="290">
        <f>'(Tons) (Furnsize)'!$F$52+'(Tons) (Furnsize)'!$F$53*'(Tons) (Furnsize)'!$B$15+'(Tons) (Furnsize)'!$F$54*G62</f>
        <v>3.9794715262025018</v>
      </c>
      <c r="I62" s="290">
        <f>H62/'(Tons) (Furnsize)'!$G$7</f>
        <v>3.2984122454742901</v>
      </c>
      <c r="J62" s="291">
        <f>F62*(69-VLOOKUP(D62,'(Tons) (Furnsize)'!$D$15:$E$17,2,FALSE))/3412</f>
        <v>12.590331716295429</v>
      </c>
      <c r="K62" s="292">
        <f>INDEX(Calibration!$A$4:$L$13,MATCH($D62&amp;$E62,Calibration!$A$4:$A$13,0),MATCH(K$4,Calibration!$A$4:$L$4,0))</f>
        <v>0.2</v>
      </c>
      <c r="L62" s="292">
        <f>INDEX(Calibration!$A$4:$L$13,MATCH($D62&amp;$E62,Calibration!$A$4:$A$13,0),MATCH(L$4,Calibration!$A$4:$L$4,0))</f>
        <v>1.3869915874526988</v>
      </c>
      <c r="M62" s="292">
        <f>INDEX(Calibration!$A$4:$L$13,MATCH($D62&amp;$E62,Calibration!$A$4:$A$13,0),MATCH(M$4,Calibration!$A$4:$L$4,0))</f>
        <v>-2.2641144651923684</v>
      </c>
      <c r="N62" s="292">
        <f>INDEX(Calibration!$A$4:$L$13,MATCH($D62&amp;$E62,Calibration!$A$4:$A$13,0),MATCH(N$4,Calibration!$A$4:$L$4,0))</f>
        <v>1.5001973107123172</v>
      </c>
      <c r="O62" s="292">
        <f>INDEX(Calibration!$A$4:$L$13,MATCH($D62&amp;$E62,Calibration!$A$4:$A$13,0),MATCH(O$4,Calibration!$A$4:$L$4,0))</f>
        <v>-4.5282289303847367</v>
      </c>
      <c r="P62" s="292">
        <f>INDEX(Calibration!$A$4:$L$13,MATCH($D62&amp;$E62,Calibration!$A$4:$A$13,0),MATCH(P$4,Calibration!$A$4:$L$4,0))</f>
        <v>1.6700058956017449</v>
      </c>
      <c r="Q62" s="292">
        <f>INDEX(Calibration!$A$4:$L$13,MATCH($D62&amp;$E62,Calibration!$A$4:$A$13,0),MATCH(Q$4,Calibration!$A$4:$L$4,0))</f>
        <v>0.7643601095247976</v>
      </c>
      <c r="R62" s="293">
        <f>IF(C62&lt;Calibration!$F$5,L62,IF(C62&lt;Calibration!$E$5,C62*M62+N62,IF(C62&lt;K62,C62*O62+P62,Q62)))</f>
        <v>1.1809188880041015</v>
      </c>
      <c r="S62" s="286">
        <f t="shared" si="0"/>
        <v>9307.5468629950174</v>
      </c>
      <c r="T62" s="293">
        <f>IF(E62="DHP",VLOOKUP(D62,Calibration!$C$20:$E$22,2,FALSE),IF(D62=1,Calibration!$D$17,Calibration!$D$18))</f>
        <v>0.82813167326562143</v>
      </c>
      <c r="U62" s="286">
        <f t="shared" si="1"/>
        <v>7707.8743576502493</v>
      </c>
      <c r="V62" s="286">
        <f>VLOOKUP(T62,Calibration!$D$17:$E$22,2,FALSE)*S62</f>
        <v>1454.7965314129917</v>
      </c>
      <c r="W62" t="s">
        <v>764</v>
      </c>
      <c r="X62">
        <v>488.71812499999999</v>
      </c>
      <c r="Y62">
        <v>0</v>
      </c>
    </row>
    <row r="63" spans="1:25">
      <c r="A63" s="277" t="str">
        <f>SEEMoutput!A65</f>
        <v>WxHZ1CZ2_5000e_40hp85_des0</v>
      </c>
      <c r="B63" s="286">
        <f>SEEMoutput!O65</f>
        <v>7881.6140189999996</v>
      </c>
      <c r="C63" s="287">
        <v>0.10800845432434633</v>
      </c>
      <c r="D63" s="277">
        <f>IF(SEEMoutput!G65&lt;6000,1,IF(SEEMoutput!G65&lt;7500,2,3))</f>
        <v>1</v>
      </c>
      <c r="E63" s="277" t="str">
        <f>IF(LEFT(SEEMoutput!BE65,1)="F","FUR",IF(LEFT(SEEMoutput!BE65,1)="D","DHP","HP"))</f>
        <v>HP</v>
      </c>
      <c r="F63" s="288">
        <f>SEEMoutput!E65</f>
        <v>826.11945800000001</v>
      </c>
      <c r="G63" s="289">
        <f>F63*(69-30)*SEEMoutput!N65/SEEMoutput!M65</f>
        <v>33388.210624909349</v>
      </c>
      <c r="H63" s="290">
        <f>'(Tons) (Furnsize)'!$F$52+'(Tons) (Furnsize)'!$F$53*'(Tons) (Furnsize)'!$B$15+'(Tons) (Furnsize)'!$F$54*G63</f>
        <v>3.9794715262025018</v>
      </c>
      <c r="I63" s="290">
        <f>H63/'(Tons) (Furnsize)'!$G$7</f>
        <v>3.2984122454742901</v>
      </c>
      <c r="J63" s="291">
        <f>F63*(69-VLOOKUP(D63,'(Tons) (Furnsize)'!$D$15:$E$17,2,FALSE))/3412</f>
        <v>12.590331716295429</v>
      </c>
      <c r="K63" s="292">
        <f>INDEX(Calibration!$A$4:$L$13,MATCH($D63&amp;$E63,Calibration!$A$4:$A$13,0),MATCH(K$4,Calibration!$A$4:$L$4,0))</f>
        <v>0.2</v>
      </c>
      <c r="L63" s="292">
        <f>INDEX(Calibration!$A$4:$L$13,MATCH($D63&amp;$E63,Calibration!$A$4:$A$13,0),MATCH(L$4,Calibration!$A$4:$L$4,0))</f>
        <v>1.3869915874526988</v>
      </c>
      <c r="M63" s="292">
        <f>INDEX(Calibration!$A$4:$L$13,MATCH($D63&amp;$E63,Calibration!$A$4:$A$13,0),MATCH(M$4,Calibration!$A$4:$L$4,0))</f>
        <v>-2.2641144651923684</v>
      </c>
      <c r="N63" s="292">
        <f>INDEX(Calibration!$A$4:$L$13,MATCH($D63&amp;$E63,Calibration!$A$4:$A$13,0),MATCH(N$4,Calibration!$A$4:$L$4,0))</f>
        <v>1.5001973107123172</v>
      </c>
      <c r="O63" s="292">
        <f>INDEX(Calibration!$A$4:$L$13,MATCH($D63&amp;$E63,Calibration!$A$4:$A$13,0),MATCH(O$4,Calibration!$A$4:$L$4,0))</f>
        <v>-4.5282289303847367</v>
      </c>
      <c r="P63" s="292">
        <f>INDEX(Calibration!$A$4:$L$13,MATCH($D63&amp;$E63,Calibration!$A$4:$A$13,0),MATCH(P$4,Calibration!$A$4:$L$4,0))</f>
        <v>1.6700058956017449</v>
      </c>
      <c r="Q63" s="292">
        <f>INDEX(Calibration!$A$4:$L$13,MATCH($D63&amp;$E63,Calibration!$A$4:$A$13,0),MATCH(Q$4,Calibration!$A$4:$L$4,0))</f>
        <v>0.7643601095247976</v>
      </c>
      <c r="R63" s="293">
        <f>IF(C63&lt;Calibration!$F$5,L63,IF(C63&lt;Calibration!$E$5,C63*M63+N63,IF(C63&lt;K63,C63*O63+P63,Q63)))</f>
        <v>1.1809188880041015</v>
      </c>
      <c r="S63" s="286">
        <f t="shared" si="0"/>
        <v>9307.5468629950174</v>
      </c>
      <c r="T63" s="293">
        <f>IF(E63="DHP",VLOOKUP(D63,Calibration!$C$20:$E$22,2,FALSE),IF(D63=1,Calibration!$D$17,Calibration!$D$18))</f>
        <v>0.82813167326562143</v>
      </c>
      <c r="U63" s="286">
        <f t="shared" si="1"/>
        <v>7707.8743576502493</v>
      </c>
      <c r="V63" s="286">
        <f>VLOOKUP(T63,Calibration!$D$17:$E$22,2,FALSE)*S63</f>
        <v>1454.7965314129917</v>
      </c>
      <c r="W63" t="s">
        <v>767</v>
      </c>
      <c r="X63">
        <v>1026.353357</v>
      </c>
      <c r="Y63">
        <v>0</v>
      </c>
    </row>
    <row r="64" spans="1:25">
      <c r="A64" s="277" t="str">
        <f>SEEMoutput!A66</f>
        <v>WxHZ1CZ3_5000e_40hp85_des0</v>
      </c>
      <c r="B64" s="286">
        <f>SEEMoutput!O66</f>
        <v>7881.6140189999996</v>
      </c>
      <c r="C64" s="287">
        <v>0.10800845432434633</v>
      </c>
      <c r="D64" s="277">
        <f>IF(SEEMoutput!G66&lt;6000,1,IF(SEEMoutput!G66&lt;7500,2,3))</f>
        <v>1</v>
      </c>
      <c r="E64" s="277" t="str">
        <f>IF(LEFT(SEEMoutput!BE66,1)="F","FUR",IF(LEFT(SEEMoutput!BE66,1)="D","DHP","HP"))</f>
        <v>HP</v>
      </c>
      <c r="F64" s="288">
        <f>SEEMoutput!E66</f>
        <v>826.11945800000001</v>
      </c>
      <c r="G64" s="289">
        <f>F64*(69-30)*SEEMoutput!N66/SEEMoutput!M66</f>
        <v>33388.210624909349</v>
      </c>
      <c r="H64" s="290">
        <f>'(Tons) (Furnsize)'!$F$52+'(Tons) (Furnsize)'!$F$53*'(Tons) (Furnsize)'!$B$15+'(Tons) (Furnsize)'!$F$54*G64</f>
        <v>3.9794715262025018</v>
      </c>
      <c r="I64" s="290">
        <f>H64/'(Tons) (Furnsize)'!$G$7</f>
        <v>3.2984122454742901</v>
      </c>
      <c r="J64" s="291">
        <f>F64*(69-VLOOKUP(D64,'(Tons) (Furnsize)'!$D$15:$E$17,2,FALSE))/3412</f>
        <v>12.590331716295429</v>
      </c>
      <c r="K64" s="292">
        <f>INDEX(Calibration!$A$4:$L$13,MATCH($D64&amp;$E64,Calibration!$A$4:$A$13,0),MATCH(K$4,Calibration!$A$4:$L$4,0))</f>
        <v>0.2</v>
      </c>
      <c r="L64" s="292">
        <f>INDEX(Calibration!$A$4:$L$13,MATCH($D64&amp;$E64,Calibration!$A$4:$A$13,0),MATCH(L$4,Calibration!$A$4:$L$4,0))</f>
        <v>1.3869915874526988</v>
      </c>
      <c r="M64" s="292">
        <f>INDEX(Calibration!$A$4:$L$13,MATCH($D64&amp;$E64,Calibration!$A$4:$A$13,0),MATCH(M$4,Calibration!$A$4:$L$4,0))</f>
        <v>-2.2641144651923684</v>
      </c>
      <c r="N64" s="292">
        <f>INDEX(Calibration!$A$4:$L$13,MATCH($D64&amp;$E64,Calibration!$A$4:$A$13,0),MATCH(N$4,Calibration!$A$4:$L$4,0))</f>
        <v>1.5001973107123172</v>
      </c>
      <c r="O64" s="292">
        <f>INDEX(Calibration!$A$4:$L$13,MATCH($D64&amp;$E64,Calibration!$A$4:$A$13,0),MATCH(O$4,Calibration!$A$4:$L$4,0))</f>
        <v>-4.5282289303847367</v>
      </c>
      <c r="P64" s="292">
        <f>INDEX(Calibration!$A$4:$L$13,MATCH($D64&amp;$E64,Calibration!$A$4:$A$13,0),MATCH(P$4,Calibration!$A$4:$L$4,0))</f>
        <v>1.6700058956017449</v>
      </c>
      <c r="Q64" s="292">
        <f>INDEX(Calibration!$A$4:$L$13,MATCH($D64&amp;$E64,Calibration!$A$4:$A$13,0),MATCH(Q$4,Calibration!$A$4:$L$4,0))</f>
        <v>0.7643601095247976</v>
      </c>
      <c r="R64" s="293">
        <f>IF(C64&lt;Calibration!$F$5,L64,IF(C64&lt;Calibration!$E$5,C64*M64+N64,IF(C64&lt;K64,C64*O64+P64,Q64)))</f>
        <v>1.1809188880041015</v>
      </c>
      <c r="S64" s="286">
        <f t="shared" si="0"/>
        <v>9307.5468629950174</v>
      </c>
      <c r="T64" s="293">
        <f>IF(E64="DHP",VLOOKUP(D64,Calibration!$C$20:$E$22,2,FALSE),IF(D64=1,Calibration!$D$17,Calibration!$D$18))</f>
        <v>0.82813167326562143</v>
      </c>
      <c r="U64" s="286">
        <f t="shared" si="1"/>
        <v>7707.8743576502493</v>
      </c>
      <c r="V64" s="286">
        <f>VLOOKUP(T64,Calibration!$D$17:$E$22,2,FALSE)*S64</f>
        <v>1454.7965314129917</v>
      </c>
      <c r="W64" t="s">
        <v>770</v>
      </c>
      <c r="X64">
        <v>1768.316364</v>
      </c>
      <c r="Y64">
        <v>0</v>
      </c>
    </row>
    <row r="65" spans="1:25">
      <c r="A65" s="277" t="str">
        <f>SEEMoutput!A67</f>
        <v>NWHZ2CZ1_5000n_35hp85_des0</v>
      </c>
      <c r="B65" s="286">
        <f>SEEMoutput!O67</f>
        <v>12601.268199</v>
      </c>
      <c r="C65" s="287">
        <v>0.10132543675924098</v>
      </c>
      <c r="D65" s="277">
        <f>IF(SEEMoutput!G67&lt;6000,1,IF(SEEMoutput!G67&lt;7500,2,3))</f>
        <v>2</v>
      </c>
      <c r="E65" s="277" t="str">
        <f>IF(LEFT(SEEMoutput!BE67,1)="F","FUR",IF(LEFT(SEEMoutput!BE67,1)="D","DHP","HP"))</f>
        <v>HP</v>
      </c>
      <c r="F65" s="288">
        <f>SEEMoutput!E67</f>
        <v>780.28733299999999</v>
      </c>
      <c r="G65" s="289">
        <f>F65*(69-30)*SEEMoutput!N67/SEEMoutput!M67</f>
        <v>31553.842487427049</v>
      </c>
      <c r="H65" s="290">
        <f>'(Tons) (Furnsize)'!$F$52+'(Tons) (Furnsize)'!$F$53*'(Tons) (Furnsize)'!$B$15+'(Tons) (Furnsize)'!$F$54*G65</f>
        <v>3.7640976381466569</v>
      </c>
      <c r="I65" s="290">
        <f>H65/'(Tons) (Furnsize)'!$G$7</f>
        <v>3.1198981224201883</v>
      </c>
      <c r="J65" s="291">
        <f>F65*(69-VLOOKUP(D65,'(Tons) (Furnsize)'!$D$15:$E$17,2,FALSE))/3412</f>
        <v>15.779550403575616</v>
      </c>
      <c r="K65" s="292">
        <f>INDEX(Calibration!$A$4:$L$13,MATCH($D65&amp;$E65,Calibration!$A$4:$A$13,0),MATCH(K$4,Calibration!$A$4:$L$4,0))</f>
        <v>0.17499999999999999</v>
      </c>
      <c r="L65" s="292">
        <f>INDEX(Calibration!$A$4:$L$13,MATCH($D65&amp;$E65,Calibration!$A$4:$A$13,0),MATCH(L$4,Calibration!$A$4:$L$4,0))</f>
        <v>1.1965160377936901</v>
      </c>
      <c r="M65" s="292">
        <f>INDEX(Calibration!$A$4:$L$13,MATCH($D65&amp;$E65,Calibration!$A$4:$A$13,0),MATCH(M$4,Calibration!$A$4:$L$4,0))</f>
        <v>-2.050167690250368</v>
      </c>
      <c r="N65" s="292">
        <f>INDEX(Calibration!$A$4:$L$13,MATCH($D65&amp;$E65,Calibration!$A$4:$A$13,0),MATCH(N$4,Calibration!$A$4:$L$4,0))</f>
        <v>1.2990244223062084</v>
      </c>
      <c r="O65" s="292">
        <f>INDEX(Calibration!$A$4:$L$13,MATCH($D65&amp;$E65,Calibration!$A$4:$A$13,0),MATCH(O$4,Calibration!$A$4:$L$4,0))</f>
        <v>-4.1003353805007361</v>
      </c>
      <c r="P65" s="292">
        <f>INDEX(Calibration!$A$4:$L$13,MATCH($D65&amp;$E65,Calibration!$A$4:$A$13,0),MATCH(P$4,Calibration!$A$4:$L$4,0))</f>
        <v>1.452786999074986</v>
      </c>
      <c r="Q65" s="292">
        <f>INDEX(Calibration!$A$4:$L$13,MATCH($D65&amp;$E65,Calibration!$A$4:$A$13,0),MATCH(Q$4,Calibration!$A$4:$L$4,0))</f>
        <v>0.73522830748735724</v>
      </c>
      <c r="R65" s="293">
        <f>IF(C65&lt;Calibration!$F$5,L65,IF(C65&lt;Calibration!$E$5,C65*M65+N65,IF(C65&lt;K65,C65*O65+P65,Q65)))</f>
        <v>1.0373187257863803</v>
      </c>
      <c r="S65" s="286">
        <f t="shared" si="0"/>
        <v>13071.531471479115</v>
      </c>
      <c r="T65" s="293">
        <f>IF(E65="DHP",VLOOKUP(D65,Calibration!$C$20:$E$22,2,FALSE),IF(D65=1,Calibration!$D$17,Calibration!$D$18))</f>
        <v>0.85917762533929642</v>
      </c>
      <c r="U65" s="286">
        <f t="shared" si="1"/>
        <v>11230.767369213305</v>
      </c>
      <c r="V65" s="286">
        <f>VLOOKUP(T65,Calibration!$D$17:$E$22,2,FALSE)*S65</f>
        <v>1615.2217862143541</v>
      </c>
      <c r="W65" t="s">
        <v>779</v>
      </c>
      <c r="X65">
        <v>476.46530799999999</v>
      </c>
      <c r="Y65">
        <v>0</v>
      </c>
    </row>
    <row r="66" spans="1:25">
      <c r="A66" s="277" t="str">
        <f>SEEMoutput!A68</f>
        <v>NWHZ2CZ2_5000n_35hp85_des0</v>
      </c>
      <c r="B66" s="286">
        <f>SEEMoutput!O68</f>
        <v>12601.268199</v>
      </c>
      <c r="C66" s="287">
        <v>0.10132543675924098</v>
      </c>
      <c r="D66" s="277">
        <f>IF(SEEMoutput!G68&lt;6000,1,IF(SEEMoutput!G68&lt;7500,2,3))</f>
        <v>2</v>
      </c>
      <c r="E66" s="277" t="str">
        <f>IF(LEFT(SEEMoutput!BE68,1)="F","FUR",IF(LEFT(SEEMoutput!BE68,1)="D","DHP","HP"))</f>
        <v>HP</v>
      </c>
      <c r="F66" s="288">
        <f>SEEMoutput!E68</f>
        <v>780.28733299999999</v>
      </c>
      <c r="G66" s="289">
        <f>F66*(69-30)*SEEMoutput!N68/SEEMoutput!M68</f>
        <v>31553.842487427049</v>
      </c>
      <c r="H66" s="290">
        <f>'(Tons) (Furnsize)'!$F$52+'(Tons) (Furnsize)'!$F$53*'(Tons) (Furnsize)'!$B$15+'(Tons) (Furnsize)'!$F$54*G66</f>
        <v>3.7640976381466569</v>
      </c>
      <c r="I66" s="290">
        <f>H66/'(Tons) (Furnsize)'!$G$7</f>
        <v>3.1198981224201883</v>
      </c>
      <c r="J66" s="291">
        <f>F66*(69-VLOOKUP(D66,'(Tons) (Furnsize)'!$D$15:$E$17,2,FALSE))/3412</f>
        <v>15.779550403575616</v>
      </c>
      <c r="K66" s="292">
        <f>INDEX(Calibration!$A$4:$L$13,MATCH($D66&amp;$E66,Calibration!$A$4:$A$13,0),MATCH(K$4,Calibration!$A$4:$L$4,0))</f>
        <v>0.17499999999999999</v>
      </c>
      <c r="L66" s="292">
        <f>INDEX(Calibration!$A$4:$L$13,MATCH($D66&amp;$E66,Calibration!$A$4:$A$13,0),MATCH(L$4,Calibration!$A$4:$L$4,0))</f>
        <v>1.1965160377936901</v>
      </c>
      <c r="M66" s="292">
        <f>INDEX(Calibration!$A$4:$L$13,MATCH($D66&amp;$E66,Calibration!$A$4:$A$13,0),MATCH(M$4,Calibration!$A$4:$L$4,0))</f>
        <v>-2.050167690250368</v>
      </c>
      <c r="N66" s="292">
        <f>INDEX(Calibration!$A$4:$L$13,MATCH($D66&amp;$E66,Calibration!$A$4:$A$13,0),MATCH(N$4,Calibration!$A$4:$L$4,0))</f>
        <v>1.2990244223062084</v>
      </c>
      <c r="O66" s="292">
        <f>INDEX(Calibration!$A$4:$L$13,MATCH($D66&amp;$E66,Calibration!$A$4:$A$13,0),MATCH(O$4,Calibration!$A$4:$L$4,0))</f>
        <v>-4.1003353805007361</v>
      </c>
      <c r="P66" s="292">
        <f>INDEX(Calibration!$A$4:$L$13,MATCH($D66&amp;$E66,Calibration!$A$4:$A$13,0),MATCH(P$4,Calibration!$A$4:$L$4,0))</f>
        <v>1.452786999074986</v>
      </c>
      <c r="Q66" s="292">
        <f>INDEX(Calibration!$A$4:$L$13,MATCH($D66&amp;$E66,Calibration!$A$4:$A$13,0),MATCH(Q$4,Calibration!$A$4:$L$4,0))</f>
        <v>0.73522830748735724</v>
      </c>
      <c r="R66" s="293">
        <f>IF(C66&lt;Calibration!$F$5,L66,IF(C66&lt;Calibration!$E$5,C66*M66+N66,IF(C66&lt;K66,C66*O66+P66,Q66)))</f>
        <v>1.0373187257863803</v>
      </c>
      <c r="S66" s="286">
        <f t="shared" si="0"/>
        <v>13071.531471479115</v>
      </c>
      <c r="T66" s="293">
        <f>IF(E66="DHP",VLOOKUP(D66,Calibration!$C$20:$E$22,2,FALSE),IF(D66=1,Calibration!$D$17,Calibration!$D$18))</f>
        <v>0.85917762533929642</v>
      </c>
      <c r="U66" s="286">
        <f t="shared" si="1"/>
        <v>11230.767369213305</v>
      </c>
      <c r="V66" s="286">
        <f>VLOOKUP(T66,Calibration!$D$17:$E$22,2,FALSE)*S66</f>
        <v>1615.2217862143541</v>
      </c>
      <c r="W66" t="s">
        <v>782</v>
      </c>
      <c r="X66">
        <v>987.78206699999998</v>
      </c>
      <c r="Y66">
        <v>0</v>
      </c>
    </row>
    <row r="67" spans="1:25">
      <c r="A67" s="277" t="str">
        <f>SEEMoutput!A69</f>
        <v>NWHZ2CZ3_5000n_35hp85_des0</v>
      </c>
      <c r="B67" s="286">
        <f>SEEMoutput!O69</f>
        <v>12601.268199</v>
      </c>
      <c r="C67" s="287">
        <v>0.10132543675924098</v>
      </c>
      <c r="D67" s="277">
        <f>IF(SEEMoutput!G69&lt;6000,1,IF(SEEMoutput!G69&lt;7500,2,3))</f>
        <v>2</v>
      </c>
      <c r="E67" s="277" t="str">
        <f>IF(LEFT(SEEMoutput!BE69,1)="F","FUR",IF(LEFT(SEEMoutput!BE69,1)="D","DHP","HP"))</f>
        <v>HP</v>
      </c>
      <c r="F67" s="288">
        <f>SEEMoutput!E69</f>
        <v>780.28733299999999</v>
      </c>
      <c r="G67" s="289">
        <f>F67*(69-30)*SEEMoutput!N69/SEEMoutput!M69</f>
        <v>31553.842487427049</v>
      </c>
      <c r="H67" s="290">
        <f>'(Tons) (Furnsize)'!$F$52+'(Tons) (Furnsize)'!$F$53*'(Tons) (Furnsize)'!$B$15+'(Tons) (Furnsize)'!$F$54*G67</f>
        <v>3.7640976381466569</v>
      </c>
      <c r="I67" s="290">
        <f>H67/'(Tons) (Furnsize)'!$G$7</f>
        <v>3.1198981224201883</v>
      </c>
      <c r="J67" s="291">
        <f>F67*(69-VLOOKUP(D67,'(Tons) (Furnsize)'!$D$15:$E$17,2,FALSE))/3412</f>
        <v>15.779550403575616</v>
      </c>
      <c r="K67" s="292">
        <f>INDEX(Calibration!$A$4:$L$13,MATCH($D67&amp;$E67,Calibration!$A$4:$A$13,0),MATCH(K$4,Calibration!$A$4:$L$4,0))</f>
        <v>0.17499999999999999</v>
      </c>
      <c r="L67" s="292">
        <f>INDEX(Calibration!$A$4:$L$13,MATCH($D67&amp;$E67,Calibration!$A$4:$A$13,0),MATCH(L$4,Calibration!$A$4:$L$4,0))</f>
        <v>1.1965160377936901</v>
      </c>
      <c r="M67" s="292">
        <f>INDEX(Calibration!$A$4:$L$13,MATCH($D67&amp;$E67,Calibration!$A$4:$A$13,0),MATCH(M$4,Calibration!$A$4:$L$4,0))</f>
        <v>-2.050167690250368</v>
      </c>
      <c r="N67" s="292">
        <f>INDEX(Calibration!$A$4:$L$13,MATCH($D67&amp;$E67,Calibration!$A$4:$A$13,0),MATCH(N$4,Calibration!$A$4:$L$4,0))</f>
        <v>1.2990244223062084</v>
      </c>
      <c r="O67" s="292">
        <f>INDEX(Calibration!$A$4:$L$13,MATCH($D67&amp;$E67,Calibration!$A$4:$A$13,0),MATCH(O$4,Calibration!$A$4:$L$4,0))</f>
        <v>-4.1003353805007361</v>
      </c>
      <c r="P67" s="292">
        <f>INDEX(Calibration!$A$4:$L$13,MATCH($D67&amp;$E67,Calibration!$A$4:$A$13,0),MATCH(P$4,Calibration!$A$4:$L$4,0))</f>
        <v>1.452786999074986</v>
      </c>
      <c r="Q67" s="292">
        <f>INDEX(Calibration!$A$4:$L$13,MATCH($D67&amp;$E67,Calibration!$A$4:$A$13,0),MATCH(Q$4,Calibration!$A$4:$L$4,0))</f>
        <v>0.73522830748735724</v>
      </c>
      <c r="R67" s="293">
        <f>IF(C67&lt;Calibration!$F$5,L67,IF(C67&lt;Calibration!$E$5,C67*M67+N67,IF(C67&lt;K67,C67*O67+P67,Q67)))</f>
        <v>1.0373187257863803</v>
      </c>
      <c r="S67" s="286">
        <f t="shared" si="0"/>
        <v>13071.531471479115</v>
      </c>
      <c r="T67" s="293">
        <f>IF(E67="DHP",VLOOKUP(D67,Calibration!$C$20:$E$22,2,FALSE),IF(D67=1,Calibration!$D$17,Calibration!$D$18))</f>
        <v>0.85917762533929642</v>
      </c>
      <c r="U67" s="286">
        <f t="shared" si="1"/>
        <v>11230.767369213305</v>
      </c>
      <c r="V67" s="286">
        <f>VLOOKUP(T67,Calibration!$D$17:$E$22,2,FALSE)*S67</f>
        <v>1615.2217862143541</v>
      </c>
      <c r="W67" t="s">
        <v>785</v>
      </c>
      <c r="X67">
        <v>1692.414168</v>
      </c>
      <c r="Y67">
        <v>0</v>
      </c>
    </row>
    <row r="68" spans="1:25">
      <c r="A68" s="277" t="str">
        <f>SEEMoutput!A70</f>
        <v>WxHZ2CZ1_5000e_40hp85_des0</v>
      </c>
      <c r="B68" s="286">
        <f>SEEMoutput!O70</f>
        <v>13423.758802</v>
      </c>
      <c r="C68" s="287">
        <v>0.11191056095418059</v>
      </c>
      <c r="D68" s="277">
        <f>IF(SEEMoutput!G70&lt;6000,1,IF(SEEMoutput!G70&lt;7500,2,3))</f>
        <v>2</v>
      </c>
      <c r="E68" s="277" t="str">
        <f>IF(LEFT(SEEMoutput!BE70,1)="F","FUR",IF(LEFT(SEEMoutput!BE70,1)="D","DHP","HP"))</f>
        <v>HP</v>
      </c>
      <c r="F68" s="288">
        <f>SEEMoutput!E70</f>
        <v>844.06600600000002</v>
      </c>
      <c r="G68" s="289">
        <f>F68*(69-30)*SEEMoutput!N70/SEEMoutput!M70</f>
        <v>34155.816246813192</v>
      </c>
      <c r="H68" s="290">
        <f>'(Tons) (Furnsize)'!$F$52+'(Tons) (Furnsize)'!$F$53*'(Tons) (Furnsize)'!$B$15+'(Tons) (Furnsize)'!$F$54*G68</f>
        <v>4.0695964056663714</v>
      </c>
      <c r="I68" s="290">
        <f>H68/'(Tons) (Furnsize)'!$G$7</f>
        <v>3.3731128694360843</v>
      </c>
      <c r="J68" s="291">
        <f>F68*(69-VLOOKUP(D68,'(Tons) (Furnsize)'!$D$15:$E$17,2,FALSE))/3412</f>
        <v>17.06933013305979</v>
      </c>
      <c r="K68" s="292">
        <f>INDEX(Calibration!$A$4:$L$13,MATCH($D68&amp;$E68,Calibration!$A$4:$A$13,0),MATCH(K$4,Calibration!$A$4:$L$4,0))</f>
        <v>0.17499999999999999</v>
      </c>
      <c r="L68" s="292">
        <f>INDEX(Calibration!$A$4:$L$13,MATCH($D68&amp;$E68,Calibration!$A$4:$A$13,0),MATCH(L$4,Calibration!$A$4:$L$4,0))</f>
        <v>1.1965160377936901</v>
      </c>
      <c r="M68" s="292">
        <f>INDEX(Calibration!$A$4:$L$13,MATCH($D68&amp;$E68,Calibration!$A$4:$A$13,0),MATCH(M$4,Calibration!$A$4:$L$4,0))</f>
        <v>-2.050167690250368</v>
      </c>
      <c r="N68" s="292">
        <f>INDEX(Calibration!$A$4:$L$13,MATCH($D68&amp;$E68,Calibration!$A$4:$A$13,0),MATCH(N$4,Calibration!$A$4:$L$4,0))</f>
        <v>1.2990244223062084</v>
      </c>
      <c r="O68" s="292">
        <f>INDEX(Calibration!$A$4:$L$13,MATCH($D68&amp;$E68,Calibration!$A$4:$A$13,0),MATCH(O$4,Calibration!$A$4:$L$4,0))</f>
        <v>-4.1003353805007361</v>
      </c>
      <c r="P68" s="292">
        <f>INDEX(Calibration!$A$4:$L$13,MATCH($D68&amp;$E68,Calibration!$A$4:$A$13,0),MATCH(P$4,Calibration!$A$4:$L$4,0))</f>
        <v>1.452786999074986</v>
      </c>
      <c r="Q68" s="292">
        <f>INDEX(Calibration!$A$4:$L$13,MATCH($D68&amp;$E68,Calibration!$A$4:$A$13,0),MATCH(Q$4,Calibration!$A$4:$L$4,0))</f>
        <v>0.73522830748735724</v>
      </c>
      <c r="R68" s="293">
        <f>IF(C68&lt;Calibration!$F$5,L68,IF(C68&lt;Calibration!$E$5,C68*M68+N68,IF(C68&lt;K68,C68*O68+P68,Q68)))</f>
        <v>0.99391616654287507</v>
      </c>
      <c r="S68" s="286">
        <f t="shared" si="0"/>
        <v>13342.090889080016</v>
      </c>
      <c r="T68" s="293">
        <f>IF(E68="DHP",VLOOKUP(D68,Calibration!$C$20:$E$22,2,FALSE),IF(D68=1,Calibration!$D$17,Calibration!$D$18))</f>
        <v>0.85917762533929642</v>
      </c>
      <c r="U68" s="286">
        <f t="shared" si="1"/>
        <v>11463.22596714083</v>
      </c>
      <c r="V68" s="286">
        <f>VLOOKUP(T68,Calibration!$D$17:$E$22,2,FALSE)*S68</f>
        <v>1648.6542471871151</v>
      </c>
      <c r="W68" t="s">
        <v>779</v>
      </c>
      <c r="X68">
        <v>488.71812499999999</v>
      </c>
      <c r="Y68">
        <v>0</v>
      </c>
    </row>
    <row r="69" spans="1:25">
      <c r="A69" s="277" t="str">
        <f>SEEMoutput!A71</f>
        <v>WxHZ2CZ2_5000e_40hp85_des0</v>
      </c>
      <c r="B69" s="286">
        <f>SEEMoutput!O71</f>
        <v>13423.758802</v>
      </c>
      <c r="C69" s="287">
        <v>0.11191056095418059</v>
      </c>
      <c r="D69" s="277">
        <f>IF(SEEMoutput!G71&lt;6000,1,IF(SEEMoutput!G71&lt;7500,2,3))</f>
        <v>2</v>
      </c>
      <c r="E69" s="277" t="str">
        <f>IF(LEFT(SEEMoutput!BE71,1)="F","FUR",IF(LEFT(SEEMoutput!BE71,1)="D","DHP","HP"))</f>
        <v>HP</v>
      </c>
      <c r="F69" s="288">
        <f>SEEMoutput!E71</f>
        <v>844.06600600000002</v>
      </c>
      <c r="G69" s="289">
        <f>F69*(69-30)*SEEMoutput!N71/SEEMoutput!M71</f>
        <v>34155.816246813192</v>
      </c>
      <c r="H69" s="290">
        <f>'(Tons) (Furnsize)'!$F$52+'(Tons) (Furnsize)'!$F$53*'(Tons) (Furnsize)'!$B$15+'(Tons) (Furnsize)'!$F$54*G69</f>
        <v>4.0695964056663714</v>
      </c>
      <c r="I69" s="290">
        <f>H69/'(Tons) (Furnsize)'!$G$7</f>
        <v>3.3731128694360843</v>
      </c>
      <c r="J69" s="291">
        <f>F69*(69-VLOOKUP(D69,'(Tons) (Furnsize)'!$D$15:$E$17,2,FALSE))/3412</f>
        <v>17.06933013305979</v>
      </c>
      <c r="K69" s="292">
        <f>INDEX(Calibration!$A$4:$L$13,MATCH($D69&amp;$E69,Calibration!$A$4:$A$13,0),MATCH(K$4,Calibration!$A$4:$L$4,0))</f>
        <v>0.17499999999999999</v>
      </c>
      <c r="L69" s="292">
        <f>INDEX(Calibration!$A$4:$L$13,MATCH($D69&amp;$E69,Calibration!$A$4:$A$13,0),MATCH(L$4,Calibration!$A$4:$L$4,0))</f>
        <v>1.1965160377936901</v>
      </c>
      <c r="M69" s="292">
        <f>INDEX(Calibration!$A$4:$L$13,MATCH($D69&amp;$E69,Calibration!$A$4:$A$13,0),MATCH(M$4,Calibration!$A$4:$L$4,0))</f>
        <v>-2.050167690250368</v>
      </c>
      <c r="N69" s="292">
        <f>INDEX(Calibration!$A$4:$L$13,MATCH($D69&amp;$E69,Calibration!$A$4:$A$13,0),MATCH(N$4,Calibration!$A$4:$L$4,0))</f>
        <v>1.2990244223062084</v>
      </c>
      <c r="O69" s="292">
        <f>INDEX(Calibration!$A$4:$L$13,MATCH($D69&amp;$E69,Calibration!$A$4:$A$13,0),MATCH(O$4,Calibration!$A$4:$L$4,0))</f>
        <v>-4.1003353805007361</v>
      </c>
      <c r="P69" s="292">
        <f>INDEX(Calibration!$A$4:$L$13,MATCH($D69&amp;$E69,Calibration!$A$4:$A$13,0),MATCH(P$4,Calibration!$A$4:$L$4,0))</f>
        <v>1.452786999074986</v>
      </c>
      <c r="Q69" s="292">
        <f>INDEX(Calibration!$A$4:$L$13,MATCH($D69&amp;$E69,Calibration!$A$4:$A$13,0),MATCH(Q$4,Calibration!$A$4:$L$4,0))</f>
        <v>0.73522830748735724</v>
      </c>
      <c r="R69" s="293">
        <f>IF(C69&lt;Calibration!$F$5,L69,IF(C69&lt;Calibration!$E$5,C69*M69+N69,IF(C69&lt;K69,C69*O69+P69,Q69)))</f>
        <v>0.99391616654287507</v>
      </c>
      <c r="S69" s="286">
        <f t="shared" ref="S69:S132" si="2">R69*B69</f>
        <v>13342.090889080016</v>
      </c>
      <c r="T69" s="293">
        <f>IF(E69="DHP",VLOOKUP(D69,Calibration!$C$20:$E$22,2,FALSE),IF(D69=1,Calibration!$D$17,Calibration!$D$18))</f>
        <v>0.85917762533929642</v>
      </c>
      <c r="U69" s="286">
        <f t="shared" ref="U69:U132" si="3">T69*S69</f>
        <v>11463.22596714083</v>
      </c>
      <c r="V69" s="286">
        <f>VLOOKUP(T69,Calibration!$D$17:$E$22,2,FALSE)*S69</f>
        <v>1648.6542471871151</v>
      </c>
      <c r="W69" t="s">
        <v>782</v>
      </c>
      <c r="X69">
        <v>1026.353357</v>
      </c>
      <c r="Y69">
        <v>0</v>
      </c>
    </row>
    <row r="70" spans="1:25">
      <c r="A70" s="277" t="str">
        <f>SEEMoutput!A72</f>
        <v>WxHZ2CZ3_5000e_40hp85_des0</v>
      </c>
      <c r="B70" s="286">
        <f>SEEMoutput!O72</f>
        <v>13423.758802</v>
      </c>
      <c r="C70" s="287">
        <v>0.11191056095418059</v>
      </c>
      <c r="D70" s="277">
        <f>IF(SEEMoutput!G72&lt;6000,1,IF(SEEMoutput!G72&lt;7500,2,3))</f>
        <v>2</v>
      </c>
      <c r="E70" s="277" t="str">
        <f>IF(LEFT(SEEMoutput!BE72,1)="F","FUR",IF(LEFT(SEEMoutput!BE72,1)="D","DHP","HP"))</f>
        <v>HP</v>
      </c>
      <c r="F70" s="288">
        <f>SEEMoutput!E72</f>
        <v>844.06600600000002</v>
      </c>
      <c r="G70" s="289">
        <f>F70*(69-30)*SEEMoutput!N72/SEEMoutput!M72</f>
        <v>34155.816246813192</v>
      </c>
      <c r="H70" s="290">
        <f>'(Tons) (Furnsize)'!$F$52+'(Tons) (Furnsize)'!$F$53*'(Tons) (Furnsize)'!$B$15+'(Tons) (Furnsize)'!$F$54*G70</f>
        <v>4.0695964056663714</v>
      </c>
      <c r="I70" s="290">
        <f>H70/'(Tons) (Furnsize)'!$G$7</f>
        <v>3.3731128694360843</v>
      </c>
      <c r="J70" s="291">
        <f>F70*(69-VLOOKUP(D70,'(Tons) (Furnsize)'!$D$15:$E$17,2,FALSE))/3412</f>
        <v>17.06933013305979</v>
      </c>
      <c r="K70" s="292">
        <f>INDEX(Calibration!$A$4:$L$13,MATCH($D70&amp;$E70,Calibration!$A$4:$A$13,0),MATCH(K$4,Calibration!$A$4:$L$4,0))</f>
        <v>0.17499999999999999</v>
      </c>
      <c r="L70" s="292">
        <f>INDEX(Calibration!$A$4:$L$13,MATCH($D70&amp;$E70,Calibration!$A$4:$A$13,0),MATCH(L$4,Calibration!$A$4:$L$4,0))</f>
        <v>1.1965160377936901</v>
      </c>
      <c r="M70" s="292">
        <f>INDEX(Calibration!$A$4:$L$13,MATCH($D70&amp;$E70,Calibration!$A$4:$A$13,0),MATCH(M$4,Calibration!$A$4:$L$4,0))</f>
        <v>-2.050167690250368</v>
      </c>
      <c r="N70" s="292">
        <f>INDEX(Calibration!$A$4:$L$13,MATCH($D70&amp;$E70,Calibration!$A$4:$A$13,0),MATCH(N$4,Calibration!$A$4:$L$4,0))</f>
        <v>1.2990244223062084</v>
      </c>
      <c r="O70" s="292">
        <f>INDEX(Calibration!$A$4:$L$13,MATCH($D70&amp;$E70,Calibration!$A$4:$A$13,0),MATCH(O$4,Calibration!$A$4:$L$4,0))</f>
        <v>-4.1003353805007361</v>
      </c>
      <c r="P70" s="292">
        <f>INDEX(Calibration!$A$4:$L$13,MATCH($D70&amp;$E70,Calibration!$A$4:$A$13,0),MATCH(P$4,Calibration!$A$4:$L$4,0))</f>
        <v>1.452786999074986</v>
      </c>
      <c r="Q70" s="292">
        <f>INDEX(Calibration!$A$4:$L$13,MATCH($D70&amp;$E70,Calibration!$A$4:$A$13,0),MATCH(Q$4,Calibration!$A$4:$L$4,0))</f>
        <v>0.73522830748735724</v>
      </c>
      <c r="R70" s="293">
        <f>IF(C70&lt;Calibration!$F$5,L70,IF(C70&lt;Calibration!$E$5,C70*M70+N70,IF(C70&lt;K70,C70*O70+P70,Q70)))</f>
        <v>0.99391616654287507</v>
      </c>
      <c r="S70" s="286">
        <f t="shared" si="2"/>
        <v>13342.090889080016</v>
      </c>
      <c r="T70" s="293">
        <f>IF(E70="DHP",VLOOKUP(D70,Calibration!$C$20:$E$22,2,FALSE),IF(D70=1,Calibration!$D$17,Calibration!$D$18))</f>
        <v>0.85917762533929642</v>
      </c>
      <c r="U70" s="286">
        <f t="shared" si="3"/>
        <v>11463.22596714083</v>
      </c>
      <c r="V70" s="286">
        <f>VLOOKUP(T70,Calibration!$D$17:$E$22,2,FALSE)*S70</f>
        <v>1648.6542471871151</v>
      </c>
      <c r="W70" t="s">
        <v>785</v>
      </c>
      <c r="X70">
        <v>1768.316364</v>
      </c>
      <c r="Y70">
        <v>0</v>
      </c>
    </row>
    <row r="71" spans="1:25">
      <c r="A71" s="277" t="str">
        <f>SEEMoutput!A73</f>
        <v>NWHZ3CZ1_5000n_35hp85_des0</v>
      </c>
      <c r="B71" s="286">
        <f>SEEMoutput!O73</f>
        <v>17588.858026999998</v>
      </c>
      <c r="C71" s="287">
        <v>0.10052301293027149</v>
      </c>
      <c r="D71" s="277">
        <f>IF(SEEMoutput!G73&lt;6000,1,IF(SEEMoutput!G73&lt;7500,2,3))</f>
        <v>3</v>
      </c>
      <c r="E71" s="277" t="str">
        <f>IF(LEFT(SEEMoutput!BE73,1)="F","FUR",IF(LEFT(SEEMoutput!BE73,1)="D","DHP","HP"))</f>
        <v>HP</v>
      </c>
      <c r="F71" s="288">
        <f>SEEMoutput!E73</f>
        <v>769.49839299999996</v>
      </c>
      <c r="G71" s="289">
        <f>F71*(69-30)*SEEMoutput!N73/SEEMoutput!M73</f>
        <v>31065.35017348218</v>
      </c>
      <c r="H71" s="290">
        <f>'(Tons) (Furnsize)'!$F$52+'(Tons) (Furnsize)'!$F$53*'(Tons) (Furnsize)'!$B$15+'(Tons) (Furnsize)'!$F$54*G71</f>
        <v>3.7067435624897915</v>
      </c>
      <c r="I71" s="290">
        <f>H71/'(Tons) (Furnsize)'!$G$7</f>
        <v>3.072359803769372</v>
      </c>
      <c r="J71" s="291">
        <f>F71*(69-VLOOKUP(D71,'(Tons) (Furnsize)'!$D$15:$E$17,2,FALSE))/3412</f>
        <v>21.199545410902694</v>
      </c>
      <c r="K71" s="292">
        <f>INDEX(Calibration!$A$4:$L$13,MATCH($D71&amp;$E71,Calibration!$A$4:$A$13,0),MATCH(K$4,Calibration!$A$4:$L$4,0))</f>
        <v>0.15</v>
      </c>
      <c r="L71" s="292">
        <f>INDEX(Calibration!$A$4:$L$13,MATCH($D71&amp;$E71,Calibration!$A$4:$A$13,0),MATCH(L$4,Calibration!$A$4:$L$4,0))</f>
        <v>1.0259371368886356</v>
      </c>
      <c r="M71" s="292">
        <f>INDEX(Calibration!$A$4:$L$13,MATCH($D71&amp;$E71,Calibration!$A$4:$A$13,0),MATCH(M$4,Calibration!$A$4:$L$4,0))</f>
        <v>-1.8551508104013119</v>
      </c>
      <c r="N71" s="292">
        <f>INDEX(Calibration!$A$4:$L$13,MATCH($D71&amp;$E71,Calibration!$A$4:$A$13,0),MATCH(N$4,Calibration!$A$4:$L$4,0))</f>
        <v>1.1186946774087012</v>
      </c>
      <c r="O71" s="292">
        <f>INDEX(Calibration!$A$4:$L$13,MATCH($D71&amp;$E71,Calibration!$A$4:$A$13,0),MATCH(O$4,Calibration!$A$4:$L$4,0))</f>
        <v>-3.7103016208026238</v>
      </c>
      <c r="P71" s="292">
        <f>INDEX(Calibration!$A$4:$L$13,MATCH($D71&amp;$E71,Calibration!$A$4:$A$13,0),MATCH(P$4,Calibration!$A$4:$L$4,0))</f>
        <v>1.2578309881887995</v>
      </c>
      <c r="Q71" s="292">
        <f>INDEX(Calibration!$A$4:$L$13,MATCH($D71&amp;$E71,Calibration!$A$4:$A$13,0),MATCH(Q$4,Calibration!$A$4:$L$4,0))</f>
        <v>0.7012857450684058</v>
      </c>
      <c r="R71" s="293">
        <f>IF(C71&lt;Calibration!$F$5,L71,IF(C71&lt;Calibration!$E$5,C71*M71+N71,IF(C71&lt;K71,C71*O71+P71,Q71)))</f>
        <v>0.88486029038564995</v>
      </c>
      <c r="S71" s="286">
        <f t="shared" si="2"/>
        <v>15563.682021323189</v>
      </c>
      <c r="T71" s="293">
        <f>IF(E71="DHP",VLOOKUP(D71,Calibration!$C$20:$E$22,2,FALSE),IF(D71=1,Calibration!$D$17,Calibration!$D$18))</f>
        <v>0.85917762533929642</v>
      </c>
      <c r="U71" s="286">
        <f t="shared" si="3"/>
        <v>13371.96736061636</v>
      </c>
      <c r="V71" s="286">
        <f>VLOOKUP(T71,Calibration!$D$17:$E$22,2,FALSE)*S71</f>
        <v>1923.1716137779592</v>
      </c>
      <c r="W71" t="s">
        <v>794</v>
      </c>
      <c r="X71">
        <v>476.46530799999999</v>
      </c>
      <c r="Y71">
        <v>0</v>
      </c>
    </row>
    <row r="72" spans="1:25">
      <c r="A72" s="277" t="str">
        <f>SEEMoutput!A74</f>
        <v>NWHZ3CZ2_5000n_35hp85_des0</v>
      </c>
      <c r="B72" s="286">
        <f>SEEMoutput!O74</f>
        <v>17588.858026999998</v>
      </c>
      <c r="C72" s="287">
        <v>0.10052301293027149</v>
      </c>
      <c r="D72" s="277">
        <f>IF(SEEMoutput!G74&lt;6000,1,IF(SEEMoutput!G74&lt;7500,2,3))</f>
        <v>3</v>
      </c>
      <c r="E72" s="277" t="str">
        <f>IF(LEFT(SEEMoutput!BE74,1)="F","FUR",IF(LEFT(SEEMoutput!BE74,1)="D","DHP","HP"))</f>
        <v>HP</v>
      </c>
      <c r="F72" s="288">
        <f>SEEMoutput!E74</f>
        <v>769.49839299999996</v>
      </c>
      <c r="G72" s="289">
        <f>F72*(69-30)*SEEMoutput!N74/SEEMoutput!M74</f>
        <v>31065.35017348218</v>
      </c>
      <c r="H72" s="290">
        <f>'(Tons) (Furnsize)'!$F$52+'(Tons) (Furnsize)'!$F$53*'(Tons) (Furnsize)'!$B$15+'(Tons) (Furnsize)'!$F$54*G72</f>
        <v>3.7067435624897915</v>
      </c>
      <c r="I72" s="290">
        <f>H72/'(Tons) (Furnsize)'!$G$7</f>
        <v>3.072359803769372</v>
      </c>
      <c r="J72" s="291">
        <f>F72*(69-VLOOKUP(D72,'(Tons) (Furnsize)'!$D$15:$E$17,2,FALSE))/3412</f>
        <v>21.199545410902694</v>
      </c>
      <c r="K72" s="292">
        <f>INDEX(Calibration!$A$4:$L$13,MATCH($D72&amp;$E72,Calibration!$A$4:$A$13,0),MATCH(K$4,Calibration!$A$4:$L$4,0))</f>
        <v>0.15</v>
      </c>
      <c r="L72" s="292">
        <f>INDEX(Calibration!$A$4:$L$13,MATCH($D72&amp;$E72,Calibration!$A$4:$A$13,0),MATCH(L$4,Calibration!$A$4:$L$4,0))</f>
        <v>1.0259371368886356</v>
      </c>
      <c r="M72" s="292">
        <f>INDEX(Calibration!$A$4:$L$13,MATCH($D72&amp;$E72,Calibration!$A$4:$A$13,0),MATCH(M$4,Calibration!$A$4:$L$4,0))</f>
        <v>-1.8551508104013119</v>
      </c>
      <c r="N72" s="292">
        <f>INDEX(Calibration!$A$4:$L$13,MATCH($D72&amp;$E72,Calibration!$A$4:$A$13,0),MATCH(N$4,Calibration!$A$4:$L$4,0))</f>
        <v>1.1186946774087012</v>
      </c>
      <c r="O72" s="292">
        <f>INDEX(Calibration!$A$4:$L$13,MATCH($D72&amp;$E72,Calibration!$A$4:$A$13,0),MATCH(O$4,Calibration!$A$4:$L$4,0))</f>
        <v>-3.7103016208026238</v>
      </c>
      <c r="P72" s="292">
        <f>INDEX(Calibration!$A$4:$L$13,MATCH($D72&amp;$E72,Calibration!$A$4:$A$13,0),MATCH(P$4,Calibration!$A$4:$L$4,0))</f>
        <v>1.2578309881887995</v>
      </c>
      <c r="Q72" s="292">
        <f>INDEX(Calibration!$A$4:$L$13,MATCH($D72&amp;$E72,Calibration!$A$4:$A$13,0),MATCH(Q$4,Calibration!$A$4:$L$4,0))</f>
        <v>0.7012857450684058</v>
      </c>
      <c r="R72" s="293">
        <f>IF(C72&lt;Calibration!$F$5,L72,IF(C72&lt;Calibration!$E$5,C72*M72+N72,IF(C72&lt;K72,C72*O72+P72,Q72)))</f>
        <v>0.88486029038564995</v>
      </c>
      <c r="S72" s="286">
        <f t="shared" si="2"/>
        <v>15563.682021323189</v>
      </c>
      <c r="T72" s="293">
        <f>IF(E72="DHP",VLOOKUP(D72,Calibration!$C$20:$E$22,2,FALSE),IF(D72=1,Calibration!$D$17,Calibration!$D$18))</f>
        <v>0.85917762533929642</v>
      </c>
      <c r="U72" s="286">
        <f t="shared" si="3"/>
        <v>13371.96736061636</v>
      </c>
      <c r="V72" s="286">
        <f>VLOOKUP(T72,Calibration!$D$17:$E$22,2,FALSE)*S72</f>
        <v>1923.1716137779592</v>
      </c>
      <c r="W72" t="s">
        <v>797</v>
      </c>
      <c r="X72">
        <v>987.78206699999998</v>
      </c>
      <c r="Y72">
        <v>0</v>
      </c>
    </row>
    <row r="73" spans="1:25">
      <c r="A73" s="277" t="str">
        <f>SEEMoutput!A75</f>
        <v>NWHZ3CZ3_5000n_35hp85_des0</v>
      </c>
      <c r="B73" s="286">
        <f>SEEMoutput!O75</f>
        <v>17588.858026999998</v>
      </c>
      <c r="C73" s="287">
        <v>0.10052301293027149</v>
      </c>
      <c r="D73" s="277">
        <f>IF(SEEMoutput!G75&lt;6000,1,IF(SEEMoutput!G75&lt;7500,2,3))</f>
        <v>3</v>
      </c>
      <c r="E73" s="277" t="str">
        <f>IF(LEFT(SEEMoutput!BE75,1)="F","FUR",IF(LEFT(SEEMoutput!BE75,1)="D","DHP","HP"))</f>
        <v>HP</v>
      </c>
      <c r="F73" s="288">
        <f>SEEMoutput!E75</f>
        <v>769.49839299999996</v>
      </c>
      <c r="G73" s="289">
        <f>F73*(69-30)*SEEMoutput!N75/SEEMoutput!M75</f>
        <v>31065.35017348218</v>
      </c>
      <c r="H73" s="290">
        <f>'(Tons) (Furnsize)'!$F$52+'(Tons) (Furnsize)'!$F$53*'(Tons) (Furnsize)'!$B$15+'(Tons) (Furnsize)'!$F$54*G73</f>
        <v>3.7067435624897915</v>
      </c>
      <c r="I73" s="290">
        <f>H73/'(Tons) (Furnsize)'!$G$7</f>
        <v>3.072359803769372</v>
      </c>
      <c r="J73" s="291">
        <f>F73*(69-VLOOKUP(D73,'(Tons) (Furnsize)'!$D$15:$E$17,2,FALSE))/3412</f>
        <v>21.199545410902694</v>
      </c>
      <c r="K73" s="292">
        <f>INDEX(Calibration!$A$4:$L$13,MATCH($D73&amp;$E73,Calibration!$A$4:$A$13,0),MATCH(K$4,Calibration!$A$4:$L$4,0))</f>
        <v>0.15</v>
      </c>
      <c r="L73" s="292">
        <f>INDEX(Calibration!$A$4:$L$13,MATCH($D73&amp;$E73,Calibration!$A$4:$A$13,0),MATCH(L$4,Calibration!$A$4:$L$4,0))</f>
        <v>1.0259371368886356</v>
      </c>
      <c r="M73" s="292">
        <f>INDEX(Calibration!$A$4:$L$13,MATCH($D73&amp;$E73,Calibration!$A$4:$A$13,0),MATCH(M$4,Calibration!$A$4:$L$4,0))</f>
        <v>-1.8551508104013119</v>
      </c>
      <c r="N73" s="292">
        <f>INDEX(Calibration!$A$4:$L$13,MATCH($D73&amp;$E73,Calibration!$A$4:$A$13,0),MATCH(N$4,Calibration!$A$4:$L$4,0))</f>
        <v>1.1186946774087012</v>
      </c>
      <c r="O73" s="292">
        <f>INDEX(Calibration!$A$4:$L$13,MATCH($D73&amp;$E73,Calibration!$A$4:$A$13,0),MATCH(O$4,Calibration!$A$4:$L$4,0))</f>
        <v>-3.7103016208026238</v>
      </c>
      <c r="P73" s="292">
        <f>INDEX(Calibration!$A$4:$L$13,MATCH($D73&amp;$E73,Calibration!$A$4:$A$13,0),MATCH(P$4,Calibration!$A$4:$L$4,0))</f>
        <v>1.2578309881887995</v>
      </c>
      <c r="Q73" s="292">
        <f>INDEX(Calibration!$A$4:$L$13,MATCH($D73&amp;$E73,Calibration!$A$4:$A$13,0),MATCH(Q$4,Calibration!$A$4:$L$4,0))</f>
        <v>0.7012857450684058</v>
      </c>
      <c r="R73" s="293">
        <f>IF(C73&lt;Calibration!$F$5,L73,IF(C73&lt;Calibration!$E$5,C73*M73+N73,IF(C73&lt;K73,C73*O73+P73,Q73)))</f>
        <v>0.88486029038564995</v>
      </c>
      <c r="S73" s="286">
        <f t="shared" si="2"/>
        <v>15563.682021323189</v>
      </c>
      <c r="T73" s="293">
        <f>IF(E73="DHP",VLOOKUP(D73,Calibration!$C$20:$E$22,2,FALSE),IF(D73=1,Calibration!$D$17,Calibration!$D$18))</f>
        <v>0.85917762533929642</v>
      </c>
      <c r="U73" s="286">
        <f t="shared" si="3"/>
        <v>13371.96736061636</v>
      </c>
      <c r="V73" s="286">
        <f>VLOOKUP(T73,Calibration!$D$17:$E$22,2,FALSE)*S73</f>
        <v>1923.1716137779592</v>
      </c>
      <c r="W73" t="s">
        <v>800</v>
      </c>
      <c r="X73">
        <v>1692.414168</v>
      </c>
      <c r="Y73">
        <v>0</v>
      </c>
    </row>
    <row r="74" spans="1:25">
      <c r="A74" s="277" t="str">
        <f>SEEMoutput!A76</f>
        <v>WxHZ3CZ1_5000e_40hp85_des0</v>
      </c>
      <c r="B74" s="286">
        <f>SEEMoutput!O76</f>
        <v>18673.073844999999</v>
      </c>
      <c r="C74" s="287">
        <v>0.11092885747111549</v>
      </c>
      <c r="D74" s="277">
        <f>IF(SEEMoutput!G76&lt;6000,1,IF(SEEMoutput!G76&lt;7500,2,3))</f>
        <v>3</v>
      </c>
      <c r="E74" s="277" t="str">
        <f>IF(LEFT(SEEMoutput!BE76,1)="F","FUR",IF(LEFT(SEEMoutput!BE76,1)="D","DHP","HP"))</f>
        <v>HP</v>
      </c>
      <c r="F74" s="288">
        <f>SEEMoutput!E76</f>
        <v>831.96580400000005</v>
      </c>
      <c r="G74" s="289">
        <f>F74*(69-30)*SEEMoutput!N76/SEEMoutput!M76</f>
        <v>33610.979895017932</v>
      </c>
      <c r="H74" s="290">
        <f>'(Tons) (Furnsize)'!$F$52+'(Tons) (Furnsize)'!$F$53*'(Tons) (Furnsize)'!$B$15+'(Tons) (Furnsize)'!$F$54*G74</f>
        <v>4.0056269542555096</v>
      </c>
      <c r="I74" s="290">
        <f>H74/'(Tons) (Furnsize)'!$G$7</f>
        <v>3.3200913512569588</v>
      </c>
      <c r="J74" s="291">
        <f>F74*(69-VLOOKUP(D74,'(Tons) (Furnsize)'!$D$15:$E$17,2,FALSE))/3412</f>
        <v>22.920511599062138</v>
      </c>
      <c r="K74" s="292">
        <f>INDEX(Calibration!$A$4:$L$13,MATCH($D74&amp;$E74,Calibration!$A$4:$A$13,0),MATCH(K$4,Calibration!$A$4:$L$4,0))</f>
        <v>0.15</v>
      </c>
      <c r="L74" s="292">
        <f>INDEX(Calibration!$A$4:$L$13,MATCH($D74&amp;$E74,Calibration!$A$4:$A$13,0),MATCH(L$4,Calibration!$A$4:$L$4,0))</f>
        <v>1.0259371368886356</v>
      </c>
      <c r="M74" s="292">
        <f>INDEX(Calibration!$A$4:$L$13,MATCH($D74&amp;$E74,Calibration!$A$4:$A$13,0),MATCH(M$4,Calibration!$A$4:$L$4,0))</f>
        <v>-1.8551508104013119</v>
      </c>
      <c r="N74" s="292">
        <f>INDEX(Calibration!$A$4:$L$13,MATCH($D74&amp;$E74,Calibration!$A$4:$A$13,0),MATCH(N$4,Calibration!$A$4:$L$4,0))</f>
        <v>1.1186946774087012</v>
      </c>
      <c r="O74" s="292">
        <f>INDEX(Calibration!$A$4:$L$13,MATCH($D74&amp;$E74,Calibration!$A$4:$A$13,0),MATCH(O$4,Calibration!$A$4:$L$4,0))</f>
        <v>-3.7103016208026238</v>
      </c>
      <c r="P74" s="292">
        <f>INDEX(Calibration!$A$4:$L$13,MATCH($D74&amp;$E74,Calibration!$A$4:$A$13,0),MATCH(P$4,Calibration!$A$4:$L$4,0))</f>
        <v>1.2578309881887995</v>
      </c>
      <c r="Q74" s="292">
        <f>INDEX(Calibration!$A$4:$L$13,MATCH($D74&amp;$E74,Calibration!$A$4:$A$13,0),MATCH(Q$4,Calibration!$A$4:$L$4,0))</f>
        <v>0.7012857450684058</v>
      </c>
      <c r="R74" s="293">
        <f>IF(C74&lt;Calibration!$F$5,L74,IF(C74&lt;Calibration!$E$5,C74*M74+N74,IF(C74&lt;K74,C74*O74+P74,Q74)))</f>
        <v>0.84625146851993649</v>
      </c>
      <c r="S74" s="286">
        <f t="shared" si="2"/>
        <v>15802.116163112467</v>
      </c>
      <c r="T74" s="293">
        <f>IF(E74="DHP",VLOOKUP(D74,Calibration!$C$20:$E$22,2,FALSE),IF(D74=1,Calibration!$D$17,Calibration!$D$18))</f>
        <v>0.85917762533929642</v>
      </c>
      <c r="U74" s="286">
        <f t="shared" si="3"/>
        <v>13576.824640358684</v>
      </c>
      <c r="V74" s="286">
        <f>VLOOKUP(T74,Calibration!$D$17:$E$22,2,FALSE)*S74</f>
        <v>1952.6344216544248</v>
      </c>
      <c r="W74" t="s">
        <v>794</v>
      </c>
      <c r="X74">
        <v>488.71812499999999</v>
      </c>
      <c r="Y74">
        <v>0</v>
      </c>
    </row>
    <row r="75" spans="1:25">
      <c r="A75" s="277" t="str">
        <f>SEEMoutput!A77</f>
        <v>WxHZ3CZ2_5000e_40hp85_des0</v>
      </c>
      <c r="B75" s="286">
        <f>SEEMoutput!O77</f>
        <v>18673.073844999999</v>
      </c>
      <c r="C75" s="287">
        <v>0.11092885747111549</v>
      </c>
      <c r="D75" s="277">
        <f>IF(SEEMoutput!G77&lt;6000,1,IF(SEEMoutput!G77&lt;7500,2,3))</f>
        <v>3</v>
      </c>
      <c r="E75" s="277" t="str">
        <f>IF(LEFT(SEEMoutput!BE77,1)="F","FUR",IF(LEFT(SEEMoutput!BE77,1)="D","DHP","HP"))</f>
        <v>HP</v>
      </c>
      <c r="F75" s="288">
        <f>SEEMoutput!E77</f>
        <v>831.96580400000005</v>
      </c>
      <c r="G75" s="289">
        <f>F75*(69-30)*SEEMoutput!N77/SEEMoutput!M77</f>
        <v>33610.979895017932</v>
      </c>
      <c r="H75" s="290">
        <f>'(Tons) (Furnsize)'!$F$52+'(Tons) (Furnsize)'!$F$53*'(Tons) (Furnsize)'!$B$15+'(Tons) (Furnsize)'!$F$54*G75</f>
        <v>4.0056269542555096</v>
      </c>
      <c r="I75" s="290">
        <f>H75/'(Tons) (Furnsize)'!$G$7</f>
        <v>3.3200913512569588</v>
      </c>
      <c r="J75" s="291">
        <f>F75*(69-VLOOKUP(D75,'(Tons) (Furnsize)'!$D$15:$E$17,2,FALSE))/3412</f>
        <v>22.920511599062138</v>
      </c>
      <c r="K75" s="292">
        <f>INDEX(Calibration!$A$4:$L$13,MATCH($D75&amp;$E75,Calibration!$A$4:$A$13,0),MATCH(K$4,Calibration!$A$4:$L$4,0))</f>
        <v>0.15</v>
      </c>
      <c r="L75" s="292">
        <f>INDEX(Calibration!$A$4:$L$13,MATCH($D75&amp;$E75,Calibration!$A$4:$A$13,0),MATCH(L$4,Calibration!$A$4:$L$4,0))</f>
        <v>1.0259371368886356</v>
      </c>
      <c r="M75" s="292">
        <f>INDEX(Calibration!$A$4:$L$13,MATCH($D75&amp;$E75,Calibration!$A$4:$A$13,0),MATCH(M$4,Calibration!$A$4:$L$4,0))</f>
        <v>-1.8551508104013119</v>
      </c>
      <c r="N75" s="292">
        <f>INDEX(Calibration!$A$4:$L$13,MATCH($D75&amp;$E75,Calibration!$A$4:$A$13,0),MATCH(N$4,Calibration!$A$4:$L$4,0))</f>
        <v>1.1186946774087012</v>
      </c>
      <c r="O75" s="292">
        <f>INDEX(Calibration!$A$4:$L$13,MATCH($D75&amp;$E75,Calibration!$A$4:$A$13,0),MATCH(O$4,Calibration!$A$4:$L$4,0))</f>
        <v>-3.7103016208026238</v>
      </c>
      <c r="P75" s="292">
        <f>INDEX(Calibration!$A$4:$L$13,MATCH($D75&amp;$E75,Calibration!$A$4:$A$13,0),MATCH(P$4,Calibration!$A$4:$L$4,0))</f>
        <v>1.2578309881887995</v>
      </c>
      <c r="Q75" s="292">
        <f>INDEX(Calibration!$A$4:$L$13,MATCH($D75&amp;$E75,Calibration!$A$4:$A$13,0),MATCH(Q$4,Calibration!$A$4:$L$4,0))</f>
        <v>0.7012857450684058</v>
      </c>
      <c r="R75" s="293">
        <f>IF(C75&lt;Calibration!$F$5,L75,IF(C75&lt;Calibration!$E$5,C75*M75+N75,IF(C75&lt;K75,C75*O75+P75,Q75)))</f>
        <v>0.84625146851993649</v>
      </c>
      <c r="S75" s="286">
        <f t="shared" si="2"/>
        <v>15802.116163112467</v>
      </c>
      <c r="T75" s="293">
        <f>IF(E75="DHP",VLOOKUP(D75,Calibration!$C$20:$E$22,2,FALSE),IF(D75=1,Calibration!$D$17,Calibration!$D$18))</f>
        <v>0.85917762533929642</v>
      </c>
      <c r="U75" s="286">
        <f t="shared" si="3"/>
        <v>13576.824640358684</v>
      </c>
      <c r="V75" s="286">
        <f>VLOOKUP(T75,Calibration!$D$17:$E$22,2,FALSE)*S75</f>
        <v>1952.6344216544248</v>
      </c>
      <c r="W75" t="s">
        <v>797</v>
      </c>
      <c r="X75">
        <v>1026.353357</v>
      </c>
      <c r="Y75">
        <v>0</v>
      </c>
    </row>
    <row r="76" spans="1:25">
      <c r="A76" s="277" t="str">
        <f>SEEMoutput!A78</f>
        <v>WxHZ3CZ3_5000e_40hp85_des0</v>
      </c>
      <c r="B76" s="286">
        <f>SEEMoutput!O78</f>
        <v>18673.073844999999</v>
      </c>
      <c r="C76" s="287">
        <v>0.11092885747111549</v>
      </c>
      <c r="D76" s="277">
        <f>IF(SEEMoutput!G78&lt;6000,1,IF(SEEMoutput!G78&lt;7500,2,3))</f>
        <v>3</v>
      </c>
      <c r="E76" s="277" t="str">
        <f>IF(LEFT(SEEMoutput!BE78,1)="F","FUR",IF(LEFT(SEEMoutput!BE78,1)="D","DHP","HP"))</f>
        <v>HP</v>
      </c>
      <c r="F76" s="288">
        <f>SEEMoutput!E78</f>
        <v>831.96580400000005</v>
      </c>
      <c r="G76" s="289">
        <f>F76*(69-30)*SEEMoutput!N78/SEEMoutput!M78</f>
        <v>33610.979895017932</v>
      </c>
      <c r="H76" s="290">
        <f>'(Tons) (Furnsize)'!$F$52+'(Tons) (Furnsize)'!$F$53*'(Tons) (Furnsize)'!$B$15+'(Tons) (Furnsize)'!$F$54*G76</f>
        <v>4.0056269542555096</v>
      </c>
      <c r="I76" s="290">
        <f>H76/'(Tons) (Furnsize)'!$G$7</f>
        <v>3.3200913512569588</v>
      </c>
      <c r="J76" s="291">
        <f>F76*(69-VLOOKUP(D76,'(Tons) (Furnsize)'!$D$15:$E$17,2,FALSE))/3412</f>
        <v>22.920511599062138</v>
      </c>
      <c r="K76" s="292">
        <f>INDEX(Calibration!$A$4:$L$13,MATCH($D76&amp;$E76,Calibration!$A$4:$A$13,0),MATCH(K$4,Calibration!$A$4:$L$4,0))</f>
        <v>0.15</v>
      </c>
      <c r="L76" s="292">
        <f>INDEX(Calibration!$A$4:$L$13,MATCH($D76&amp;$E76,Calibration!$A$4:$A$13,0),MATCH(L$4,Calibration!$A$4:$L$4,0))</f>
        <v>1.0259371368886356</v>
      </c>
      <c r="M76" s="292">
        <f>INDEX(Calibration!$A$4:$L$13,MATCH($D76&amp;$E76,Calibration!$A$4:$A$13,0),MATCH(M$4,Calibration!$A$4:$L$4,0))</f>
        <v>-1.8551508104013119</v>
      </c>
      <c r="N76" s="292">
        <f>INDEX(Calibration!$A$4:$L$13,MATCH($D76&amp;$E76,Calibration!$A$4:$A$13,0),MATCH(N$4,Calibration!$A$4:$L$4,0))</f>
        <v>1.1186946774087012</v>
      </c>
      <c r="O76" s="292">
        <f>INDEX(Calibration!$A$4:$L$13,MATCH($D76&amp;$E76,Calibration!$A$4:$A$13,0),MATCH(O$4,Calibration!$A$4:$L$4,0))</f>
        <v>-3.7103016208026238</v>
      </c>
      <c r="P76" s="292">
        <f>INDEX(Calibration!$A$4:$L$13,MATCH($D76&amp;$E76,Calibration!$A$4:$A$13,0),MATCH(P$4,Calibration!$A$4:$L$4,0))</f>
        <v>1.2578309881887995</v>
      </c>
      <c r="Q76" s="292">
        <f>INDEX(Calibration!$A$4:$L$13,MATCH($D76&amp;$E76,Calibration!$A$4:$A$13,0),MATCH(Q$4,Calibration!$A$4:$L$4,0))</f>
        <v>0.7012857450684058</v>
      </c>
      <c r="R76" s="293">
        <f>IF(C76&lt;Calibration!$F$5,L76,IF(C76&lt;Calibration!$E$5,C76*M76+N76,IF(C76&lt;K76,C76*O76+P76,Q76)))</f>
        <v>0.84625146851993649</v>
      </c>
      <c r="S76" s="286">
        <f t="shared" si="2"/>
        <v>15802.116163112467</v>
      </c>
      <c r="T76" s="293">
        <f>IF(E76="DHP",VLOOKUP(D76,Calibration!$C$20:$E$22,2,FALSE),IF(D76=1,Calibration!$D$17,Calibration!$D$18))</f>
        <v>0.85917762533929642</v>
      </c>
      <c r="U76" s="286">
        <f t="shared" si="3"/>
        <v>13576.824640358684</v>
      </c>
      <c r="V76" s="286">
        <f>VLOOKUP(T76,Calibration!$D$17:$E$22,2,FALSE)*S76</f>
        <v>1952.6344216544248</v>
      </c>
      <c r="W76" t="s">
        <v>800</v>
      </c>
      <c r="X76">
        <v>1768.316364</v>
      </c>
      <c r="Y76">
        <v>0</v>
      </c>
    </row>
    <row r="77" spans="1:25">
      <c r="A77" s="277" t="str">
        <f>SEEMoutput!A79</f>
        <v>NWHZ1CZ1_1568n_20gshp_des0</v>
      </c>
      <c r="B77" s="286">
        <f>SEEMoutput!O79</f>
        <v>2225.1096010000001</v>
      </c>
      <c r="C77" s="287">
        <v>7.8235469927567747E-2</v>
      </c>
      <c r="D77" s="277">
        <f>IF(SEEMoutput!G79&lt;6000,1,IF(SEEMoutput!G79&lt;7500,2,3))</f>
        <v>1</v>
      </c>
      <c r="E77" s="277" t="str">
        <f>IF(LEFT(SEEMoutput!BE79,1)="F","FUR",IF(LEFT(SEEMoutput!BE79,1)="D","DHP","HP"))</f>
        <v>HP</v>
      </c>
      <c r="F77" s="288">
        <f>SEEMoutput!E79</f>
        <v>338.485769</v>
      </c>
      <c r="G77" s="289">
        <f>F77*(69-30)*SEEMoutput!N79/SEEMoutput!M79</f>
        <v>14700.576313213893</v>
      </c>
      <c r="H77" s="290">
        <f>'(Tons) (Furnsize)'!$F$52+'(Tons) (Furnsize)'!$F$53*'(Tons) (Furnsize)'!$B$15+'(Tons) (Furnsize)'!$F$54*G77</f>
        <v>1.7853489953784512</v>
      </c>
      <c r="I77" s="290">
        <f>H77/'(Tons) (Furnsize)'!$G$7</f>
        <v>1.4797987496648928</v>
      </c>
      <c r="J77" s="291">
        <f>F77*(69-VLOOKUP(D77,'(Tons) (Furnsize)'!$D$15:$E$17,2,FALSE))/3412</f>
        <v>5.1586342286049245</v>
      </c>
      <c r="K77" s="292">
        <f>INDEX(Calibration!$A$4:$L$13,MATCH($D77&amp;$E77,Calibration!$A$4:$A$13,0),MATCH(K$4,Calibration!$A$4:$L$4,0))</f>
        <v>0.2</v>
      </c>
      <c r="L77" s="292">
        <f>INDEX(Calibration!$A$4:$L$13,MATCH($D77&amp;$E77,Calibration!$A$4:$A$13,0),MATCH(L$4,Calibration!$A$4:$L$4,0))</f>
        <v>1.3869915874526988</v>
      </c>
      <c r="M77" s="292">
        <f>INDEX(Calibration!$A$4:$L$13,MATCH($D77&amp;$E77,Calibration!$A$4:$A$13,0),MATCH(M$4,Calibration!$A$4:$L$4,0))</f>
        <v>-2.2641144651923684</v>
      </c>
      <c r="N77" s="292">
        <f>INDEX(Calibration!$A$4:$L$13,MATCH($D77&amp;$E77,Calibration!$A$4:$A$13,0),MATCH(N$4,Calibration!$A$4:$L$4,0))</f>
        <v>1.5001973107123172</v>
      </c>
      <c r="O77" s="292">
        <f>INDEX(Calibration!$A$4:$L$13,MATCH($D77&amp;$E77,Calibration!$A$4:$A$13,0),MATCH(O$4,Calibration!$A$4:$L$4,0))</f>
        <v>-4.5282289303847367</v>
      </c>
      <c r="P77" s="292">
        <f>INDEX(Calibration!$A$4:$L$13,MATCH($D77&amp;$E77,Calibration!$A$4:$A$13,0),MATCH(P$4,Calibration!$A$4:$L$4,0))</f>
        <v>1.6700058956017449</v>
      </c>
      <c r="Q77" s="292">
        <f>INDEX(Calibration!$A$4:$L$13,MATCH($D77&amp;$E77,Calibration!$A$4:$A$13,0),MATCH(Q$4,Calibration!$A$4:$L$4,0))</f>
        <v>0.7643601095247976</v>
      </c>
      <c r="R77" s="293">
        <f>IF(C77&lt;Calibration!$F$5,L77,IF(C77&lt;Calibration!$E$5,C77*M77+N77,IF(C77&lt;K77,C77*O77+P77,Q77)))</f>
        <v>1.3157377772934877</v>
      </c>
      <c r="S77" s="286">
        <f t="shared" si="2"/>
        <v>2927.6607606541393</v>
      </c>
      <c r="T77" s="293">
        <f>IF(E77="DHP",VLOOKUP(D77,Calibration!$C$20:$E$22,2,FALSE),IF(D77=1,Calibration!$D$17,Calibration!$D$18))</f>
        <v>0.82813167326562143</v>
      </c>
      <c r="U77" s="286">
        <f t="shared" si="3"/>
        <v>2424.4886044746145</v>
      </c>
      <c r="V77" s="286">
        <f>VLOOKUP(T77,Calibration!$D$17:$E$22,2,FALSE)*S77</f>
        <v>457.60185604728048</v>
      </c>
      <c r="W77" t="s">
        <v>764</v>
      </c>
      <c r="X77">
        <v>290.60138899999998</v>
      </c>
      <c r="Y77">
        <v>0</v>
      </c>
    </row>
    <row r="78" spans="1:25">
      <c r="A78" s="277" t="str">
        <f>SEEMoutput!A80</f>
        <v>NWHZ1CZ2_1568n_20gshp_des0</v>
      </c>
      <c r="B78" s="286">
        <f>SEEMoutput!O80</f>
        <v>2225.1096010000001</v>
      </c>
      <c r="C78" s="287">
        <v>7.8235469927567747E-2</v>
      </c>
      <c r="D78" s="277">
        <f>IF(SEEMoutput!G80&lt;6000,1,IF(SEEMoutput!G80&lt;7500,2,3))</f>
        <v>1</v>
      </c>
      <c r="E78" s="277" t="str">
        <f>IF(LEFT(SEEMoutput!BE80,1)="F","FUR",IF(LEFT(SEEMoutput!BE80,1)="D","DHP","HP"))</f>
        <v>HP</v>
      </c>
      <c r="F78" s="288">
        <f>SEEMoutput!E80</f>
        <v>338.485769</v>
      </c>
      <c r="G78" s="289">
        <f>F78*(69-30)*SEEMoutput!N80/SEEMoutput!M80</f>
        <v>14700.576313213893</v>
      </c>
      <c r="H78" s="290">
        <f>'(Tons) (Furnsize)'!$F$52+'(Tons) (Furnsize)'!$F$53*'(Tons) (Furnsize)'!$B$15+'(Tons) (Furnsize)'!$F$54*G78</f>
        <v>1.7853489953784512</v>
      </c>
      <c r="I78" s="290">
        <f>H78/'(Tons) (Furnsize)'!$G$7</f>
        <v>1.4797987496648928</v>
      </c>
      <c r="J78" s="291">
        <f>F78*(69-VLOOKUP(D78,'(Tons) (Furnsize)'!$D$15:$E$17,2,FALSE))/3412</f>
        <v>5.1586342286049245</v>
      </c>
      <c r="K78" s="292">
        <f>INDEX(Calibration!$A$4:$L$13,MATCH($D78&amp;$E78,Calibration!$A$4:$A$13,0),MATCH(K$4,Calibration!$A$4:$L$4,0))</f>
        <v>0.2</v>
      </c>
      <c r="L78" s="292">
        <f>INDEX(Calibration!$A$4:$L$13,MATCH($D78&amp;$E78,Calibration!$A$4:$A$13,0),MATCH(L$4,Calibration!$A$4:$L$4,0))</f>
        <v>1.3869915874526988</v>
      </c>
      <c r="M78" s="292">
        <f>INDEX(Calibration!$A$4:$L$13,MATCH($D78&amp;$E78,Calibration!$A$4:$A$13,0),MATCH(M$4,Calibration!$A$4:$L$4,0))</f>
        <v>-2.2641144651923684</v>
      </c>
      <c r="N78" s="292">
        <f>INDEX(Calibration!$A$4:$L$13,MATCH($D78&amp;$E78,Calibration!$A$4:$A$13,0),MATCH(N$4,Calibration!$A$4:$L$4,0))</f>
        <v>1.5001973107123172</v>
      </c>
      <c r="O78" s="292">
        <f>INDEX(Calibration!$A$4:$L$13,MATCH($D78&amp;$E78,Calibration!$A$4:$A$13,0),MATCH(O$4,Calibration!$A$4:$L$4,0))</f>
        <v>-4.5282289303847367</v>
      </c>
      <c r="P78" s="292">
        <f>INDEX(Calibration!$A$4:$L$13,MATCH($D78&amp;$E78,Calibration!$A$4:$A$13,0),MATCH(P$4,Calibration!$A$4:$L$4,0))</f>
        <v>1.6700058956017449</v>
      </c>
      <c r="Q78" s="292">
        <f>INDEX(Calibration!$A$4:$L$13,MATCH($D78&amp;$E78,Calibration!$A$4:$A$13,0),MATCH(Q$4,Calibration!$A$4:$L$4,0))</f>
        <v>0.7643601095247976</v>
      </c>
      <c r="R78" s="293">
        <f>IF(C78&lt;Calibration!$F$5,L78,IF(C78&lt;Calibration!$E$5,C78*M78+N78,IF(C78&lt;K78,C78*O78+P78,Q78)))</f>
        <v>1.3157377772934877</v>
      </c>
      <c r="S78" s="286">
        <f t="shared" si="2"/>
        <v>2927.6607606541393</v>
      </c>
      <c r="T78" s="293">
        <f>IF(E78="DHP",VLOOKUP(D78,Calibration!$C$20:$E$22,2,FALSE),IF(D78=1,Calibration!$D$17,Calibration!$D$18))</f>
        <v>0.82813167326562143</v>
      </c>
      <c r="U78" s="286">
        <f t="shared" si="3"/>
        <v>2424.4886044746145</v>
      </c>
      <c r="V78" s="286">
        <f>VLOOKUP(T78,Calibration!$D$17:$E$22,2,FALSE)*S78</f>
        <v>457.60185604728048</v>
      </c>
      <c r="W78" t="s">
        <v>767</v>
      </c>
      <c r="X78">
        <v>495.07978000000003</v>
      </c>
      <c r="Y78">
        <v>0</v>
      </c>
    </row>
    <row r="79" spans="1:25">
      <c r="A79" s="277" t="str">
        <f>SEEMoutput!A81</f>
        <v>NWHZ1CZ3_1568n_20gshp_des0</v>
      </c>
      <c r="B79" s="286">
        <f>SEEMoutput!O81</f>
        <v>2225.1096010000001</v>
      </c>
      <c r="C79" s="287">
        <v>7.8235469927567747E-2</v>
      </c>
      <c r="D79" s="277">
        <f>IF(SEEMoutput!G81&lt;6000,1,IF(SEEMoutput!G81&lt;7500,2,3))</f>
        <v>1</v>
      </c>
      <c r="E79" s="277" t="str">
        <f>IF(LEFT(SEEMoutput!BE81,1)="F","FUR",IF(LEFT(SEEMoutput!BE81,1)="D","DHP","HP"))</f>
        <v>HP</v>
      </c>
      <c r="F79" s="288">
        <f>SEEMoutput!E81</f>
        <v>338.485769</v>
      </c>
      <c r="G79" s="289">
        <f>F79*(69-30)*SEEMoutput!N81/SEEMoutput!M81</f>
        <v>14700.576313213893</v>
      </c>
      <c r="H79" s="290">
        <f>'(Tons) (Furnsize)'!$F$52+'(Tons) (Furnsize)'!$F$53*'(Tons) (Furnsize)'!$B$15+'(Tons) (Furnsize)'!$F$54*G79</f>
        <v>1.7853489953784512</v>
      </c>
      <c r="I79" s="290">
        <f>H79/'(Tons) (Furnsize)'!$G$7</f>
        <v>1.4797987496648928</v>
      </c>
      <c r="J79" s="291">
        <f>F79*(69-VLOOKUP(D79,'(Tons) (Furnsize)'!$D$15:$E$17,2,FALSE))/3412</f>
        <v>5.1586342286049245</v>
      </c>
      <c r="K79" s="292">
        <f>INDEX(Calibration!$A$4:$L$13,MATCH($D79&amp;$E79,Calibration!$A$4:$A$13,0),MATCH(K$4,Calibration!$A$4:$L$4,0))</f>
        <v>0.2</v>
      </c>
      <c r="L79" s="292">
        <f>INDEX(Calibration!$A$4:$L$13,MATCH($D79&amp;$E79,Calibration!$A$4:$A$13,0),MATCH(L$4,Calibration!$A$4:$L$4,0))</f>
        <v>1.3869915874526988</v>
      </c>
      <c r="M79" s="292">
        <f>INDEX(Calibration!$A$4:$L$13,MATCH($D79&amp;$E79,Calibration!$A$4:$A$13,0),MATCH(M$4,Calibration!$A$4:$L$4,0))</f>
        <v>-2.2641144651923684</v>
      </c>
      <c r="N79" s="292">
        <f>INDEX(Calibration!$A$4:$L$13,MATCH($D79&amp;$E79,Calibration!$A$4:$A$13,0),MATCH(N$4,Calibration!$A$4:$L$4,0))</f>
        <v>1.5001973107123172</v>
      </c>
      <c r="O79" s="292">
        <f>INDEX(Calibration!$A$4:$L$13,MATCH($D79&amp;$E79,Calibration!$A$4:$A$13,0),MATCH(O$4,Calibration!$A$4:$L$4,0))</f>
        <v>-4.5282289303847367</v>
      </c>
      <c r="P79" s="292">
        <f>INDEX(Calibration!$A$4:$L$13,MATCH($D79&amp;$E79,Calibration!$A$4:$A$13,0),MATCH(P$4,Calibration!$A$4:$L$4,0))</f>
        <v>1.6700058956017449</v>
      </c>
      <c r="Q79" s="292">
        <f>INDEX(Calibration!$A$4:$L$13,MATCH($D79&amp;$E79,Calibration!$A$4:$A$13,0),MATCH(Q$4,Calibration!$A$4:$L$4,0))</f>
        <v>0.7643601095247976</v>
      </c>
      <c r="R79" s="293">
        <f>IF(C79&lt;Calibration!$F$5,L79,IF(C79&lt;Calibration!$E$5,C79*M79+N79,IF(C79&lt;K79,C79*O79+P79,Q79)))</f>
        <v>1.3157377772934877</v>
      </c>
      <c r="S79" s="286">
        <f t="shared" si="2"/>
        <v>2927.6607606541393</v>
      </c>
      <c r="T79" s="293">
        <f>IF(E79="DHP",VLOOKUP(D79,Calibration!$C$20:$E$22,2,FALSE),IF(D79=1,Calibration!$D$17,Calibration!$D$18))</f>
        <v>0.82813167326562143</v>
      </c>
      <c r="U79" s="286">
        <f t="shared" si="3"/>
        <v>2424.4886044746145</v>
      </c>
      <c r="V79" s="286">
        <f>VLOOKUP(T79,Calibration!$D$17:$E$22,2,FALSE)*S79</f>
        <v>457.60185604728048</v>
      </c>
      <c r="W79" t="s">
        <v>770</v>
      </c>
      <c r="X79">
        <v>735.715868</v>
      </c>
      <c r="Y79">
        <v>0</v>
      </c>
    </row>
    <row r="80" spans="1:25">
      <c r="A80" s="277" t="str">
        <f>SEEMoutput!A82</f>
        <v>WxHZ1CZ1_1568e_20gshp_des0</v>
      </c>
      <c r="B80" s="286">
        <f>SEEMoutput!O82</f>
        <v>2579.9654310000001</v>
      </c>
      <c r="C80" s="287">
        <v>8.841760429836143E-2</v>
      </c>
      <c r="D80" s="277">
        <f>IF(SEEMoutput!G82&lt;6000,1,IF(SEEMoutput!G82&lt;7500,2,3))</f>
        <v>1</v>
      </c>
      <c r="E80" s="277" t="str">
        <f>IF(LEFT(SEEMoutput!BE82,1)="F","FUR",IF(LEFT(SEEMoutput!BE82,1)="D","DHP","HP"))</f>
        <v>HP</v>
      </c>
      <c r="F80" s="288">
        <f>SEEMoutput!E82</f>
        <v>377.46163300000001</v>
      </c>
      <c r="G80" s="289">
        <f>F80*(69-30)*SEEMoutput!N82/SEEMoutput!M82</f>
        <v>16370.583693011176</v>
      </c>
      <c r="H80" s="290">
        <f>'(Tons) (Furnsize)'!$F$52+'(Tons) (Furnsize)'!$F$53*'(Tons) (Furnsize)'!$B$15+'(Tons) (Furnsize)'!$F$54*G80</f>
        <v>1.9814252219109054</v>
      </c>
      <c r="I80" s="290">
        <f>H80/'(Tons) (Furnsize)'!$G$7</f>
        <v>1.6423178737200921</v>
      </c>
      <c r="J80" s="291">
        <f>F80*(69-VLOOKUP(D80,'(Tons) (Furnsize)'!$D$15:$E$17,2,FALSE))/3412</f>
        <v>5.7526391899179368</v>
      </c>
      <c r="K80" s="292">
        <f>INDEX(Calibration!$A$4:$L$13,MATCH($D80&amp;$E80,Calibration!$A$4:$A$13,0),MATCH(K$4,Calibration!$A$4:$L$4,0))</f>
        <v>0.2</v>
      </c>
      <c r="L80" s="292">
        <f>INDEX(Calibration!$A$4:$L$13,MATCH($D80&amp;$E80,Calibration!$A$4:$A$13,0),MATCH(L$4,Calibration!$A$4:$L$4,0))</f>
        <v>1.3869915874526988</v>
      </c>
      <c r="M80" s="292">
        <f>INDEX(Calibration!$A$4:$L$13,MATCH($D80&amp;$E80,Calibration!$A$4:$A$13,0),MATCH(M$4,Calibration!$A$4:$L$4,0))</f>
        <v>-2.2641144651923684</v>
      </c>
      <c r="N80" s="292">
        <f>INDEX(Calibration!$A$4:$L$13,MATCH($D80&amp;$E80,Calibration!$A$4:$A$13,0),MATCH(N$4,Calibration!$A$4:$L$4,0))</f>
        <v>1.5001973107123172</v>
      </c>
      <c r="O80" s="292">
        <f>INDEX(Calibration!$A$4:$L$13,MATCH($D80&amp;$E80,Calibration!$A$4:$A$13,0),MATCH(O$4,Calibration!$A$4:$L$4,0))</f>
        <v>-4.5282289303847367</v>
      </c>
      <c r="P80" s="292">
        <f>INDEX(Calibration!$A$4:$L$13,MATCH($D80&amp;$E80,Calibration!$A$4:$A$13,0),MATCH(P$4,Calibration!$A$4:$L$4,0))</f>
        <v>1.6700058956017449</v>
      </c>
      <c r="Q80" s="292">
        <f>INDEX(Calibration!$A$4:$L$13,MATCH($D80&amp;$E80,Calibration!$A$4:$A$13,0),MATCH(Q$4,Calibration!$A$4:$L$4,0))</f>
        <v>0.7643601095247976</v>
      </c>
      <c r="R80" s="293">
        <f>IF(C80&lt;Calibration!$F$5,L80,IF(C80&lt;Calibration!$E$5,C80*M80+N80,IF(C80&lt;K80,C80*O80+P80,Q80)))</f>
        <v>1.2696307418625949</v>
      </c>
      <c r="S80" s="286">
        <f t="shared" si="2"/>
        <v>3275.6034241403795</v>
      </c>
      <c r="T80" s="293">
        <f>IF(E80="DHP",VLOOKUP(D80,Calibration!$C$20:$E$22,2,FALSE),IF(D80=1,Calibration!$D$17,Calibration!$D$18))</f>
        <v>0.82813167326562143</v>
      </c>
      <c r="U80" s="286">
        <f t="shared" si="3"/>
        <v>2712.6309445879715</v>
      </c>
      <c r="V80" s="286">
        <f>VLOOKUP(T80,Calibration!$D$17:$E$22,2,FALSE)*S80</f>
        <v>511.98630206955897</v>
      </c>
      <c r="W80" t="s">
        <v>764</v>
      </c>
      <c r="X80">
        <v>266.85212000000001</v>
      </c>
      <c r="Y80">
        <v>0</v>
      </c>
    </row>
    <row r="81" spans="1:25">
      <c r="A81" s="277" t="str">
        <f>SEEMoutput!A83</f>
        <v>WxHZ1CZ2_1568e_20gshp_des0</v>
      </c>
      <c r="B81" s="286">
        <f>SEEMoutput!O83</f>
        <v>2579.9654310000001</v>
      </c>
      <c r="C81" s="287">
        <v>8.841760429836143E-2</v>
      </c>
      <c r="D81" s="277">
        <f>IF(SEEMoutput!G83&lt;6000,1,IF(SEEMoutput!G83&lt;7500,2,3))</f>
        <v>1</v>
      </c>
      <c r="E81" s="277" t="str">
        <f>IF(LEFT(SEEMoutput!BE83,1)="F","FUR",IF(LEFT(SEEMoutput!BE83,1)="D","DHP","HP"))</f>
        <v>HP</v>
      </c>
      <c r="F81" s="288">
        <f>SEEMoutput!E83</f>
        <v>377.46163300000001</v>
      </c>
      <c r="G81" s="289">
        <f>F81*(69-30)*SEEMoutput!N83/SEEMoutput!M83</f>
        <v>16370.583693011176</v>
      </c>
      <c r="H81" s="290">
        <f>'(Tons) (Furnsize)'!$F$52+'(Tons) (Furnsize)'!$F$53*'(Tons) (Furnsize)'!$B$15+'(Tons) (Furnsize)'!$F$54*G81</f>
        <v>1.9814252219109054</v>
      </c>
      <c r="I81" s="290">
        <f>H81/'(Tons) (Furnsize)'!$G$7</f>
        <v>1.6423178737200921</v>
      </c>
      <c r="J81" s="291">
        <f>F81*(69-VLOOKUP(D81,'(Tons) (Furnsize)'!$D$15:$E$17,2,FALSE))/3412</f>
        <v>5.7526391899179368</v>
      </c>
      <c r="K81" s="292">
        <f>INDEX(Calibration!$A$4:$L$13,MATCH($D81&amp;$E81,Calibration!$A$4:$A$13,0),MATCH(K$4,Calibration!$A$4:$L$4,0))</f>
        <v>0.2</v>
      </c>
      <c r="L81" s="292">
        <f>INDEX(Calibration!$A$4:$L$13,MATCH($D81&amp;$E81,Calibration!$A$4:$A$13,0),MATCH(L$4,Calibration!$A$4:$L$4,0))</f>
        <v>1.3869915874526988</v>
      </c>
      <c r="M81" s="292">
        <f>INDEX(Calibration!$A$4:$L$13,MATCH($D81&amp;$E81,Calibration!$A$4:$A$13,0),MATCH(M$4,Calibration!$A$4:$L$4,0))</f>
        <v>-2.2641144651923684</v>
      </c>
      <c r="N81" s="292">
        <f>INDEX(Calibration!$A$4:$L$13,MATCH($D81&amp;$E81,Calibration!$A$4:$A$13,0),MATCH(N$4,Calibration!$A$4:$L$4,0))</f>
        <v>1.5001973107123172</v>
      </c>
      <c r="O81" s="292">
        <f>INDEX(Calibration!$A$4:$L$13,MATCH($D81&amp;$E81,Calibration!$A$4:$A$13,0),MATCH(O$4,Calibration!$A$4:$L$4,0))</f>
        <v>-4.5282289303847367</v>
      </c>
      <c r="P81" s="292">
        <f>INDEX(Calibration!$A$4:$L$13,MATCH($D81&amp;$E81,Calibration!$A$4:$A$13,0),MATCH(P$4,Calibration!$A$4:$L$4,0))</f>
        <v>1.6700058956017449</v>
      </c>
      <c r="Q81" s="292">
        <f>INDEX(Calibration!$A$4:$L$13,MATCH($D81&amp;$E81,Calibration!$A$4:$A$13,0),MATCH(Q$4,Calibration!$A$4:$L$4,0))</f>
        <v>0.7643601095247976</v>
      </c>
      <c r="R81" s="293">
        <f>IF(C81&lt;Calibration!$F$5,L81,IF(C81&lt;Calibration!$E$5,C81*M81+N81,IF(C81&lt;K81,C81*O81+P81,Q81)))</f>
        <v>1.2696307418625949</v>
      </c>
      <c r="S81" s="286">
        <f t="shared" si="2"/>
        <v>3275.6034241403795</v>
      </c>
      <c r="T81" s="293">
        <f>IF(E81="DHP",VLOOKUP(D81,Calibration!$C$20:$E$22,2,FALSE),IF(D81=1,Calibration!$D$17,Calibration!$D$18))</f>
        <v>0.82813167326562143</v>
      </c>
      <c r="U81" s="286">
        <f t="shared" si="3"/>
        <v>2712.6309445879715</v>
      </c>
      <c r="V81" s="286">
        <f>VLOOKUP(T81,Calibration!$D$17:$E$22,2,FALSE)*S81</f>
        <v>511.98630206955897</v>
      </c>
      <c r="W81" t="s">
        <v>767</v>
      </c>
      <c r="X81">
        <v>478.57834500000001</v>
      </c>
      <c r="Y81">
        <v>0</v>
      </c>
    </row>
    <row r="82" spans="1:25">
      <c r="A82" s="277" t="str">
        <f>SEEMoutput!A84</f>
        <v>WxHZ1CZ3_1568e_20gshp_des0</v>
      </c>
      <c r="B82" s="286">
        <f>SEEMoutput!O84</f>
        <v>2579.9654310000001</v>
      </c>
      <c r="C82" s="287">
        <v>8.841760429836143E-2</v>
      </c>
      <c r="D82" s="277">
        <f>IF(SEEMoutput!G84&lt;6000,1,IF(SEEMoutput!G84&lt;7500,2,3))</f>
        <v>1</v>
      </c>
      <c r="E82" s="277" t="str">
        <f>IF(LEFT(SEEMoutput!BE84,1)="F","FUR",IF(LEFT(SEEMoutput!BE84,1)="D","DHP","HP"))</f>
        <v>HP</v>
      </c>
      <c r="F82" s="288">
        <f>SEEMoutput!E84</f>
        <v>377.46163300000001</v>
      </c>
      <c r="G82" s="289">
        <f>F82*(69-30)*SEEMoutput!N84/SEEMoutput!M84</f>
        <v>16370.583693011176</v>
      </c>
      <c r="H82" s="290">
        <f>'(Tons) (Furnsize)'!$F$52+'(Tons) (Furnsize)'!$F$53*'(Tons) (Furnsize)'!$B$15+'(Tons) (Furnsize)'!$F$54*G82</f>
        <v>1.9814252219109054</v>
      </c>
      <c r="I82" s="290">
        <f>H82/'(Tons) (Furnsize)'!$G$7</f>
        <v>1.6423178737200921</v>
      </c>
      <c r="J82" s="291">
        <f>F82*(69-VLOOKUP(D82,'(Tons) (Furnsize)'!$D$15:$E$17,2,FALSE))/3412</f>
        <v>5.7526391899179368</v>
      </c>
      <c r="K82" s="292">
        <f>INDEX(Calibration!$A$4:$L$13,MATCH($D82&amp;$E82,Calibration!$A$4:$A$13,0),MATCH(K$4,Calibration!$A$4:$L$4,0))</f>
        <v>0.2</v>
      </c>
      <c r="L82" s="292">
        <f>INDEX(Calibration!$A$4:$L$13,MATCH($D82&amp;$E82,Calibration!$A$4:$A$13,0),MATCH(L$4,Calibration!$A$4:$L$4,0))</f>
        <v>1.3869915874526988</v>
      </c>
      <c r="M82" s="292">
        <f>INDEX(Calibration!$A$4:$L$13,MATCH($D82&amp;$E82,Calibration!$A$4:$A$13,0),MATCH(M$4,Calibration!$A$4:$L$4,0))</f>
        <v>-2.2641144651923684</v>
      </c>
      <c r="N82" s="292">
        <f>INDEX(Calibration!$A$4:$L$13,MATCH($D82&amp;$E82,Calibration!$A$4:$A$13,0),MATCH(N$4,Calibration!$A$4:$L$4,0))</f>
        <v>1.5001973107123172</v>
      </c>
      <c r="O82" s="292">
        <f>INDEX(Calibration!$A$4:$L$13,MATCH($D82&amp;$E82,Calibration!$A$4:$A$13,0),MATCH(O$4,Calibration!$A$4:$L$4,0))</f>
        <v>-4.5282289303847367</v>
      </c>
      <c r="P82" s="292">
        <f>INDEX(Calibration!$A$4:$L$13,MATCH($D82&amp;$E82,Calibration!$A$4:$A$13,0),MATCH(P$4,Calibration!$A$4:$L$4,0))</f>
        <v>1.6700058956017449</v>
      </c>
      <c r="Q82" s="292">
        <f>INDEX(Calibration!$A$4:$L$13,MATCH($D82&amp;$E82,Calibration!$A$4:$A$13,0),MATCH(Q$4,Calibration!$A$4:$L$4,0))</f>
        <v>0.7643601095247976</v>
      </c>
      <c r="R82" s="293">
        <f>IF(C82&lt;Calibration!$F$5,L82,IF(C82&lt;Calibration!$E$5,C82*M82+N82,IF(C82&lt;K82,C82*O82+P82,Q82)))</f>
        <v>1.2696307418625949</v>
      </c>
      <c r="S82" s="286">
        <f t="shared" si="2"/>
        <v>3275.6034241403795</v>
      </c>
      <c r="T82" s="293">
        <f>IF(E82="DHP",VLOOKUP(D82,Calibration!$C$20:$E$22,2,FALSE),IF(D82=1,Calibration!$D$17,Calibration!$D$18))</f>
        <v>0.82813167326562143</v>
      </c>
      <c r="U82" s="286">
        <f t="shared" si="3"/>
        <v>2712.6309445879715</v>
      </c>
      <c r="V82" s="286">
        <f>VLOOKUP(T82,Calibration!$D$17:$E$22,2,FALSE)*S82</f>
        <v>511.98630206955897</v>
      </c>
      <c r="W82" t="s">
        <v>770</v>
      </c>
      <c r="X82">
        <v>730.34534399999995</v>
      </c>
      <c r="Y82">
        <v>0</v>
      </c>
    </row>
    <row r="83" spans="1:25">
      <c r="A83" s="277" t="str">
        <f>SEEMoutput!A85</f>
        <v>NWHZ2CZ1_1568n_20gshp_des0</v>
      </c>
      <c r="B83" s="286">
        <f>SEEMoutput!O85</f>
        <v>3269.3974010000002</v>
      </c>
      <c r="C83" s="287">
        <v>7.9558526782529587E-2</v>
      </c>
      <c r="D83" s="277">
        <f>IF(SEEMoutput!G85&lt;6000,1,IF(SEEMoutput!G85&lt;7500,2,3))</f>
        <v>2</v>
      </c>
      <c r="E83" s="277" t="str">
        <f>IF(LEFT(SEEMoutput!BE85,1)="F","FUR",IF(LEFT(SEEMoutput!BE85,1)="D","DHP","HP"))</f>
        <v>HP</v>
      </c>
      <c r="F83" s="288">
        <f>SEEMoutput!E85</f>
        <v>340.89578</v>
      </c>
      <c r="G83" s="289">
        <f>F83*(69-30)*SEEMoutput!N85/SEEMoutput!M85</f>
        <v>14915.485574769767</v>
      </c>
      <c r="H83" s="290">
        <f>'(Tons) (Furnsize)'!$F$52+'(Tons) (Furnsize)'!$F$53*'(Tons) (Furnsize)'!$B$15+'(Tons) (Furnsize)'!$F$54*G83</f>
        <v>1.810581576720617</v>
      </c>
      <c r="I83" s="290">
        <f>H83/'(Tons) (Furnsize)'!$G$7</f>
        <v>1.50071294762709</v>
      </c>
      <c r="J83" s="291">
        <f>F83*(69-VLOOKUP(D83,'(Tons) (Furnsize)'!$D$15:$E$17,2,FALSE))/3412</f>
        <v>6.8938478370457208</v>
      </c>
      <c r="K83" s="292">
        <f>INDEX(Calibration!$A$4:$L$13,MATCH($D83&amp;$E83,Calibration!$A$4:$A$13,0),MATCH(K$4,Calibration!$A$4:$L$4,0))</f>
        <v>0.17499999999999999</v>
      </c>
      <c r="L83" s="292">
        <f>INDEX(Calibration!$A$4:$L$13,MATCH($D83&amp;$E83,Calibration!$A$4:$A$13,0),MATCH(L$4,Calibration!$A$4:$L$4,0))</f>
        <v>1.1965160377936901</v>
      </c>
      <c r="M83" s="292">
        <f>INDEX(Calibration!$A$4:$L$13,MATCH($D83&amp;$E83,Calibration!$A$4:$A$13,0),MATCH(M$4,Calibration!$A$4:$L$4,0))</f>
        <v>-2.050167690250368</v>
      </c>
      <c r="N83" s="292">
        <f>INDEX(Calibration!$A$4:$L$13,MATCH($D83&amp;$E83,Calibration!$A$4:$A$13,0),MATCH(N$4,Calibration!$A$4:$L$4,0))</f>
        <v>1.2990244223062084</v>
      </c>
      <c r="O83" s="292">
        <f>INDEX(Calibration!$A$4:$L$13,MATCH($D83&amp;$E83,Calibration!$A$4:$A$13,0),MATCH(O$4,Calibration!$A$4:$L$4,0))</f>
        <v>-4.1003353805007361</v>
      </c>
      <c r="P83" s="292">
        <f>INDEX(Calibration!$A$4:$L$13,MATCH($D83&amp;$E83,Calibration!$A$4:$A$13,0),MATCH(P$4,Calibration!$A$4:$L$4,0))</f>
        <v>1.452786999074986</v>
      </c>
      <c r="Q83" s="292">
        <f>INDEX(Calibration!$A$4:$L$13,MATCH($D83&amp;$E83,Calibration!$A$4:$A$13,0),MATCH(Q$4,Calibration!$A$4:$L$4,0))</f>
        <v>0.73522830748735724</v>
      </c>
      <c r="R83" s="293">
        <f>IF(C83&lt;Calibration!$F$5,L83,IF(C83&lt;Calibration!$E$5,C83*M83+N83,IF(C83&lt;K83,C83*O83+P83,Q83)))</f>
        <v>1.1265703568880645</v>
      </c>
      <c r="S83" s="286">
        <f t="shared" si="2"/>
        <v>3683.2061968534808</v>
      </c>
      <c r="T83" s="293">
        <f>IF(E83="DHP",VLOOKUP(D83,Calibration!$C$20:$E$22,2,FALSE),IF(D83=1,Calibration!$D$17,Calibration!$D$18))</f>
        <v>0.85917762533929642</v>
      </c>
      <c r="U83" s="286">
        <f t="shared" si="3"/>
        <v>3164.5283538475546</v>
      </c>
      <c r="V83" s="286">
        <f>VLOOKUP(T83,Calibration!$D$17:$E$22,2,FALSE)*S83</f>
        <v>455.12608107611993</v>
      </c>
      <c r="W83" t="s">
        <v>779</v>
      </c>
      <c r="X83">
        <v>290.60138899999998</v>
      </c>
      <c r="Y83">
        <v>0</v>
      </c>
    </row>
    <row r="84" spans="1:25">
      <c r="A84" s="277" t="str">
        <f>SEEMoutput!A86</f>
        <v>NWHZ2CZ2_1568n_20gshp_des0</v>
      </c>
      <c r="B84" s="286">
        <f>SEEMoutput!O86</f>
        <v>3269.3974010000002</v>
      </c>
      <c r="C84" s="287">
        <v>7.9558526782529587E-2</v>
      </c>
      <c r="D84" s="277">
        <f>IF(SEEMoutput!G86&lt;6000,1,IF(SEEMoutput!G86&lt;7500,2,3))</f>
        <v>2</v>
      </c>
      <c r="E84" s="277" t="str">
        <f>IF(LEFT(SEEMoutput!BE86,1)="F","FUR",IF(LEFT(SEEMoutput!BE86,1)="D","DHP","HP"))</f>
        <v>HP</v>
      </c>
      <c r="F84" s="288">
        <f>SEEMoutput!E86</f>
        <v>340.89578</v>
      </c>
      <c r="G84" s="289">
        <f>F84*(69-30)*SEEMoutput!N86/SEEMoutput!M86</f>
        <v>14915.485574769767</v>
      </c>
      <c r="H84" s="290">
        <f>'(Tons) (Furnsize)'!$F$52+'(Tons) (Furnsize)'!$F$53*'(Tons) (Furnsize)'!$B$15+'(Tons) (Furnsize)'!$F$54*G84</f>
        <v>1.810581576720617</v>
      </c>
      <c r="I84" s="290">
        <f>H84/'(Tons) (Furnsize)'!$G$7</f>
        <v>1.50071294762709</v>
      </c>
      <c r="J84" s="291">
        <f>F84*(69-VLOOKUP(D84,'(Tons) (Furnsize)'!$D$15:$E$17,2,FALSE))/3412</f>
        <v>6.8938478370457208</v>
      </c>
      <c r="K84" s="292">
        <f>INDEX(Calibration!$A$4:$L$13,MATCH($D84&amp;$E84,Calibration!$A$4:$A$13,0),MATCH(K$4,Calibration!$A$4:$L$4,0))</f>
        <v>0.17499999999999999</v>
      </c>
      <c r="L84" s="292">
        <f>INDEX(Calibration!$A$4:$L$13,MATCH($D84&amp;$E84,Calibration!$A$4:$A$13,0),MATCH(L$4,Calibration!$A$4:$L$4,0))</f>
        <v>1.1965160377936901</v>
      </c>
      <c r="M84" s="292">
        <f>INDEX(Calibration!$A$4:$L$13,MATCH($D84&amp;$E84,Calibration!$A$4:$A$13,0),MATCH(M$4,Calibration!$A$4:$L$4,0))</f>
        <v>-2.050167690250368</v>
      </c>
      <c r="N84" s="292">
        <f>INDEX(Calibration!$A$4:$L$13,MATCH($D84&amp;$E84,Calibration!$A$4:$A$13,0),MATCH(N$4,Calibration!$A$4:$L$4,0))</f>
        <v>1.2990244223062084</v>
      </c>
      <c r="O84" s="292">
        <f>INDEX(Calibration!$A$4:$L$13,MATCH($D84&amp;$E84,Calibration!$A$4:$A$13,0),MATCH(O$4,Calibration!$A$4:$L$4,0))</f>
        <v>-4.1003353805007361</v>
      </c>
      <c r="P84" s="292">
        <f>INDEX(Calibration!$A$4:$L$13,MATCH($D84&amp;$E84,Calibration!$A$4:$A$13,0),MATCH(P$4,Calibration!$A$4:$L$4,0))</f>
        <v>1.452786999074986</v>
      </c>
      <c r="Q84" s="292">
        <f>INDEX(Calibration!$A$4:$L$13,MATCH($D84&amp;$E84,Calibration!$A$4:$A$13,0),MATCH(Q$4,Calibration!$A$4:$L$4,0))</f>
        <v>0.73522830748735724</v>
      </c>
      <c r="R84" s="293">
        <f>IF(C84&lt;Calibration!$F$5,L84,IF(C84&lt;Calibration!$E$5,C84*M84+N84,IF(C84&lt;K84,C84*O84+P84,Q84)))</f>
        <v>1.1265703568880645</v>
      </c>
      <c r="S84" s="286">
        <f t="shared" si="2"/>
        <v>3683.2061968534808</v>
      </c>
      <c r="T84" s="293">
        <f>IF(E84="DHP",VLOOKUP(D84,Calibration!$C$20:$E$22,2,FALSE),IF(D84=1,Calibration!$D$17,Calibration!$D$18))</f>
        <v>0.85917762533929642</v>
      </c>
      <c r="U84" s="286">
        <f t="shared" si="3"/>
        <v>3164.5283538475546</v>
      </c>
      <c r="V84" s="286">
        <f>VLOOKUP(T84,Calibration!$D$17:$E$22,2,FALSE)*S84</f>
        <v>455.12608107611993</v>
      </c>
      <c r="W84" t="s">
        <v>782</v>
      </c>
      <c r="X84">
        <v>495.07978000000003</v>
      </c>
      <c r="Y84">
        <v>0</v>
      </c>
    </row>
    <row r="85" spans="1:25">
      <c r="A85" s="277" t="str">
        <f>SEEMoutput!A87</f>
        <v>NWHZ2CZ3_1568n_20gshp_des0</v>
      </c>
      <c r="B85" s="286">
        <f>SEEMoutput!O87</f>
        <v>3269.3974010000002</v>
      </c>
      <c r="C85" s="287">
        <v>7.9558526782529587E-2</v>
      </c>
      <c r="D85" s="277">
        <f>IF(SEEMoutput!G87&lt;6000,1,IF(SEEMoutput!G87&lt;7500,2,3))</f>
        <v>2</v>
      </c>
      <c r="E85" s="277" t="str">
        <f>IF(LEFT(SEEMoutput!BE87,1)="F","FUR",IF(LEFT(SEEMoutput!BE87,1)="D","DHP","HP"))</f>
        <v>HP</v>
      </c>
      <c r="F85" s="288">
        <f>SEEMoutput!E87</f>
        <v>340.89578</v>
      </c>
      <c r="G85" s="289">
        <f>F85*(69-30)*SEEMoutput!N87/SEEMoutput!M87</f>
        <v>14915.485574769767</v>
      </c>
      <c r="H85" s="290">
        <f>'(Tons) (Furnsize)'!$F$52+'(Tons) (Furnsize)'!$F$53*'(Tons) (Furnsize)'!$B$15+'(Tons) (Furnsize)'!$F$54*G85</f>
        <v>1.810581576720617</v>
      </c>
      <c r="I85" s="290">
        <f>H85/'(Tons) (Furnsize)'!$G$7</f>
        <v>1.50071294762709</v>
      </c>
      <c r="J85" s="291">
        <f>F85*(69-VLOOKUP(D85,'(Tons) (Furnsize)'!$D$15:$E$17,2,FALSE))/3412</f>
        <v>6.8938478370457208</v>
      </c>
      <c r="K85" s="292">
        <f>INDEX(Calibration!$A$4:$L$13,MATCH($D85&amp;$E85,Calibration!$A$4:$A$13,0),MATCH(K$4,Calibration!$A$4:$L$4,0))</f>
        <v>0.17499999999999999</v>
      </c>
      <c r="L85" s="292">
        <f>INDEX(Calibration!$A$4:$L$13,MATCH($D85&amp;$E85,Calibration!$A$4:$A$13,0),MATCH(L$4,Calibration!$A$4:$L$4,0))</f>
        <v>1.1965160377936901</v>
      </c>
      <c r="M85" s="292">
        <f>INDEX(Calibration!$A$4:$L$13,MATCH($D85&amp;$E85,Calibration!$A$4:$A$13,0),MATCH(M$4,Calibration!$A$4:$L$4,0))</f>
        <v>-2.050167690250368</v>
      </c>
      <c r="N85" s="292">
        <f>INDEX(Calibration!$A$4:$L$13,MATCH($D85&amp;$E85,Calibration!$A$4:$A$13,0),MATCH(N$4,Calibration!$A$4:$L$4,0))</f>
        <v>1.2990244223062084</v>
      </c>
      <c r="O85" s="292">
        <f>INDEX(Calibration!$A$4:$L$13,MATCH($D85&amp;$E85,Calibration!$A$4:$A$13,0),MATCH(O$4,Calibration!$A$4:$L$4,0))</f>
        <v>-4.1003353805007361</v>
      </c>
      <c r="P85" s="292">
        <f>INDEX(Calibration!$A$4:$L$13,MATCH($D85&amp;$E85,Calibration!$A$4:$A$13,0),MATCH(P$4,Calibration!$A$4:$L$4,0))</f>
        <v>1.452786999074986</v>
      </c>
      <c r="Q85" s="292">
        <f>INDEX(Calibration!$A$4:$L$13,MATCH($D85&amp;$E85,Calibration!$A$4:$A$13,0),MATCH(Q$4,Calibration!$A$4:$L$4,0))</f>
        <v>0.73522830748735724</v>
      </c>
      <c r="R85" s="293">
        <f>IF(C85&lt;Calibration!$F$5,L85,IF(C85&lt;Calibration!$E$5,C85*M85+N85,IF(C85&lt;K85,C85*O85+P85,Q85)))</f>
        <v>1.1265703568880645</v>
      </c>
      <c r="S85" s="286">
        <f t="shared" si="2"/>
        <v>3683.2061968534808</v>
      </c>
      <c r="T85" s="293">
        <f>IF(E85="DHP",VLOOKUP(D85,Calibration!$C$20:$E$22,2,FALSE),IF(D85=1,Calibration!$D$17,Calibration!$D$18))</f>
        <v>0.85917762533929642</v>
      </c>
      <c r="U85" s="286">
        <f t="shared" si="3"/>
        <v>3164.5283538475546</v>
      </c>
      <c r="V85" s="286">
        <f>VLOOKUP(T85,Calibration!$D$17:$E$22,2,FALSE)*S85</f>
        <v>455.12608107611993</v>
      </c>
      <c r="W85" t="s">
        <v>785</v>
      </c>
      <c r="X85">
        <v>735.715868</v>
      </c>
      <c r="Y85">
        <v>0</v>
      </c>
    </row>
    <row r="86" spans="1:25">
      <c r="A86" s="277" t="str">
        <f>SEEMoutput!A88</f>
        <v>WxHZ2CZ1_1568e_20gshp_des0</v>
      </c>
      <c r="B86" s="286">
        <f>SEEMoutput!O88</f>
        <v>3753.4741770000001</v>
      </c>
      <c r="C86" s="287">
        <v>8.9794380115155323E-2</v>
      </c>
      <c r="D86" s="277">
        <f>IF(SEEMoutput!G88&lt;6000,1,IF(SEEMoutput!G88&lt;7500,2,3))</f>
        <v>2</v>
      </c>
      <c r="E86" s="277" t="str">
        <f>IF(LEFT(SEEMoutput!BE88,1)="F","FUR",IF(LEFT(SEEMoutput!BE88,1)="D","DHP","HP"))</f>
        <v>HP</v>
      </c>
      <c r="F86" s="288">
        <f>SEEMoutput!E88</f>
        <v>380.01735500000001</v>
      </c>
      <c r="G86" s="289">
        <f>F86*(69-30)*SEEMoutput!N88/SEEMoutput!M88</f>
        <v>16599.952704791591</v>
      </c>
      <c r="H86" s="290">
        <f>'(Tons) (Furnsize)'!$F$52+'(Tons) (Furnsize)'!$F$53*'(Tons) (Furnsize)'!$B$15+'(Tons) (Furnsize)'!$F$54*G86</f>
        <v>2.0083555282421508</v>
      </c>
      <c r="I86" s="290">
        <f>H86/'(Tons) (Furnsize)'!$G$7</f>
        <v>1.6646392426738534</v>
      </c>
      <c r="J86" s="291">
        <f>F86*(69-VLOOKUP(D86,'(Tons) (Furnsize)'!$D$15:$E$17,2,FALSE))/3412</f>
        <v>7.6849934041617818</v>
      </c>
      <c r="K86" s="292">
        <f>INDEX(Calibration!$A$4:$L$13,MATCH($D86&amp;$E86,Calibration!$A$4:$A$13,0),MATCH(K$4,Calibration!$A$4:$L$4,0))</f>
        <v>0.17499999999999999</v>
      </c>
      <c r="L86" s="292">
        <f>INDEX(Calibration!$A$4:$L$13,MATCH($D86&amp;$E86,Calibration!$A$4:$A$13,0),MATCH(L$4,Calibration!$A$4:$L$4,0))</f>
        <v>1.1965160377936901</v>
      </c>
      <c r="M86" s="292">
        <f>INDEX(Calibration!$A$4:$L$13,MATCH($D86&amp;$E86,Calibration!$A$4:$A$13,0),MATCH(M$4,Calibration!$A$4:$L$4,0))</f>
        <v>-2.050167690250368</v>
      </c>
      <c r="N86" s="292">
        <f>INDEX(Calibration!$A$4:$L$13,MATCH($D86&amp;$E86,Calibration!$A$4:$A$13,0),MATCH(N$4,Calibration!$A$4:$L$4,0))</f>
        <v>1.2990244223062084</v>
      </c>
      <c r="O86" s="292">
        <f>INDEX(Calibration!$A$4:$L$13,MATCH($D86&amp;$E86,Calibration!$A$4:$A$13,0),MATCH(O$4,Calibration!$A$4:$L$4,0))</f>
        <v>-4.1003353805007361</v>
      </c>
      <c r="P86" s="292">
        <f>INDEX(Calibration!$A$4:$L$13,MATCH($D86&amp;$E86,Calibration!$A$4:$A$13,0),MATCH(P$4,Calibration!$A$4:$L$4,0))</f>
        <v>1.452786999074986</v>
      </c>
      <c r="Q86" s="292">
        <f>INDEX(Calibration!$A$4:$L$13,MATCH($D86&amp;$E86,Calibration!$A$4:$A$13,0),MATCH(Q$4,Calibration!$A$4:$L$4,0))</f>
        <v>0.73522830748735724</v>
      </c>
      <c r="R86" s="293">
        <f>IF(C86&lt;Calibration!$F$5,L86,IF(C86&lt;Calibration!$E$5,C86*M86+N86,IF(C86&lt;K86,C86*O86+P86,Q86)))</f>
        <v>1.0845999253186829</v>
      </c>
      <c r="S86" s="286">
        <f t="shared" si="2"/>
        <v>4071.0178120598048</v>
      </c>
      <c r="T86" s="293">
        <f>IF(E86="DHP",VLOOKUP(D86,Calibration!$C$20:$E$22,2,FALSE),IF(D86=1,Calibration!$D$17,Calibration!$D$18))</f>
        <v>0.85917762533929642</v>
      </c>
      <c r="U86" s="286">
        <f t="shared" si="3"/>
        <v>3497.7274164795213</v>
      </c>
      <c r="V86" s="286">
        <f>VLOOKUP(T86,Calibration!$D$17:$E$22,2,FALSE)*S86</f>
        <v>503.047150707095</v>
      </c>
      <c r="W86" t="s">
        <v>779</v>
      </c>
      <c r="X86">
        <v>266.85212000000001</v>
      </c>
      <c r="Y86">
        <v>0</v>
      </c>
    </row>
    <row r="87" spans="1:25">
      <c r="A87" s="277" t="str">
        <f>SEEMoutput!A89</f>
        <v>WxHZ2CZ2_1568e_20gshp_des0</v>
      </c>
      <c r="B87" s="286">
        <f>SEEMoutput!O89</f>
        <v>3753.4741770000001</v>
      </c>
      <c r="C87" s="287">
        <v>8.9794380115155323E-2</v>
      </c>
      <c r="D87" s="277">
        <f>IF(SEEMoutput!G89&lt;6000,1,IF(SEEMoutput!G89&lt;7500,2,3))</f>
        <v>2</v>
      </c>
      <c r="E87" s="277" t="str">
        <f>IF(LEFT(SEEMoutput!BE89,1)="F","FUR",IF(LEFT(SEEMoutput!BE89,1)="D","DHP","HP"))</f>
        <v>HP</v>
      </c>
      <c r="F87" s="288">
        <f>SEEMoutput!E89</f>
        <v>380.01735500000001</v>
      </c>
      <c r="G87" s="289">
        <f>F87*(69-30)*SEEMoutput!N89/SEEMoutput!M89</f>
        <v>16599.952704791591</v>
      </c>
      <c r="H87" s="290">
        <f>'(Tons) (Furnsize)'!$F$52+'(Tons) (Furnsize)'!$F$53*'(Tons) (Furnsize)'!$B$15+'(Tons) (Furnsize)'!$F$54*G87</f>
        <v>2.0083555282421508</v>
      </c>
      <c r="I87" s="290">
        <f>H87/'(Tons) (Furnsize)'!$G$7</f>
        <v>1.6646392426738534</v>
      </c>
      <c r="J87" s="291">
        <f>F87*(69-VLOOKUP(D87,'(Tons) (Furnsize)'!$D$15:$E$17,2,FALSE))/3412</f>
        <v>7.6849934041617818</v>
      </c>
      <c r="K87" s="292">
        <f>INDEX(Calibration!$A$4:$L$13,MATCH($D87&amp;$E87,Calibration!$A$4:$A$13,0),MATCH(K$4,Calibration!$A$4:$L$4,0))</f>
        <v>0.17499999999999999</v>
      </c>
      <c r="L87" s="292">
        <f>INDEX(Calibration!$A$4:$L$13,MATCH($D87&amp;$E87,Calibration!$A$4:$A$13,0),MATCH(L$4,Calibration!$A$4:$L$4,0))</f>
        <v>1.1965160377936901</v>
      </c>
      <c r="M87" s="292">
        <f>INDEX(Calibration!$A$4:$L$13,MATCH($D87&amp;$E87,Calibration!$A$4:$A$13,0),MATCH(M$4,Calibration!$A$4:$L$4,0))</f>
        <v>-2.050167690250368</v>
      </c>
      <c r="N87" s="292">
        <f>INDEX(Calibration!$A$4:$L$13,MATCH($D87&amp;$E87,Calibration!$A$4:$A$13,0),MATCH(N$4,Calibration!$A$4:$L$4,0))</f>
        <v>1.2990244223062084</v>
      </c>
      <c r="O87" s="292">
        <f>INDEX(Calibration!$A$4:$L$13,MATCH($D87&amp;$E87,Calibration!$A$4:$A$13,0),MATCH(O$4,Calibration!$A$4:$L$4,0))</f>
        <v>-4.1003353805007361</v>
      </c>
      <c r="P87" s="292">
        <f>INDEX(Calibration!$A$4:$L$13,MATCH($D87&amp;$E87,Calibration!$A$4:$A$13,0),MATCH(P$4,Calibration!$A$4:$L$4,0))</f>
        <v>1.452786999074986</v>
      </c>
      <c r="Q87" s="292">
        <f>INDEX(Calibration!$A$4:$L$13,MATCH($D87&amp;$E87,Calibration!$A$4:$A$13,0),MATCH(Q$4,Calibration!$A$4:$L$4,0))</f>
        <v>0.73522830748735724</v>
      </c>
      <c r="R87" s="293">
        <f>IF(C87&lt;Calibration!$F$5,L87,IF(C87&lt;Calibration!$E$5,C87*M87+N87,IF(C87&lt;K87,C87*O87+P87,Q87)))</f>
        <v>1.0845999253186829</v>
      </c>
      <c r="S87" s="286">
        <f t="shared" si="2"/>
        <v>4071.0178120598048</v>
      </c>
      <c r="T87" s="293">
        <f>IF(E87="DHP",VLOOKUP(D87,Calibration!$C$20:$E$22,2,FALSE),IF(D87=1,Calibration!$D$17,Calibration!$D$18))</f>
        <v>0.85917762533929642</v>
      </c>
      <c r="U87" s="286">
        <f t="shared" si="3"/>
        <v>3497.7274164795213</v>
      </c>
      <c r="V87" s="286">
        <f>VLOOKUP(T87,Calibration!$D$17:$E$22,2,FALSE)*S87</f>
        <v>503.047150707095</v>
      </c>
      <c r="W87" t="s">
        <v>782</v>
      </c>
      <c r="X87">
        <v>478.57834500000001</v>
      </c>
      <c r="Y87">
        <v>0</v>
      </c>
    </row>
    <row r="88" spans="1:25">
      <c r="A88" s="277" t="str">
        <f>SEEMoutput!A90</f>
        <v>WxHZ2CZ3_1568e_20gshp_des0</v>
      </c>
      <c r="B88" s="286">
        <f>SEEMoutput!O90</f>
        <v>3753.4741770000001</v>
      </c>
      <c r="C88" s="287">
        <v>8.9794380115155323E-2</v>
      </c>
      <c r="D88" s="277">
        <f>IF(SEEMoutput!G90&lt;6000,1,IF(SEEMoutput!G90&lt;7500,2,3))</f>
        <v>2</v>
      </c>
      <c r="E88" s="277" t="str">
        <f>IF(LEFT(SEEMoutput!BE90,1)="F","FUR",IF(LEFT(SEEMoutput!BE90,1)="D","DHP","HP"))</f>
        <v>HP</v>
      </c>
      <c r="F88" s="288">
        <f>SEEMoutput!E90</f>
        <v>380.01735500000001</v>
      </c>
      <c r="G88" s="289">
        <f>F88*(69-30)*SEEMoutput!N90/SEEMoutput!M90</f>
        <v>16599.952704791591</v>
      </c>
      <c r="H88" s="290">
        <f>'(Tons) (Furnsize)'!$F$52+'(Tons) (Furnsize)'!$F$53*'(Tons) (Furnsize)'!$B$15+'(Tons) (Furnsize)'!$F$54*G88</f>
        <v>2.0083555282421508</v>
      </c>
      <c r="I88" s="290">
        <f>H88/'(Tons) (Furnsize)'!$G$7</f>
        <v>1.6646392426738534</v>
      </c>
      <c r="J88" s="291">
        <f>F88*(69-VLOOKUP(D88,'(Tons) (Furnsize)'!$D$15:$E$17,2,FALSE))/3412</f>
        <v>7.6849934041617818</v>
      </c>
      <c r="K88" s="292">
        <f>INDEX(Calibration!$A$4:$L$13,MATCH($D88&amp;$E88,Calibration!$A$4:$A$13,0),MATCH(K$4,Calibration!$A$4:$L$4,0))</f>
        <v>0.17499999999999999</v>
      </c>
      <c r="L88" s="292">
        <f>INDEX(Calibration!$A$4:$L$13,MATCH($D88&amp;$E88,Calibration!$A$4:$A$13,0),MATCH(L$4,Calibration!$A$4:$L$4,0))</f>
        <v>1.1965160377936901</v>
      </c>
      <c r="M88" s="292">
        <f>INDEX(Calibration!$A$4:$L$13,MATCH($D88&amp;$E88,Calibration!$A$4:$A$13,0),MATCH(M$4,Calibration!$A$4:$L$4,0))</f>
        <v>-2.050167690250368</v>
      </c>
      <c r="N88" s="292">
        <f>INDEX(Calibration!$A$4:$L$13,MATCH($D88&amp;$E88,Calibration!$A$4:$A$13,0),MATCH(N$4,Calibration!$A$4:$L$4,0))</f>
        <v>1.2990244223062084</v>
      </c>
      <c r="O88" s="292">
        <f>INDEX(Calibration!$A$4:$L$13,MATCH($D88&amp;$E88,Calibration!$A$4:$A$13,0),MATCH(O$4,Calibration!$A$4:$L$4,0))</f>
        <v>-4.1003353805007361</v>
      </c>
      <c r="P88" s="292">
        <f>INDEX(Calibration!$A$4:$L$13,MATCH($D88&amp;$E88,Calibration!$A$4:$A$13,0),MATCH(P$4,Calibration!$A$4:$L$4,0))</f>
        <v>1.452786999074986</v>
      </c>
      <c r="Q88" s="292">
        <f>INDEX(Calibration!$A$4:$L$13,MATCH($D88&amp;$E88,Calibration!$A$4:$A$13,0),MATCH(Q$4,Calibration!$A$4:$L$4,0))</f>
        <v>0.73522830748735724</v>
      </c>
      <c r="R88" s="293">
        <f>IF(C88&lt;Calibration!$F$5,L88,IF(C88&lt;Calibration!$E$5,C88*M88+N88,IF(C88&lt;K88,C88*O88+P88,Q88)))</f>
        <v>1.0845999253186829</v>
      </c>
      <c r="S88" s="286">
        <f t="shared" si="2"/>
        <v>4071.0178120598048</v>
      </c>
      <c r="T88" s="293">
        <f>IF(E88="DHP",VLOOKUP(D88,Calibration!$C$20:$E$22,2,FALSE),IF(D88=1,Calibration!$D$17,Calibration!$D$18))</f>
        <v>0.85917762533929642</v>
      </c>
      <c r="U88" s="286">
        <f t="shared" si="3"/>
        <v>3497.7274164795213</v>
      </c>
      <c r="V88" s="286">
        <f>VLOOKUP(T88,Calibration!$D$17:$E$22,2,FALSE)*S88</f>
        <v>503.047150707095</v>
      </c>
      <c r="W88" t="s">
        <v>785</v>
      </c>
      <c r="X88">
        <v>730.34534399999995</v>
      </c>
      <c r="Y88">
        <v>0</v>
      </c>
    </row>
    <row r="89" spans="1:25">
      <c r="A89" s="277" t="str">
        <f>SEEMoutput!A91</f>
        <v>NWHZ3CZ1_1568n_20gshp_des0</v>
      </c>
      <c r="B89" s="286">
        <f>SEEMoutput!O91</f>
        <v>4098.063349</v>
      </c>
      <c r="C89" s="287">
        <v>7.9272839576422713E-2</v>
      </c>
      <c r="D89" s="277">
        <f>IF(SEEMoutput!G91&lt;6000,1,IF(SEEMoutput!G91&lt;7500,2,3))</f>
        <v>3</v>
      </c>
      <c r="E89" s="277" t="str">
        <f>IF(LEFT(SEEMoutput!BE91,1)="F","FUR",IF(LEFT(SEEMoutput!BE91,1)="D","DHP","HP"))</f>
        <v>HP</v>
      </c>
      <c r="F89" s="288">
        <f>SEEMoutput!E91</f>
        <v>338.42481900000001</v>
      </c>
      <c r="G89" s="289">
        <f>F89*(69-30)*SEEMoutput!N91/SEEMoutput!M91</f>
        <v>14893.422073096044</v>
      </c>
      <c r="H89" s="290">
        <f>'(Tons) (Furnsize)'!$F$52+'(Tons) (Furnsize)'!$F$53*'(Tons) (Furnsize)'!$B$15+'(Tons) (Furnsize)'!$F$54*G89</f>
        <v>1.8079910922685056</v>
      </c>
      <c r="I89" s="290">
        <f>H89/'(Tons) (Furnsize)'!$G$7</f>
        <v>1.4985658068365868</v>
      </c>
      <c r="J89" s="291">
        <f>F89*(69-VLOOKUP(D89,'(Tons) (Furnsize)'!$D$15:$E$17,2,FALSE))/3412</f>
        <v>9.3235442514654157</v>
      </c>
      <c r="K89" s="292">
        <f>INDEX(Calibration!$A$4:$L$13,MATCH($D89&amp;$E89,Calibration!$A$4:$A$13,0),MATCH(K$4,Calibration!$A$4:$L$4,0))</f>
        <v>0.15</v>
      </c>
      <c r="L89" s="292">
        <f>INDEX(Calibration!$A$4:$L$13,MATCH($D89&amp;$E89,Calibration!$A$4:$A$13,0),MATCH(L$4,Calibration!$A$4:$L$4,0))</f>
        <v>1.0259371368886356</v>
      </c>
      <c r="M89" s="292">
        <f>INDEX(Calibration!$A$4:$L$13,MATCH($D89&amp;$E89,Calibration!$A$4:$A$13,0),MATCH(M$4,Calibration!$A$4:$L$4,0))</f>
        <v>-1.8551508104013119</v>
      </c>
      <c r="N89" s="292">
        <f>INDEX(Calibration!$A$4:$L$13,MATCH($D89&amp;$E89,Calibration!$A$4:$A$13,0),MATCH(N$4,Calibration!$A$4:$L$4,0))</f>
        <v>1.1186946774087012</v>
      </c>
      <c r="O89" s="292">
        <f>INDEX(Calibration!$A$4:$L$13,MATCH($D89&amp;$E89,Calibration!$A$4:$A$13,0),MATCH(O$4,Calibration!$A$4:$L$4,0))</f>
        <v>-3.7103016208026238</v>
      </c>
      <c r="P89" s="292">
        <f>INDEX(Calibration!$A$4:$L$13,MATCH($D89&amp;$E89,Calibration!$A$4:$A$13,0),MATCH(P$4,Calibration!$A$4:$L$4,0))</f>
        <v>1.2578309881887995</v>
      </c>
      <c r="Q89" s="292">
        <f>INDEX(Calibration!$A$4:$L$13,MATCH($D89&amp;$E89,Calibration!$A$4:$A$13,0),MATCH(Q$4,Calibration!$A$4:$L$4,0))</f>
        <v>0.7012857450684058</v>
      </c>
      <c r="R89" s="293">
        <f>IF(C89&lt;Calibration!$F$5,L89,IF(C89&lt;Calibration!$E$5,C89*M89+N89,IF(C89&lt;K89,C89*O89+P89,Q89)))</f>
        <v>0.96370484302277193</v>
      </c>
      <c r="S89" s="286">
        <f t="shared" si="2"/>
        <v>3949.32349644542</v>
      </c>
      <c r="T89" s="293">
        <f>IF(E89="DHP",VLOOKUP(D89,Calibration!$C$20:$E$22,2,FALSE),IF(D89=1,Calibration!$D$17,Calibration!$D$18))</f>
        <v>0.85917762533929642</v>
      </c>
      <c r="U89" s="286">
        <f t="shared" si="3"/>
        <v>3393.1703833726633</v>
      </c>
      <c r="V89" s="286">
        <f>VLOOKUP(T89,Calibration!$D$17:$E$22,2,FALSE)*S89</f>
        <v>488.00963882352698</v>
      </c>
      <c r="W89" t="s">
        <v>794</v>
      </c>
      <c r="X89">
        <v>290.60138899999998</v>
      </c>
      <c r="Y89">
        <v>0</v>
      </c>
    </row>
    <row r="90" spans="1:25">
      <c r="A90" s="277" t="str">
        <f>SEEMoutput!A92</f>
        <v>NWHZ3CZ2_1568n_20gshp_des0</v>
      </c>
      <c r="B90" s="286">
        <f>SEEMoutput!O92</f>
        <v>4098.063349</v>
      </c>
      <c r="C90" s="287">
        <v>7.9272839576422713E-2</v>
      </c>
      <c r="D90" s="277">
        <f>IF(SEEMoutput!G92&lt;6000,1,IF(SEEMoutput!G92&lt;7500,2,3))</f>
        <v>3</v>
      </c>
      <c r="E90" s="277" t="str">
        <f>IF(LEFT(SEEMoutput!BE92,1)="F","FUR",IF(LEFT(SEEMoutput!BE92,1)="D","DHP","HP"))</f>
        <v>HP</v>
      </c>
      <c r="F90" s="288">
        <f>SEEMoutput!E92</f>
        <v>338.42481900000001</v>
      </c>
      <c r="G90" s="289">
        <f>F90*(69-30)*SEEMoutput!N92/SEEMoutput!M92</f>
        <v>14893.422073096044</v>
      </c>
      <c r="H90" s="290">
        <f>'(Tons) (Furnsize)'!$F$52+'(Tons) (Furnsize)'!$F$53*'(Tons) (Furnsize)'!$B$15+'(Tons) (Furnsize)'!$F$54*G90</f>
        <v>1.8079910922685056</v>
      </c>
      <c r="I90" s="290">
        <f>H90/'(Tons) (Furnsize)'!$G$7</f>
        <v>1.4985658068365868</v>
      </c>
      <c r="J90" s="291">
        <f>F90*(69-VLOOKUP(D90,'(Tons) (Furnsize)'!$D$15:$E$17,2,FALSE))/3412</f>
        <v>9.3235442514654157</v>
      </c>
      <c r="K90" s="292">
        <f>INDEX(Calibration!$A$4:$L$13,MATCH($D90&amp;$E90,Calibration!$A$4:$A$13,0),MATCH(K$4,Calibration!$A$4:$L$4,0))</f>
        <v>0.15</v>
      </c>
      <c r="L90" s="292">
        <f>INDEX(Calibration!$A$4:$L$13,MATCH($D90&amp;$E90,Calibration!$A$4:$A$13,0),MATCH(L$4,Calibration!$A$4:$L$4,0))</f>
        <v>1.0259371368886356</v>
      </c>
      <c r="M90" s="292">
        <f>INDEX(Calibration!$A$4:$L$13,MATCH($D90&amp;$E90,Calibration!$A$4:$A$13,0),MATCH(M$4,Calibration!$A$4:$L$4,0))</f>
        <v>-1.8551508104013119</v>
      </c>
      <c r="N90" s="292">
        <f>INDEX(Calibration!$A$4:$L$13,MATCH($D90&amp;$E90,Calibration!$A$4:$A$13,0),MATCH(N$4,Calibration!$A$4:$L$4,0))</f>
        <v>1.1186946774087012</v>
      </c>
      <c r="O90" s="292">
        <f>INDEX(Calibration!$A$4:$L$13,MATCH($D90&amp;$E90,Calibration!$A$4:$A$13,0),MATCH(O$4,Calibration!$A$4:$L$4,0))</f>
        <v>-3.7103016208026238</v>
      </c>
      <c r="P90" s="292">
        <f>INDEX(Calibration!$A$4:$L$13,MATCH($D90&amp;$E90,Calibration!$A$4:$A$13,0),MATCH(P$4,Calibration!$A$4:$L$4,0))</f>
        <v>1.2578309881887995</v>
      </c>
      <c r="Q90" s="292">
        <f>INDEX(Calibration!$A$4:$L$13,MATCH($D90&amp;$E90,Calibration!$A$4:$A$13,0),MATCH(Q$4,Calibration!$A$4:$L$4,0))</f>
        <v>0.7012857450684058</v>
      </c>
      <c r="R90" s="293">
        <f>IF(C90&lt;Calibration!$F$5,L90,IF(C90&lt;Calibration!$E$5,C90*M90+N90,IF(C90&lt;K90,C90*O90+P90,Q90)))</f>
        <v>0.96370484302277193</v>
      </c>
      <c r="S90" s="286">
        <f t="shared" si="2"/>
        <v>3949.32349644542</v>
      </c>
      <c r="T90" s="293">
        <f>IF(E90="DHP",VLOOKUP(D90,Calibration!$C$20:$E$22,2,FALSE),IF(D90=1,Calibration!$D$17,Calibration!$D$18))</f>
        <v>0.85917762533929642</v>
      </c>
      <c r="U90" s="286">
        <f t="shared" si="3"/>
        <v>3393.1703833726633</v>
      </c>
      <c r="V90" s="286">
        <f>VLOOKUP(T90,Calibration!$D$17:$E$22,2,FALSE)*S90</f>
        <v>488.00963882352698</v>
      </c>
      <c r="W90" t="s">
        <v>797</v>
      </c>
      <c r="X90">
        <v>495.07978000000003</v>
      </c>
      <c r="Y90">
        <v>0</v>
      </c>
    </row>
    <row r="91" spans="1:25">
      <c r="A91" s="277" t="str">
        <f>SEEMoutput!A93</f>
        <v>NWHZ3CZ3_1568n_20gshp_des0</v>
      </c>
      <c r="B91" s="286">
        <f>SEEMoutput!O93</f>
        <v>4098.063349</v>
      </c>
      <c r="C91" s="287">
        <v>7.9272839576422713E-2</v>
      </c>
      <c r="D91" s="277">
        <f>IF(SEEMoutput!G93&lt;6000,1,IF(SEEMoutput!G93&lt;7500,2,3))</f>
        <v>3</v>
      </c>
      <c r="E91" s="277" t="str">
        <f>IF(LEFT(SEEMoutput!BE93,1)="F","FUR",IF(LEFT(SEEMoutput!BE93,1)="D","DHP","HP"))</f>
        <v>HP</v>
      </c>
      <c r="F91" s="288">
        <f>SEEMoutput!E93</f>
        <v>338.42481900000001</v>
      </c>
      <c r="G91" s="289">
        <f>F91*(69-30)*SEEMoutput!N93/SEEMoutput!M93</f>
        <v>14893.422073096044</v>
      </c>
      <c r="H91" s="290">
        <f>'(Tons) (Furnsize)'!$F$52+'(Tons) (Furnsize)'!$F$53*'(Tons) (Furnsize)'!$B$15+'(Tons) (Furnsize)'!$F$54*G91</f>
        <v>1.8079910922685056</v>
      </c>
      <c r="I91" s="290">
        <f>H91/'(Tons) (Furnsize)'!$G$7</f>
        <v>1.4985658068365868</v>
      </c>
      <c r="J91" s="291">
        <f>F91*(69-VLOOKUP(D91,'(Tons) (Furnsize)'!$D$15:$E$17,2,FALSE))/3412</f>
        <v>9.3235442514654157</v>
      </c>
      <c r="K91" s="292">
        <f>INDEX(Calibration!$A$4:$L$13,MATCH($D91&amp;$E91,Calibration!$A$4:$A$13,0),MATCH(K$4,Calibration!$A$4:$L$4,0))</f>
        <v>0.15</v>
      </c>
      <c r="L91" s="292">
        <f>INDEX(Calibration!$A$4:$L$13,MATCH($D91&amp;$E91,Calibration!$A$4:$A$13,0),MATCH(L$4,Calibration!$A$4:$L$4,0))</f>
        <v>1.0259371368886356</v>
      </c>
      <c r="M91" s="292">
        <f>INDEX(Calibration!$A$4:$L$13,MATCH($D91&amp;$E91,Calibration!$A$4:$A$13,0),MATCH(M$4,Calibration!$A$4:$L$4,0))</f>
        <v>-1.8551508104013119</v>
      </c>
      <c r="N91" s="292">
        <f>INDEX(Calibration!$A$4:$L$13,MATCH($D91&amp;$E91,Calibration!$A$4:$A$13,0),MATCH(N$4,Calibration!$A$4:$L$4,0))</f>
        <v>1.1186946774087012</v>
      </c>
      <c r="O91" s="292">
        <f>INDEX(Calibration!$A$4:$L$13,MATCH($D91&amp;$E91,Calibration!$A$4:$A$13,0),MATCH(O$4,Calibration!$A$4:$L$4,0))</f>
        <v>-3.7103016208026238</v>
      </c>
      <c r="P91" s="292">
        <f>INDEX(Calibration!$A$4:$L$13,MATCH($D91&amp;$E91,Calibration!$A$4:$A$13,0),MATCH(P$4,Calibration!$A$4:$L$4,0))</f>
        <v>1.2578309881887995</v>
      </c>
      <c r="Q91" s="292">
        <f>INDEX(Calibration!$A$4:$L$13,MATCH($D91&amp;$E91,Calibration!$A$4:$A$13,0),MATCH(Q$4,Calibration!$A$4:$L$4,0))</f>
        <v>0.7012857450684058</v>
      </c>
      <c r="R91" s="293">
        <f>IF(C91&lt;Calibration!$F$5,L91,IF(C91&lt;Calibration!$E$5,C91*M91+N91,IF(C91&lt;K91,C91*O91+P91,Q91)))</f>
        <v>0.96370484302277193</v>
      </c>
      <c r="S91" s="286">
        <f t="shared" si="2"/>
        <v>3949.32349644542</v>
      </c>
      <c r="T91" s="293">
        <f>IF(E91="DHP",VLOOKUP(D91,Calibration!$C$20:$E$22,2,FALSE),IF(D91=1,Calibration!$D$17,Calibration!$D$18))</f>
        <v>0.85917762533929642</v>
      </c>
      <c r="U91" s="286">
        <f t="shared" si="3"/>
        <v>3393.1703833726633</v>
      </c>
      <c r="V91" s="286">
        <f>VLOOKUP(T91,Calibration!$D$17:$E$22,2,FALSE)*S91</f>
        <v>488.00963882352698</v>
      </c>
      <c r="W91" t="s">
        <v>800</v>
      </c>
      <c r="X91">
        <v>735.715868</v>
      </c>
      <c r="Y91">
        <v>0</v>
      </c>
    </row>
    <row r="92" spans="1:25">
      <c r="A92" s="277" t="str">
        <f>SEEMoutput!A94</f>
        <v>WxHZ3CZ1_1568e_20gshp_des0</v>
      </c>
      <c r="B92" s="286">
        <f>SEEMoutput!O94</f>
        <v>4722.1713799999998</v>
      </c>
      <c r="C92" s="287">
        <v>8.9499596115155317E-2</v>
      </c>
      <c r="D92" s="277">
        <f>IF(SEEMoutput!G94&lt;6000,1,IF(SEEMoutput!G94&lt;7500,2,3))</f>
        <v>3</v>
      </c>
      <c r="E92" s="277" t="str">
        <f>IF(LEFT(SEEMoutput!BE94,1)="F","FUR",IF(LEFT(SEEMoutput!BE94,1)="D","DHP","HP"))</f>
        <v>HP</v>
      </c>
      <c r="F92" s="288">
        <f>SEEMoutput!E94</f>
        <v>377.47136499999999</v>
      </c>
      <c r="G92" s="289">
        <f>F92*(69-30)*SEEMoutput!N94/SEEMoutput!M94</f>
        <v>16577.694435251673</v>
      </c>
      <c r="H92" s="290">
        <f>'(Tons) (Furnsize)'!$F$52+'(Tons) (Furnsize)'!$F$53*'(Tons) (Furnsize)'!$B$15+'(Tons) (Furnsize)'!$F$54*G92</f>
        <v>2.0057421760178875</v>
      </c>
      <c r="I92" s="290">
        <f>H92/'(Tons) (Furnsize)'!$G$7</f>
        <v>1.6624731477736914</v>
      </c>
      <c r="J92" s="291">
        <f>F92*(69-VLOOKUP(D92,'(Tons) (Furnsize)'!$D$15:$E$17,2,FALSE))/3412</f>
        <v>10.399269727432591</v>
      </c>
      <c r="K92" s="292">
        <f>INDEX(Calibration!$A$4:$L$13,MATCH($D92&amp;$E92,Calibration!$A$4:$A$13,0),MATCH(K$4,Calibration!$A$4:$L$4,0))</f>
        <v>0.15</v>
      </c>
      <c r="L92" s="292">
        <f>INDEX(Calibration!$A$4:$L$13,MATCH($D92&amp;$E92,Calibration!$A$4:$A$13,0),MATCH(L$4,Calibration!$A$4:$L$4,0))</f>
        <v>1.0259371368886356</v>
      </c>
      <c r="M92" s="292">
        <f>INDEX(Calibration!$A$4:$L$13,MATCH($D92&amp;$E92,Calibration!$A$4:$A$13,0),MATCH(M$4,Calibration!$A$4:$L$4,0))</f>
        <v>-1.8551508104013119</v>
      </c>
      <c r="N92" s="292">
        <f>INDEX(Calibration!$A$4:$L$13,MATCH($D92&amp;$E92,Calibration!$A$4:$A$13,0),MATCH(N$4,Calibration!$A$4:$L$4,0))</f>
        <v>1.1186946774087012</v>
      </c>
      <c r="O92" s="292">
        <f>INDEX(Calibration!$A$4:$L$13,MATCH($D92&amp;$E92,Calibration!$A$4:$A$13,0),MATCH(O$4,Calibration!$A$4:$L$4,0))</f>
        <v>-3.7103016208026238</v>
      </c>
      <c r="P92" s="292">
        <f>INDEX(Calibration!$A$4:$L$13,MATCH($D92&amp;$E92,Calibration!$A$4:$A$13,0),MATCH(P$4,Calibration!$A$4:$L$4,0))</f>
        <v>1.2578309881887995</v>
      </c>
      <c r="Q92" s="292">
        <f>INDEX(Calibration!$A$4:$L$13,MATCH($D92&amp;$E92,Calibration!$A$4:$A$13,0),MATCH(Q$4,Calibration!$A$4:$L$4,0))</f>
        <v>0.7012857450684058</v>
      </c>
      <c r="R92" s="293">
        <f>IF(C92&lt;Calibration!$F$5,L92,IF(C92&lt;Calibration!$E$5,C92*M92+N92,IF(C92&lt;K92,C92*O92+P92,Q92)))</f>
        <v>0.92576049166155849</v>
      </c>
      <c r="S92" s="286">
        <f t="shared" si="2"/>
        <v>4371.5996984589401</v>
      </c>
      <c r="T92" s="293">
        <f>IF(E92="DHP",VLOOKUP(D92,Calibration!$C$20:$E$22,2,FALSE),IF(D92=1,Calibration!$D$17,Calibration!$D$18))</f>
        <v>0.85917762533929642</v>
      </c>
      <c r="U92" s="286">
        <f t="shared" si="3"/>
        <v>3755.9806478559367</v>
      </c>
      <c r="V92" s="286">
        <f>VLOOKUP(T92,Calibration!$D$17:$E$22,2,FALSE)*S92</f>
        <v>540.18942531452115</v>
      </c>
      <c r="W92" t="s">
        <v>794</v>
      </c>
      <c r="X92">
        <v>266.85212000000001</v>
      </c>
      <c r="Y92">
        <v>0</v>
      </c>
    </row>
    <row r="93" spans="1:25">
      <c r="A93" s="277" t="str">
        <f>SEEMoutput!A95</f>
        <v>WxHZ3CZ2_1568e_20gshp_des0</v>
      </c>
      <c r="B93" s="286">
        <f>SEEMoutput!O95</f>
        <v>4722.1713799999998</v>
      </c>
      <c r="C93" s="287">
        <v>8.9499596115155317E-2</v>
      </c>
      <c r="D93" s="277">
        <f>IF(SEEMoutput!G95&lt;6000,1,IF(SEEMoutput!G95&lt;7500,2,3))</f>
        <v>3</v>
      </c>
      <c r="E93" s="277" t="str">
        <f>IF(LEFT(SEEMoutput!BE95,1)="F","FUR",IF(LEFT(SEEMoutput!BE95,1)="D","DHP","HP"))</f>
        <v>HP</v>
      </c>
      <c r="F93" s="288">
        <f>SEEMoutput!E95</f>
        <v>377.47136499999999</v>
      </c>
      <c r="G93" s="289">
        <f>F93*(69-30)*SEEMoutput!N95/SEEMoutput!M95</f>
        <v>16577.694435251673</v>
      </c>
      <c r="H93" s="290">
        <f>'(Tons) (Furnsize)'!$F$52+'(Tons) (Furnsize)'!$F$53*'(Tons) (Furnsize)'!$B$15+'(Tons) (Furnsize)'!$F$54*G93</f>
        <v>2.0057421760178875</v>
      </c>
      <c r="I93" s="290">
        <f>H93/'(Tons) (Furnsize)'!$G$7</f>
        <v>1.6624731477736914</v>
      </c>
      <c r="J93" s="291">
        <f>F93*(69-VLOOKUP(D93,'(Tons) (Furnsize)'!$D$15:$E$17,2,FALSE))/3412</f>
        <v>10.399269727432591</v>
      </c>
      <c r="K93" s="292">
        <f>INDEX(Calibration!$A$4:$L$13,MATCH($D93&amp;$E93,Calibration!$A$4:$A$13,0),MATCH(K$4,Calibration!$A$4:$L$4,0))</f>
        <v>0.15</v>
      </c>
      <c r="L93" s="292">
        <f>INDEX(Calibration!$A$4:$L$13,MATCH($D93&amp;$E93,Calibration!$A$4:$A$13,0),MATCH(L$4,Calibration!$A$4:$L$4,0))</f>
        <v>1.0259371368886356</v>
      </c>
      <c r="M93" s="292">
        <f>INDEX(Calibration!$A$4:$L$13,MATCH($D93&amp;$E93,Calibration!$A$4:$A$13,0),MATCH(M$4,Calibration!$A$4:$L$4,0))</f>
        <v>-1.8551508104013119</v>
      </c>
      <c r="N93" s="292">
        <f>INDEX(Calibration!$A$4:$L$13,MATCH($D93&amp;$E93,Calibration!$A$4:$A$13,0),MATCH(N$4,Calibration!$A$4:$L$4,0))</f>
        <v>1.1186946774087012</v>
      </c>
      <c r="O93" s="292">
        <f>INDEX(Calibration!$A$4:$L$13,MATCH($D93&amp;$E93,Calibration!$A$4:$A$13,0),MATCH(O$4,Calibration!$A$4:$L$4,0))</f>
        <v>-3.7103016208026238</v>
      </c>
      <c r="P93" s="292">
        <f>INDEX(Calibration!$A$4:$L$13,MATCH($D93&amp;$E93,Calibration!$A$4:$A$13,0),MATCH(P$4,Calibration!$A$4:$L$4,0))</f>
        <v>1.2578309881887995</v>
      </c>
      <c r="Q93" s="292">
        <f>INDEX(Calibration!$A$4:$L$13,MATCH($D93&amp;$E93,Calibration!$A$4:$A$13,0),MATCH(Q$4,Calibration!$A$4:$L$4,0))</f>
        <v>0.7012857450684058</v>
      </c>
      <c r="R93" s="293">
        <f>IF(C93&lt;Calibration!$F$5,L93,IF(C93&lt;Calibration!$E$5,C93*M93+N93,IF(C93&lt;K93,C93*O93+P93,Q93)))</f>
        <v>0.92576049166155849</v>
      </c>
      <c r="S93" s="286">
        <f t="shared" si="2"/>
        <v>4371.5996984589401</v>
      </c>
      <c r="T93" s="293">
        <f>IF(E93="DHP",VLOOKUP(D93,Calibration!$C$20:$E$22,2,FALSE),IF(D93=1,Calibration!$D$17,Calibration!$D$18))</f>
        <v>0.85917762533929642</v>
      </c>
      <c r="U93" s="286">
        <f t="shared" si="3"/>
        <v>3755.9806478559367</v>
      </c>
      <c r="V93" s="286">
        <f>VLOOKUP(T93,Calibration!$D$17:$E$22,2,FALSE)*S93</f>
        <v>540.18942531452115</v>
      </c>
      <c r="W93" t="s">
        <v>797</v>
      </c>
      <c r="X93">
        <v>478.57834500000001</v>
      </c>
      <c r="Y93">
        <v>0</v>
      </c>
    </row>
    <row r="94" spans="1:25">
      <c r="A94" s="277" t="str">
        <f>SEEMoutput!A96</f>
        <v>WxHZ3CZ3_1568e_20gshp_des0</v>
      </c>
      <c r="B94" s="286">
        <f>SEEMoutput!O96</f>
        <v>4722.1713799999998</v>
      </c>
      <c r="C94" s="287">
        <v>8.9499596115155317E-2</v>
      </c>
      <c r="D94" s="277">
        <f>IF(SEEMoutput!G96&lt;6000,1,IF(SEEMoutput!G96&lt;7500,2,3))</f>
        <v>3</v>
      </c>
      <c r="E94" s="277" t="str">
        <f>IF(LEFT(SEEMoutput!BE96,1)="F","FUR",IF(LEFT(SEEMoutput!BE96,1)="D","DHP","HP"))</f>
        <v>HP</v>
      </c>
      <c r="F94" s="288">
        <f>SEEMoutput!E96</f>
        <v>377.47136499999999</v>
      </c>
      <c r="G94" s="289">
        <f>F94*(69-30)*SEEMoutput!N96/SEEMoutput!M96</f>
        <v>16577.694435251673</v>
      </c>
      <c r="H94" s="290">
        <f>'(Tons) (Furnsize)'!$F$52+'(Tons) (Furnsize)'!$F$53*'(Tons) (Furnsize)'!$B$15+'(Tons) (Furnsize)'!$F$54*G94</f>
        <v>2.0057421760178875</v>
      </c>
      <c r="I94" s="290">
        <f>H94/'(Tons) (Furnsize)'!$G$7</f>
        <v>1.6624731477736914</v>
      </c>
      <c r="J94" s="291">
        <f>F94*(69-VLOOKUP(D94,'(Tons) (Furnsize)'!$D$15:$E$17,2,FALSE))/3412</f>
        <v>10.399269727432591</v>
      </c>
      <c r="K94" s="292">
        <f>INDEX(Calibration!$A$4:$L$13,MATCH($D94&amp;$E94,Calibration!$A$4:$A$13,0),MATCH(K$4,Calibration!$A$4:$L$4,0))</f>
        <v>0.15</v>
      </c>
      <c r="L94" s="292">
        <f>INDEX(Calibration!$A$4:$L$13,MATCH($D94&amp;$E94,Calibration!$A$4:$A$13,0),MATCH(L$4,Calibration!$A$4:$L$4,0))</f>
        <v>1.0259371368886356</v>
      </c>
      <c r="M94" s="292">
        <f>INDEX(Calibration!$A$4:$L$13,MATCH($D94&amp;$E94,Calibration!$A$4:$A$13,0),MATCH(M$4,Calibration!$A$4:$L$4,0))</f>
        <v>-1.8551508104013119</v>
      </c>
      <c r="N94" s="292">
        <f>INDEX(Calibration!$A$4:$L$13,MATCH($D94&amp;$E94,Calibration!$A$4:$A$13,0),MATCH(N$4,Calibration!$A$4:$L$4,0))</f>
        <v>1.1186946774087012</v>
      </c>
      <c r="O94" s="292">
        <f>INDEX(Calibration!$A$4:$L$13,MATCH($D94&amp;$E94,Calibration!$A$4:$A$13,0),MATCH(O$4,Calibration!$A$4:$L$4,0))</f>
        <v>-3.7103016208026238</v>
      </c>
      <c r="P94" s="292">
        <f>INDEX(Calibration!$A$4:$L$13,MATCH($D94&amp;$E94,Calibration!$A$4:$A$13,0),MATCH(P$4,Calibration!$A$4:$L$4,0))</f>
        <v>1.2578309881887995</v>
      </c>
      <c r="Q94" s="292">
        <f>INDEX(Calibration!$A$4:$L$13,MATCH($D94&amp;$E94,Calibration!$A$4:$A$13,0),MATCH(Q$4,Calibration!$A$4:$L$4,0))</f>
        <v>0.7012857450684058</v>
      </c>
      <c r="R94" s="293">
        <f>IF(C94&lt;Calibration!$F$5,L94,IF(C94&lt;Calibration!$E$5,C94*M94+N94,IF(C94&lt;K94,C94*O94+P94,Q94)))</f>
        <v>0.92576049166155849</v>
      </c>
      <c r="S94" s="286">
        <f t="shared" si="2"/>
        <v>4371.5996984589401</v>
      </c>
      <c r="T94" s="293">
        <f>IF(E94="DHP",VLOOKUP(D94,Calibration!$C$20:$E$22,2,FALSE),IF(D94=1,Calibration!$D$17,Calibration!$D$18))</f>
        <v>0.85917762533929642</v>
      </c>
      <c r="U94" s="286">
        <f t="shared" si="3"/>
        <v>3755.9806478559367</v>
      </c>
      <c r="V94" s="286">
        <f>VLOOKUP(T94,Calibration!$D$17:$E$22,2,FALSE)*S94</f>
        <v>540.18942531452115</v>
      </c>
      <c r="W94" t="s">
        <v>800</v>
      </c>
      <c r="X94">
        <v>730.34534399999995</v>
      </c>
      <c r="Y94">
        <v>0</v>
      </c>
    </row>
    <row r="95" spans="1:25">
      <c r="A95" s="277" t="str">
        <f>SEEMoutput!A97</f>
        <v>NWHZ1CZ1_2200n_25gshp_des0</v>
      </c>
      <c r="B95" s="286">
        <f>SEEMoutput!O97</f>
        <v>3084.156618</v>
      </c>
      <c r="C95" s="287">
        <v>7.2919671338709802E-2</v>
      </c>
      <c r="D95" s="277">
        <f>IF(SEEMoutput!G97&lt;6000,1,IF(SEEMoutput!G97&lt;7500,2,3))</f>
        <v>1</v>
      </c>
      <c r="E95" s="277" t="str">
        <f>IF(LEFT(SEEMoutput!BE97,1)="F","FUR",IF(LEFT(SEEMoutput!BE97,1)="D","DHP","HP"))</f>
        <v>HP</v>
      </c>
      <c r="F95" s="288">
        <f>SEEMoutput!E97</f>
        <v>418.84601099999998</v>
      </c>
      <c r="G95" s="289">
        <f>F95*(69-30)*SEEMoutput!N97/SEEMoutput!M97</f>
        <v>20136.186145165659</v>
      </c>
      <c r="H95" s="290">
        <f>'(Tons) (Furnsize)'!$F$52+'(Tons) (Furnsize)'!$F$53*'(Tons) (Furnsize)'!$B$15+'(Tons) (Furnsize)'!$F$54*G95</f>
        <v>2.423546094172818</v>
      </c>
      <c r="I95" s="290">
        <f>H95/'(Tons) (Furnsize)'!$G$7</f>
        <v>2.0087727885112727</v>
      </c>
      <c r="J95" s="291">
        <f>F95*(69-VLOOKUP(D95,'(Tons) (Furnsize)'!$D$15:$E$17,2,FALSE))/3412</f>
        <v>6.3833506951934345</v>
      </c>
      <c r="K95" s="292">
        <f>INDEX(Calibration!$A$4:$L$13,MATCH($D95&amp;$E95,Calibration!$A$4:$A$13,0),MATCH(K$4,Calibration!$A$4:$L$4,0))</f>
        <v>0.2</v>
      </c>
      <c r="L95" s="292">
        <f>INDEX(Calibration!$A$4:$L$13,MATCH($D95&amp;$E95,Calibration!$A$4:$A$13,0),MATCH(L$4,Calibration!$A$4:$L$4,0))</f>
        <v>1.3869915874526988</v>
      </c>
      <c r="M95" s="292">
        <f>INDEX(Calibration!$A$4:$L$13,MATCH($D95&amp;$E95,Calibration!$A$4:$A$13,0),MATCH(M$4,Calibration!$A$4:$L$4,0))</f>
        <v>-2.2641144651923684</v>
      </c>
      <c r="N95" s="292">
        <f>INDEX(Calibration!$A$4:$L$13,MATCH($D95&amp;$E95,Calibration!$A$4:$A$13,0),MATCH(N$4,Calibration!$A$4:$L$4,0))</f>
        <v>1.5001973107123172</v>
      </c>
      <c r="O95" s="292">
        <f>INDEX(Calibration!$A$4:$L$13,MATCH($D95&amp;$E95,Calibration!$A$4:$A$13,0),MATCH(O$4,Calibration!$A$4:$L$4,0))</f>
        <v>-4.5282289303847367</v>
      </c>
      <c r="P95" s="292">
        <f>INDEX(Calibration!$A$4:$L$13,MATCH($D95&amp;$E95,Calibration!$A$4:$A$13,0),MATCH(P$4,Calibration!$A$4:$L$4,0))</f>
        <v>1.6700058956017449</v>
      </c>
      <c r="Q95" s="292">
        <f>INDEX(Calibration!$A$4:$L$13,MATCH($D95&amp;$E95,Calibration!$A$4:$A$13,0),MATCH(Q$4,Calibration!$A$4:$L$4,0))</f>
        <v>0.7643601095247976</v>
      </c>
      <c r="R95" s="293">
        <f>IF(C95&lt;Calibration!$F$5,L95,IF(C95&lt;Calibration!$E$5,C95*M95+N95,IF(C95&lt;K95,C95*O95+P95,Q95)))</f>
        <v>1.3350988280372711</v>
      </c>
      <c r="S95" s="286">
        <f t="shared" si="2"/>
        <v>4117.6538861751933</v>
      </c>
      <c r="T95" s="293">
        <f>IF(E95="DHP",VLOOKUP(D95,Calibration!$C$20:$E$22,2,FALSE),IF(D95=1,Calibration!$D$17,Calibration!$D$18))</f>
        <v>0.82813167326562143</v>
      </c>
      <c r="U95" s="286">
        <f t="shared" si="3"/>
        <v>3409.9596026869517</v>
      </c>
      <c r="V95" s="286">
        <f>VLOOKUP(T95,Calibration!$D$17:$E$22,2,FALSE)*S95</f>
        <v>643.60122805111519</v>
      </c>
      <c r="W95" t="s">
        <v>764</v>
      </c>
      <c r="X95">
        <v>408.95325100000002</v>
      </c>
      <c r="Y95">
        <v>0</v>
      </c>
    </row>
    <row r="96" spans="1:25">
      <c r="A96" s="277" t="str">
        <f>SEEMoutput!A98</f>
        <v>NWHZ1CZ2_2200n_25gshp_des0</v>
      </c>
      <c r="B96" s="286">
        <f>SEEMoutput!O98</f>
        <v>3084.156618</v>
      </c>
      <c r="C96" s="287">
        <v>7.2919671338709802E-2</v>
      </c>
      <c r="D96" s="277">
        <f>IF(SEEMoutput!G98&lt;6000,1,IF(SEEMoutput!G98&lt;7500,2,3))</f>
        <v>1</v>
      </c>
      <c r="E96" s="277" t="str">
        <f>IF(LEFT(SEEMoutput!BE98,1)="F","FUR",IF(LEFT(SEEMoutput!BE98,1)="D","DHP","HP"))</f>
        <v>HP</v>
      </c>
      <c r="F96" s="288">
        <f>SEEMoutput!E98</f>
        <v>418.84601099999998</v>
      </c>
      <c r="G96" s="289">
        <f>F96*(69-30)*SEEMoutput!N98/SEEMoutput!M98</f>
        <v>20136.186145165659</v>
      </c>
      <c r="H96" s="290">
        <f>'(Tons) (Furnsize)'!$F$52+'(Tons) (Furnsize)'!$F$53*'(Tons) (Furnsize)'!$B$15+'(Tons) (Furnsize)'!$F$54*G96</f>
        <v>2.423546094172818</v>
      </c>
      <c r="I96" s="290">
        <f>H96/'(Tons) (Furnsize)'!$G$7</f>
        <v>2.0087727885112727</v>
      </c>
      <c r="J96" s="291">
        <f>F96*(69-VLOOKUP(D96,'(Tons) (Furnsize)'!$D$15:$E$17,2,FALSE))/3412</f>
        <v>6.3833506951934345</v>
      </c>
      <c r="K96" s="292">
        <f>INDEX(Calibration!$A$4:$L$13,MATCH($D96&amp;$E96,Calibration!$A$4:$A$13,0),MATCH(K$4,Calibration!$A$4:$L$4,0))</f>
        <v>0.2</v>
      </c>
      <c r="L96" s="292">
        <f>INDEX(Calibration!$A$4:$L$13,MATCH($D96&amp;$E96,Calibration!$A$4:$A$13,0),MATCH(L$4,Calibration!$A$4:$L$4,0))</f>
        <v>1.3869915874526988</v>
      </c>
      <c r="M96" s="292">
        <f>INDEX(Calibration!$A$4:$L$13,MATCH($D96&amp;$E96,Calibration!$A$4:$A$13,0),MATCH(M$4,Calibration!$A$4:$L$4,0))</f>
        <v>-2.2641144651923684</v>
      </c>
      <c r="N96" s="292">
        <f>INDEX(Calibration!$A$4:$L$13,MATCH($D96&amp;$E96,Calibration!$A$4:$A$13,0),MATCH(N$4,Calibration!$A$4:$L$4,0))</f>
        <v>1.5001973107123172</v>
      </c>
      <c r="O96" s="292">
        <f>INDEX(Calibration!$A$4:$L$13,MATCH($D96&amp;$E96,Calibration!$A$4:$A$13,0),MATCH(O$4,Calibration!$A$4:$L$4,0))</f>
        <v>-4.5282289303847367</v>
      </c>
      <c r="P96" s="292">
        <f>INDEX(Calibration!$A$4:$L$13,MATCH($D96&amp;$E96,Calibration!$A$4:$A$13,0),MATCH(P$4,Calibration!$A$4:$L$4,0))</f>
        <v>1.6700058956017449</v>
      </c>
      <c r="Q96" s="292">
        <f>INDEX(Calibration!$A$4:$L$13,MATCH($D96&amp;$E96,Calibration!$A$4:$A$13,0),MATCH(Q$4,Calibration!$A$4:$L$4,0))</f>
        <v>0.7643601095247976</v>
      </c>
      <c r="R96" s="293">
        <f>IF(C96&lt;Calibration!$F$5,L96,IF(C96&lt;Calibration!$E$5,C96*M96+N96,IF(C96&lt;K96,C96*O96+P96,Q96)))</f>
        <v>1.3350988280372711</v>
      </c>
      <c r="S96" s="286">
        <f t="shared" si="2"/>
        <v>4117.6538861751933</v>
      </c>
      <c r="T96" s="293">
        <f>IF(E96="DHP",VLOOKUP(D96,Calibration!$C$20:$E$22,2,FALSE),IF(D96=1,Calibration!$D$17,Calibration!$D$18))</f>
        <v>0.82813167326562143</v>
      </c>
      <c r="U96" s="286">
        <f t="shared" si="3"/>
        <v>3409.9596026869517</v>
      </c>
      <c r="V96" s="286">
        <f>VLOOKUP(T96,Calibration!$D$17:$E$22,2,FALSE)*S96</f>
        <v>643.60122805111519</v>
      </c>
      <c r="W96" t="s">
        <v>767</v>
      </c>
      <c r="X96">
        <v>701.82783700000005</v>
      </c>
      <c r="Y96">
        <v>0</v>
      </c>
    </row>
    <row r="97" spans="1:25">
      <c r="A97" s="277" t="str">
        <f>SEEMoutput!A99</f>
        <v>NWHZ1CZ3_2200n_25gshp_des0</v>
      </c>
      <c r="B97" s="286">
        <f>SEEMoutput!O99</f>
        <v>3084.156618</v>
      </c>
      <c r="C97" s="287">
        <v>7.2919671338709802E-2</v>
      </c>
      <c r="D97" s="277">
        <f>IF(SEEMoutput!G99&lt;6000,1,IF(SEEMoutput!G99&lt;7500,2,3))</f>
        <v>1</v>
      </c>
      <c r="E97" s="277" t="str">
        <f>IF(LEFT(SEEMoutput!BE99,1)="F","FUR",IF(LEFT(SEEMoutput!BE99,1)="D","DHP","HP"))</f>
        <v>HP</v>
      </c>
      <c r="F97" s="288">
        <f>SEEMoutput!E99</f>
        <v>418.84601099999998</v>
      </c>
      <c r="G97" s="289">
        <f>F97*(69-30)*SEEMoutput!N99/SEEMoutput!M99</f>
        <v>20136.186145165659</v>
      </c>
      <c r="H97" s="290">
        <f>'(Tons) (Furnsize)'!$F$52+'(Tons) (Furnsize)'!$F$53*'(Tons) (Furnsize)'!$B$15+'(Tons) (Furnsize)'!$F$54*G97</f>
        <v>2.423546094172818</v>
      </c>
      <c r="I97" s="290">
        <f>H97/'(Tons) (Furnsize)'!$G$7</f>
        <v>2.0087727885112727</v>
      </c>
      <c r="J97" s="291">
        <f>F97*(69-VLOOKUP(D97,'(Tons) (Furnsize)'!$D$15:$E$17,2,FALSE))/3412</f>
        <v>6.3833506951934345</v>
      </c>
      <c r="K97" s="292">
        <f>INDEX(Calibration!$A$4:$L$13,MATCH($D97&amp;$E97,Calibration!$A$4:$A$13,0),MATCH(K$4,Calibration!$A$4:$L$4,0))</f>
        <v>0.2</v>
      </c>
      <c r="L97" s="292">
        <f>INDEX(Calibration!$A$4:$L$13,MATCH($D97&amp;$E97,Calibration!$A$4:$A$13,0),MATCH(L$4,Calibration!$A$4:$L$4,0))</f>
        <v>1.3869915874526988</v>
      </c>
      <c r="M97" s="292">
        <f>INDEX(Calibration!$A$4:$L$13,MATCH($D97&amp;$E97,Calibration!$A$4:$A$13,0),MATCH(M$4,Calibration!$A$4:$L$4,0))</f>
        <v>-2.2641144651923684</v>
      </c>
      <c r="N97" s="292">
        <f>INDEX(Calibration!$A$4:$L$13,MATCH($D97&amp;$E97,Calibration!$A$4:$A$13,0),MATCH(N$4,Calibration!$A$4:$L$4,0))</f>
        <v>1.5001973107123172</v>
      </c>
      <c r="O97" s="292">
        <f>INDEX(Calibration!$A$4:$L$13,MATCH($D97&amp;$E97,Calibration!$A$4:$A$13,0),MATCH(O$4,Calibration!$A$4:$L$4,0))</f>
        <v>-4.5282289303847367</v>
      </c>
      <c r="P97" s="292">
        <f>INDEX(Calibration!$A$4:$L$13,MATCH($D97&amp;$E97,Calibration!$A$4:$A$13,0),MATCH(P$4,Calibration!$A$4:$L$4,0))</f>
        <v>1.6700058956017449</v>
      </c>
      <c r="Q97" s="292">
        <f>INDEX(Calibration!$A$4:$L$13,MATCH($D97&amp;$E97,Calibration!$A$4:$A$13,0),MATCH(Q$4,Calibration!$A$4:$L$4,0))</f>
        <v>0.7643601095247976</v>
      </c>
      <c r="R97" s="293">
        <f>IF(C97&lt;Calibration!$F$5,L97,IF(C97&lt;Calibration!$E$5,C97*M97+N97,IF(C97&lt;K97,C97*O97+P97,Q97)))</f>
        <v>1.3350988280372711</v>
      </c>
      <c r="S97" s="286">
        <f t="shared" si="2"/>
        <v>4117.6538861751933</v>
      </c>
      <c r="T97" s="293">
        <f>IF(E97="DHP",VLOOKUP(D97,Calibration!$C$20:$E$22,2,FALSE),IF(D97=1,Calibration!$D$17,Calibration!$D$18))</f>
        <v>0.82813167326562143</v>
      </c>
      <c r="U97" s="286">
        <f t="shared" si="3"/>
        <v>3409.9596026869517</v>
      </c>
      <c r="V97" s="286">
        <f>VLOOKUP(T97,Calibration!$D$17:$E$22,2,FALSE)*S97</f>
        <v>643.60122805111519</v>
      </c>
      <c r="W97" t="s">
        <v>770</v>
      </c>
      <c r="X97">
        <v>1048.330596</v>
      </c>
      <c r="Y97">
        <v>0</v>
      </c>
    </row>
    <row r="98" spans="1:25">
      <c r="A98" s="277" t="str">
        <f>SEEMoutput!A100</f>
        <v>WxHZ1CZ1_2200e_30gshp_des0</v>
      </c>
      <c r="B98" s="286">
        <f>SEEMoutput!O100</f>
        <v>3749.2211790000001</v>
      </c>
      <c r="C98" s="287">
        <v>8.5780479662461995E-2</v>
      </c>
      <c r="D98" s="277">
        <f>IF(SEEMoutput!G100&lt;6000,1,IF(SEEMoutput!G100&lt;7500,2,3))</f>
        <v>1</v>
      </c>
      <c r="E98" s="277" t="str">
        <f>IF(LEFT(SEEMoutput!BE100,1)="F","FUR",IF(LEFT(SEEMoutput!BE100,1)="D","DHP","HP"))</f>
        <v>HP</v>
      </c>
      <c r="F98" s="288">
        <f>SEEMoutput!E100</f>
        <v>484.56612999999999</v>
      </c>
      <c r="G98" s="289">
        <f>F98*(69-30)*SEEMoutput!N100/SEEMoutput!M100</f>
        <v>23448.315219298667</v>
      </c>
      <c r="H98" s="290">
        <f>'(Tons) (Furnsize)'!$F$52+'(Tons) (Furnsize)'!$F$53*'(Tons) (Furnsize)'!$B$15+'(Tons) (Furnsize)'!$F$54*G98</f>
        <v>2.8124244778858665</v>
      </c>
      <c r="I98" s="290">
        <f>H98/'(Tons) (Furnsize)'!$G$7</f>
        <v>2.3310973018024623</v>
      </c>
      <c r="J98" s="291">
        <f>F98*(69-VLOOKUP(D98,'(Tons) (Furnsize)'!$D$15:$E$17,2,FALSE))/3412</f>
        <v>7.3849468815943728</v>
      </c>
      <c r="K98" s="292">
        <f>INDEX(Calibration!$A$4:$L$13,MATCH($D98&amp;$E98,Calibration!$A$4:$A$13,0),MATCH(K$4,Calibration!$A$4:$L$4,0))</f>
        <v>0.2</v>
      </c>
      <c r="L98" s="292">
        <f>INDEX(Calibration!$A$4:$L$13,MATCH($D98&amp;$E98,Calibration!$A$4:$A$13,0),MATCH(L$4,Calibration!$A$4:$L$4,0))</f>
        <v>1.3869915874526988</v>
      </c>
      <c r="M98" s="292">
        <f>INDEX(Calibration!$A$4:$L$13,MATCH($D98&amp;$E98,Calibration!$A$4:$A$13,0),MATCH(M$4,Calibration!$A$4:$L$4,0))</f>
        <v>-2.2641144651923684</v>
      </c>
      <c r="N98" s="292">
        <f>INDEX(Calibration!$A$4:$L$13,MATCH($D98&amp;$E98,Calibration!$A$4:$A$13,0),MATCH(N$4,Calibration!$A$4:$L$4,0))</f>
        <v>1.5001973107123172</v>
      </c>
      <c r="O98" s="292">
        <f>INDEX(Calibration!$A$4:$L$13,MATCH($D98&amp;$E98,Calibration!$A$4:$A$13,0),MATCH(O$4,Calibration!$A$4:$L$4,0))</f>
        <v>-4.5282289303847367</v>
      </c>
      <c r="P98" s="292">
        <f>INDEX(Calibration!$A$4:$L$13,MATCH($D98&amp;$E98,Calibration!$A$4:$A$13,0),MATCH(P$4,Calibration!$A$4:$L$4,0))</f>
        <v>1.6700058956017449</v>
      </c>
      <c r="Q98" s="292">
        <f>INDEX(Calibration!$A$4:$L$13,MATCH($D98&amp;$E98,Calibration!$A$4:$A$13,0),MATCH(Q$4,Calibration!$A$4:$L$4,0))</f>
        <v>0.7643601095247976</v>
      </c>
      <c r="R98" s="293">
        <f>IF(C98&lt;Calibration!$F$5,L98,IF(C98&lt;Calibration!$E$5,C98*M98+N98,IF(C98&lt;K98,C98*O98+P98,Q98)))</f>
        <v>1.281572245931905</v>
      </c>
      <c r="S98" s="286">
        <f t="shared" si="2"/>
        <v>4804.8978068664946</v>
      </c>
      <c r="T98" s="293">
        <f>IF(E98="DHP",VLOOKUP(D98,Calibration!$C$20:$E$22,2,FALSE),IF(D98=1,Calibration!$D$17,Calibration!$D$18))</f>
        <v>0.82813167326562143</v>
      </c>
      <c r="U98" s="286">
        <f t="shared" si="3"/>
        <v>3979.0880606706651</v>
      </c>
      <c r="V98" s="286">
        <f>VLOOKUP(T98,Calibration!$D$17:$E$22,2,FALSE)*S98</f>
        <v>751.01944326648834</v>
      </c>
      <c r="W98" t="s">
        <v>764</v>
      </c>
      <c r="X98">
        <v>398.34715699999998</v>
      </c>
      <c r="Y98">
        <v>0</v>
      </c>
    </row>
    <row r="99" spans="1:25">
      <c r="A99" s="277" t="str">
        <f>SEEMoutput!A101</f>
        <v>WxHZ1CZ2_2200e_30gshp_des0</v>
      </c>
      <c r="B99" s="286">
        <f>SEEMoutput!O101</f>
        <v>3749.2211790000001</v>
      </c>
      <c r="C99" s="287">
        <v>8.5780479662461995E-2</v>
      </c>
      <c r="D99" s="277">
        <f>IF(SEEMoutput!G101&lt;6000,1,IF(SEEMoutput!G101&lt;7500,2,3))</f>
        <v>1</v>
      </c>
      <c r="E99" s="277" t="str">
        <f>IF(LEFT(SEEMoutput!BE101,1)="F","FUR",IF(LEFT(SEEMoutput!BE101,1)="D","DHP","HP"))</f>
        <v>HP</v>
      </c>
      <c r="F99" s="288">
        <f>SEEMoutput!E101</f>
        <v>484.56612999999999</v>
      </c>
      <c r="G99" s="289">
        <f>F99*(69-30)*SEEMoutput!N101/SEEMoutput!M101</f>
        <v>23448.315219298667</v>
      </c>
      <c r="H99" s="290">
        <f>'(Tons) (Furnsize)'!$F$52+'(Tons) (Furnsize)'!$F$53*'(Tons) (Furnsize)'!$B$15+'(Tons) (Furnsize)'!$F$54*G99</f>
        <v>2.8124244778858665</v>
      </c>
      <c r="I99" s="290">
        <f>H99/'(Tons) (Furnsize)'!$G$7</f>
        <v>2.3310973018024623</v>
      </c>
      <c r="J99" s="291">
        <f>F99*(69-VLOOKUP(D99,'(Tons) (Furnsize)'!$D$15:$E$17,2,FALSE))/3412</f>
        <v>7.3849468815943728</v>
      </c>
      <c r="K99" s="292">
        <f>INDEX(Calibration!$A$4:$L$13,MATCH($D99&amp;$E99,Calibration!$A$4:$A$13,0),MATCH(K$4,Calibration!$A$4:$L$4,0))</f>
        <v>0.2</v>
      </c>
      <c r="L99" s="292">
        <f>INDEX(Calibration!$A$4:$L$13,MATCH($D99&amp;$E99,Calibration!$A$4:$A$13,0),MATCH(L$4,Calibration!$A$4:$L$4,0))</f>
        <v>1.3869915874526988</v>
      </c>
      <c r="M99" s="292">
        <f>INDEX(Calibration!$A$4:$L$13,MATCH($D99&amp;$E99,Calibration!$A$4:$A$13,0),MATCH(M$4,Calibration!$A$4:$L$4,0))</f>
        <v>-2.2641144651923684</v>
      </c>
      <c r="N99" s="292">
        <f>INDEX(Calibration!$A$4:$L$13,MATCH($D99&amp;$E99,Calibration!$A$4:$A$13,0),MATCH(N$4,Calibration!$A$4:$L$4,0))</f>
        <v>1.5001973107123172</v>
      </c>
      <c r="O99" s="292">
        <f>INDEX(Calibration!$A$4:$L$13,MATCH($D99&amp;$E99,Calibration!$A$4:$A$13,0),MATCH(O$4,Calibration!$A$4:$L$4,0))</f>
        <v>-4.5282289303847367</v>
      </c>
      <c r="P99" s="292">
        <f>INDEX(Calibration!$A$4:$L$13,MATCH($D99&amp;$E99,Calibration!$A$4:$A$13,0),MATCH(P$4,Calibration!$A$4:$L$4,0))</f>
        <v>1.6700058956017449</v>
      </c>
      <c r="Q99" s="292">
        <f>INDEX(Calibration!$A$4:$L$13,MATCH($D99&amp;$E99,Calibration!$A$4:$A$13,0),MATCH(Q$4,Calibration!$A$4:$L$4,0))</f>
        <v>0.7643601095247976</v>
      </c>
      <c r="R99" s="293">
        <f>IF(C99&lt;Calibration!$F$5,L99,IF(C99&lt;Calibration!$E$5,C99*M99+N99,IF(C99&lt;K99,C99*O99+P99,Q99)))</f>
        <v>1.281572245931905</v>
      </c>
      <c r="S99" s="286">
        <f t="shared" si="2"/>
        <v>4804.8978068664946</v>
      </c>
      <c r="T99" s="293">
        <f>IF(E99="DHP",VLOOKUP(D99,Calibration!$C$20:$E$22,2,FALSE),IF(D99=1,Calibration!$D$17,Calibration!$D$18))</f>
        <v>0.82813167326562143</v>
      </c>
      <c r="U99" s="286">
        <f t="shared" si="3"/>
        <v>3979.0880606706651</v>
      </c>
      <c r="V99" s="286">
        <f>VLOOKUP(T99,Calibration!$D$17:$E$22,2,FALSE)*S99</f>
        <v>751.01944326648834</v>
      </c>
      <c r="W99" t="s">
        <v>767</v>
      </c>
      <c r="X99">
        <v>715.893642</v>
      </c>
      <c r="Y99">
        <v>0</v>
      </c>
    </row>
    <row r="100" spans="1:25">
      <c r="A100" s="277" t="str">
        <f>SEEMoutput!A102</f>
        <v>WxHZ1CZ3_2200e_30gshp_des0</v>
      </c>
      <c r="B100" s="286">
        <f>SEEMoutput!O102</f>
        <v>3749.2211790000001</v>
      </c>
      <c r="C100" s="287">
        <v>8.5780479662461995E-2</v>
      </c>
      <c r="D100" s="277">
        <f>IF(SEEMoutput!G102&lt;6000,1,IF(SEEMoutput!G102&lt;7500,2,3))</f>
        <v>1</v>
      </c>
      <c r="E100" s="277" t="str">
        <f>IF(LEFT(SEEMoutput!BE102,1)="F","FUR",IF(LEFT(SEEMoutput!BE102,1)="D","DHP","HP"))</f>
        <v>HP</v>
      </c>
      <c r="F100" s="288">
        <f>SEEMoutput!E102</f>
        <v>484.56612999999999</v>
      </c>
      <c r="G100" s="289">
        <f>F100*(69-30)*SEEMoutput!N102/SEEMoutput!M102</f>
        <v>23448.315219298667</v>
      </c>
      <c r="H100" s="290">
        <f>'(Tons) (Furnsize)'!$F$52+'(Tons) (Furnsize)'!$F$53*'(Tons) (Furnsize)'!$B$15+'(Tons) (Furnsize)'!$F$54*G100</f>
        <v>2.8124244778858665</v>
      </c>
      <c r="I100" s="290">
        <f>H100/'(Tons) (Furnsize)'!$G$7</f>
        <v>2.3310973018024623</v>
      </c>
      <c r="J100" s="291">
        <f>F100*(69-VLOOKUP(D100,'(Tons) (Furnsize)'!$D$15:$E$17,2,FALSE))/3412</f>
        <v>7.3849468815943728</v>
      </c>
      <c r="K100" s="292">
        <f>INDEX(Calibration!$A$4:$L$13,MATCH($D100&amp;$E100,Calibration!$A$4:$A$13,0),MATCH(K$4,Calibration!$A$4:$L$4,0))</f>
        <v>0.2</v>
      </c>
      <c r="L100" s="292">
        <f>INDEX(Calibration!$A$4:$L$13,MATCH($D100&amp;$E100,Calibration!$A$4:$A$13,0),MATCH(L$4,Calibration!$A$4:$L$4,0))</f>
        <v>1.3869915874526988</v>
      </c>
      <c r="M100" s="292">
        <f>INDEX(Calibration!$A$4:$L$13,MATCH($D100&amp;$E100,Calibration!$A$4:$A$13,0),MATCH(M$4,Calibration!$A$4:$L$4,0))</f>
        <v>-2.2641144651923684</v>
      </c>
      <c r="N100" s="292">
        <f>INDEX(Calibration!$A$4:$L$13,MATCH($D100&amp;$E100,Calibration!$A$4:$A$13,0),MATCH(N$4,Calibration!$A$4:$L$4,0))</f>
        <v>1.5001973107123172</v>
      </c>
      <c r="O100" s="292">
        <f>INDEX(Calibration!$A$4:$L$13,MATCH($D100&amp;$E100,Calibration!$A$4:$A$13,0),MATCH(O$4,Calibration!$A$4:$L$4,0))</f>
        <v>-4.5282289303847367</v>
      </c>
      <c r="P100" s="292">
        <f>INDEX(Calibration!$A$4:$L$13,MATCH($D100&amp;$E100,Calibration!$A$4:$A$13,0),MATCH(P$4,Calibration!$A$4:$L$4,0))</f>
        <v>1.6700058956017449</v>
      </c>
      <c r="Q100" s="292">
        <f>INDEX(Calibration!$A$4:$L$13,MATCH($D100&amp;$E100,Calibration!$A$4:$A$13,0),MATCH(Q$4,Calibration!$A$4:$L$4,0))</f>
        <v>0.7643601095247976</v>
      </c>
      <c r="R100" s="293">
        <f>IF(C100&lt;Calibration!$F$5,L100,IF(C100&lt;Calibration!$E$5,C100*M100+N100,IF(C100&lt;K100,C100*O100+P100,Q100)))</f>
        <v>1.281572245931905</v>
      </c>
      <c r="S100" s="286">
        <f t="shared" si="2"/>
        <v>4804.8978068664946</v>
      </c>
      <c r="T100" s="293">
        <f>IF(E100="DHP",VLOOKUP(D100,Calibration!$C$20:$E$22,2,FALSE),IF(D100=1,Calibration!$D$17,Calibration!$D$18))</f>
        <v>0.82813167326562143</v>
      </c>
      <c r="U100" s="286">
        <f t="shared" si="3"/>
        <v>3979.0880606706651</v>
      </c>
      <c r="V100" s="286">
        <f>VLOOKUP(T100,Calibration!$D$17:$E$22,2,FALSE)*S100</f>
        <v>751.01944326648834</v>
      </c>
      <c r="W100" t="s">
        <v>770</v>
      </c>
      <c r="X100">
        <v>1093.609475</v>
      </c>
      <c r="Y100">
        <v>0</v>
      </c>
    </row>
    <row r="101" spans="1:25">
      <c r="A101" s="277" t="str">
        <f>SEEMoutput!A103</f>
        <v>NWHZ2CZ1_2200n_25gshp_des0</v>
      </c>
      <c r="B101" s="286">
        <f>SEEMoutput!O103</f>
        <v>4648.8032309999999</v>
      </c>
      <c r="C101" s="287">
        <v>7.5059438954368174E-2</v>
      </c>
      <c r="D101" s="277">
        <f>IF(SEEMoutput!G103&lt;6000,1,IF(SEEMoutput!G103&lt;7500,2,3))</f>
        <v>2</v>
      </c>
      <c r="E101" s="277" t="str">
        <f>IF(LEFT(SEEMoutput!BE103,1)="F","FUR",IF(LEFT(SEEMoutput!BE103,1)="D","DHP","HP"))</f>
        <v>HP</v>
      </c>
      <c r="F101" s="288">
        <f>SEEMoutput!E103</f>
        <v>425.73406999999997</v>
      </c>
      <c r="G101" s="289">
        <f>F101*(69-30)*SEEMoutput!N103/SEEMoutput!M103</f>
        <v>20836.843709237848</v>
      </c>
      <c r="H101" s="290">
        <f>'(Tons) (Furnsize)'!$F$52+'(Tons) (Furnsize)'!$F$53*'(Tons) (Furnsize)'!$B$15+'(Tons) (Furnsize)'!$F$54*G101</f>
        <v>2.5058105757054516</v>
      </c>
      <c r="I101" s="290">
        <f>H101/'(Tons) (Furnsize)'!$G$7</f>
        <v>2.0769582677811211</v>
      </c>
      <c r="J101" s="291">
        <f>F101*(69-VLOOKUP(D101,'(Tons) (Furnsize)'!$D$15:$E$17,2,FALSE))/3412</f>
        <v>8.6095107942555682</v>
      </c>
      <c r="K101" s="292">
        <f>INDEX(Calibration!$A$4:$L$13,MATCH($D101&amp;$E101,Calibration!$A$4:$A$13,0),MATCH(K$4,Calibration!$A$4:$L$4,0))</f>
        <v>0.17499999999999999</v>
      </c>
      <c r="L101" s="292">
        <f>INDEX(Calibration!$A$4:$L$13,MATCH($D101&amp;$E101,Calibration!$A$4:$A$13,0),MATCH(L$4,Calibration!$A$4:$L$4,0))</f>
        <v>1.1965160377936901</v>
      </c>
      <c r="M101" s="292">
        <f>INDEX(Calibration!$A$4:$L$13,MATCH($D101&amp;$E101,Calibration!$A$4:$A$13,0),MATCH(M$4,Calibration!$A$4:$L$4,0))</f>
        <v>-2.050167690250368</v>
      </c>
      <c r="N101" s="292">
        <f>INDEX(Calibration!$A$4:$L$13,MATCH($D101&amp;$E101,Calibration!$A$4:$A$13,0),MATCH(N$4,Calibration!$A$4:$L$4,0))</f>
        <v>1.2990244223062084</v>
      </c>
      <c r="O101" s="292">
        <f>INDEX(Calibration!$A$4:$L$13,MATCH($D101&amp;$E101,Calibration!$A$4:$A$13,0),MATCH(O$4,Calibration!$A$4:$L$4,0))</f>
        <v>-4.1003353805007361</v>
      </c>
      <c r="P101" s="292">
        <f>INDEX(Calibration!$A$4:$L$13,MATCH($D101&amp;$E101,Calibration!$A$4:$A$13,0),MATCH(P$4,Calibration!$A$4:$L$4,0))</f>
        <v>1.452786999074986</v>
      </c>
      <c r="Q101" s="292">
        <f>INDEX(Calibration!$A$4:$L$13,MATCH($D101&amp;$E101,Calibration!$A$4:$A$13,0),MATCH(Q$4,Calibration!$A$4:$L$4,0))</f>
        <v>0.73522830748735724</v>
      </c>
      <c r="R101" s="293">
        <f>IF(C101&lt;Calibration!$F$5,L101,IF(C101&lt;Calibration!$E$5,C101*M101+N101,IF(C101&lt;K101,C101*O101+P101,Q101)))</f>
        <v>1.1450181258898549</v>
      </c>
      <c r="S101" s="286">
        <f t="shared" si="2"/>
        <v>5322.9639631903219</v>
      </c>
      <c r="T101" s="293">
        <f>IF(E101="DHP",VLOOKUP(D101,Calibration!$C$20:$E$22,2,FALSE),IF(D101=1,Calibration!$D$17,Calibration!$D$18))</f>
        <v>0.85917762533929642</v>
      </c>
      <c r="U101" s="286">
        <f t="shared" si="3"/>
        <v>4573.3715376605105</v>
      </c>
      <c r="V101" s="286">
        <f>VLOOKUP(T101,Calibration!$D$17:$E$22,2,FALSE)*S101</f>
        <v>657.74751637468421</v>
      </c>
      <c r="W101" t="s">
        <v>779</v>
      </c>
      <c r="X101">
        <v>408.95325100000002</v>
      </c>
      <c r="Y101">
        <v>0</v>
      </c>
    </row>
    <row r="102" spans="1:25">
      <c r="A102" s="277" t="str">
        <f>SEEMoutput!A104</f>
        <v>NWHZ2CZ2_2200n_25gshp_des0</v>
      </c>
      <c r="B102" s="286">
        <f>SEEMoutput!O104</f>
        <v>4648.8032309999999</v>
      </c>
      <c r="C102" s="287">
        <v>7.5059438954368174E-2</v>
      </c>
      <c r="D102" s="277">
        <f>IF(SEEMoutput!G104&lt;6000,1,IF(SEEMoutput!G104&lt;7500,2,3))</f>
        <v>2</v>
      </c>
      <c r="E102" s="277" t="str">
        <f>IF(LEFT(SEEMoutput!BE104,1)="F","FUR",IF(LEFT(SEEMoutput!BE104,1)="D","DHP","HP"))</f>
        <v>HP</v>
      </c>
      <c r="F102" s="288">
        <f>SEEMoutput!E104</f>
        <v>425.73406999999997</v>
      </c>
      <c r="G102" s="289">
        <f>F102*(69-30)*SEEMoutput!N104/SEEMoutput!M104</f>
        <v>20836.843709237848</v>
      </c>
      <c r="H102" s="290">
        <f>'(Tons) (Furnsize)'!$F$52+'(Tons) (Furnsize)'!$F$53*'(Tons) (Furnsize)'!$B$15+'(Tons) (Furnsize)'!$F$54*G102</f>
        <v>2.5058105757054516</v>
      </c>
      <c r="I102" s="290">
        <f>H102/'(Tons) (Furnsize)'!$G$7</f>
        <v>2.0769582677811211</v>
      </c>
      <c r="J102" s="291">
        <f>F102*(69-VLOOKUP(D102,'(Tons) (Furnsize)'!$D$15:$E$17,2,FALSE))/3412</f>
        <v>8.6095107942555682</v>
      </c>
      <c r="K102" s="292">
        <f>INDEX(Calibration!$A$4:$L$13,MATCH($D102&amp;$E102,Calibration!$A$4:$A$13,0),MATCH(K$4,Calibration!$A$4:$L$4,0))</f>
        <v>0.17499999999999999</v>
      </c>
      <c r="L102" s="292">
        <f>INDEX(Calibration!$A$4:$L$13,MATCH($D102&amp;$E102,Calibration!$A$4:$A$13,0),MATCH(L$4,Calibration!$A$4:$L$4,0))</f>
        <v>1.1965160377936901</v>
      </c>
      <c r="M102" s="292">
        <f>INDEX(Calibration!$A$4:$L$13,MATCH($D102&amp;$E102,Calibration!$A$4:$A$13,0),MATCH(M$4,Calibration!$A$4:$L$4,0))</f>
        <v>-2.050167690250368</v>
      </c>
      <c r="N102" s="292">
        <f>INDEX(Calibration!$A$4:$L$13,MATCH($D102&amp;$E102,Calibration!$A$4:$A$13,0),MATCH(N$4,Calibration!$A$4:$L$4,0))</f>
        <v>1.2990244223062084</v>
      </c>
      <c r="O102" s="292">
        <f>INDEX(Calibration!$A$4:$L$13,MATCH($D102&amp;$E102,Calibration!$A$4:$A$13,0),MATCH(O$4,Calibration!$A$4:$L$4,0))</f>
        <v>-4.1003353805007361</v>
      </c>
      <c r="P102" s="292">
        <f>INDEX(Calibration!$A$4:$L$13,MATCH($D102&amp;$E102,Calibration!$A$4:$A$13,0),MATCH(P$4,Calibration!$A$4:$L$4,0))</f>
        <v>1.452786999074986</v>
      </c>
      <c r="Q102" s="292">
        <f>INDEX(Calibration!$A$4:$L$13,MATCH($D102&amp;$E102,Calibration!$A$4:$A$13,0),MATCH(Q$4,Calibration!$A$4:$L$4,0))</f>
        <v>0.73522830748735724</v>
      </c>
      <c r="R102" s="293">
        <f>IF(C102&lt;Calibration!$F$5,L102,IF(C102&lt;Calibration!$E$5,C102*M102+N102,IF(C102&lt;K102,C102*O102+P102,Q102)))</f>
        <v>1.1450181258898549</v>
      </c>
      <c r="S102" s="286">
        <f t="shared" si="2"/>
        <v>5322.9639631903219</v>
      </c>
      <c r="T102" s="293">
        <f>IF(E102="DHP",VLOOKUP(D102,Calibration!$C$20:$E$22,2,FALSE),IF(D102=1,Calibration!$D$17,Calibration!$D$18))</f>
        <v>0.85917762533929642</v>
      </c>
      <c r="U102" s="286">
        <f t="shared" si="3"/>
        <v>4573.3715376605105</v>
      </c>
      <c r="V102" s="286">
        <f>VLOOKUP(T102,Calibration!$D$17:$E$22,2,FALSE)*S102</f>
        <v>657.74751637468421</v>
      </c>
      <c r="W102" t="s">
        <v>782</v>
      </c>
      <c r="X102">
        <v>701.82783700000005</v>
      </c>
      <c r="Y102">
        <v>0</v>
      </c>
    </row>
    <row r="103" spans="1:25">
      <c r="A103" s="277" t="str">
        <f>SEEMoutput!A105</f>
        <v>NWHZ2CZ3_2200n_25gshp_des0</v>
      </c>
      <c r="B103" s="286">
        <f>SEEMoutput!O105</f>
        <v>4648.8032309999999</v>
      </c>
      <c r="C103" s="287">
        <v>7.5059438954368174E-2</v>
      </c>
      <c r="D103" s="277">
        <f>IF(SEEMoutput!G105&lt;6000,1,IF(SEEMoutput!G105&lt;7500,2,3))</f>
        <v>2</v>
      </c>
      <c r="E103" s="277" t="str">
        <f>IF(LEFT(SEEMoutput!BE105,1)="F","FUR",IF(LEFT(SEEMoutput!BE105,1)="D","DHP","HP"))</f>
        <v>HP</v>
      </c>
      <c r="F103" s="288">
        <f>SEEMoutput!E105</f>
        <v>425.73406999999997</v>
      </c>
      <c r="G103" s="289">
        <f>F103*(69-30)*SEEMoutput!N105/SEEMoutput!M105</f>
        <v>20836.843709237848</v>
      </c>
      <c r="H103" s="290">
        <f>'(Tons) (Furnsize)'!$F$52+'(Tons) (Furnsize)'!$F$53*'(Tons) (Furnsize)'!$B$15+'(Tons) (Furnsize)'!$F$54*G103</f>
        <v>2.5058105757054516</v>
      </c>
      <c r="I103" s="290">
        <f>H103/'(Tons) (Furnsize)'!$G$7</f>
        <v>2.0769582677811211</v>
      </c>
      <c r="J103" s="291">
        <f>F103*(69-VLOOKUP(D103,'(Tons) (Furnsize)'!$D$15:$E$17,2,FALSE))/3412</f>
        <v>8.6095107942555682</v>
      </c>
      <c r="K103" s="292">
        <f>INDEX(Calibration!$A$4:$L$13,MATCH($D103&amp;$E103,Calibration!$A$4:$A$13,0),MATCH(K$4,Calibration!$A$4:$L$4,0))</f>
        <v>0.17499999999999999</v>
      </c>
      <c r="L103" s="292">
        <f>INDEX(Calibration!$A$4:$L$13,MATCH($D103&amp;$E103,Calibration!$A$4:$A$13,0),MATCH(L$4,Calibration!$A$4:$L$4,0))</f>
        <v>1.1965160377936901</v>
      </c>
      <c r="M103" s="292">
        <f>INDEX(Calibration!$A$4:$L$13,MATCH($D103&amp;$E103,Calibration!$A$4:$A$13,0),MATCH(M$4,Calibration!$A$4:$L$4,0))</f>
        <v>-2.050167690250368</v>
      </c>
      <c r="N103" s="292">
        <f>INDEX(Calibration!$A$4:$L$13,MATCH($D103&amp;$E103,Calibration!$A$4:$A$13,0),MATCH(N$4,Calibration!$A$4:$L$4,0))</f>
        <v>1.2990244223062084</v>
      </c>
      <c r="O103" s="292">
        <f>INDEX(Calibration!$A$4:$L$13,MATCH($D103&amp;$E103,Calibration!$A$4:$A$13,0),MATCH(O$4,Calibration!$A$4:$L$4,0))</f>
        <v>-4.1003353805007361</v>
      </c>
      <c r="P103" s="292">
        <f>INDEX(Calibration!$A$4:$L$13,MATCH($D103&amp;$E103,Calibration!$A$4:$A$13,0),MATCH(P$4,Calibration!$A$4:$L$4,0))</f>
        <v>1.452786999074986</v>
      </c>
      <c r="Q103" s="292">
        <f>INDEX(Calibration!$A$4:$L$13,MATCH($D103&amp;$E103,Calibration!$A$4:$A$13,0),MATCH(Q$4,Calibration!$A$4:$L$4,0))</f>
        <v>0.73522830748735724</v>
      </c>
      <c r="R103" s="293">
        <f>IF(C103&lt;Calibration!$F$5,L103,IF(C103&lt;Calibration!$E$5,C103*M103+N103,IF(C103&lt;K103,C103*O103+P103,Q103)))</f>
        <v>1.1450181258898549</v>
      </c>
      <c r="S103" s="286">
        <f t="shared" si="2"/>
        <v>5322.9639631903219</v>
      </c>
      <c r="T103" s="293">
        <f>IF(E103="DHP",VLOOKUP(D103,Calibration!$C$20:$E$22,2,FALSE),IF(D103=1,Calibration!$D$17,Calibration!$D$18))</f>
        <v>0.85917762533929642</v>
      </c>
      <c r="U103" s="286">
        <f t="shared" si="3"/>
        <v>4573.3715376605105</v>
      </c>
      <c r="V103" s="286">
        <f>VLOOKUP(T103,Calibration!$D$17:$E$22,2,FALSE)*S103</f>
        <v>657.74751637468421</v>
      </c>
      <c r="W103" t="s">
        <v>785</v>
      </c>
      <c r="X103">
        <v>1048.330596</v>
      </c>
      <c r="Y103">
        <v>0</v>
      </c>
    </row>
    <row r="104" spans="1:25">
      <c r="A104" s="277" t="str">
        <f>SEEMoutput!A106</f>
        <v>WxHZ2CZ1_2200e_30gshp_des0</v>
      </c>
      <c r="B104" s="286">
        <f>SEEMoutput!O106</f>
        <v>5497.6839840000002</v>
      </c>
      <c r="C104" s="287">
        <v>8.7964350480967332E-2</v>
      </c>
      <c r="D104" s="277">
        <f>IF(SEEMoutput!G106&lt;6000,1,IF(SEEMoutput!G106&lt;7500,2,3))</f>
        <v>2</v>
      </c>
      <c r="E104" s="277" t="str">
        <f>IF(LEFT(SEEMoutput!BE106,1)="F","FUR",IF(LEFT(SEEMoutput!BE106,1)="D","DHP","HP"))</f>
        <v>HP</v>
      </c>
      <c r="F104" s="288">
        <f>SEEMoutput!E106</f>
        <v>491.69026400000001</v>
      </c>
      <c r="G104" s="289">
        <f>F104*(69-30)*SEEMoutput!N106/SEEMoutput!M106</f>
        <v>24259.042120557715</v>
      </c>
      <c r="H104" s="290">
        <f>'(Tons) (Furnsize)'!$F$52+'(Tons) (Furnsize)'!$F$53*'(Tons) (Furnsize)'!$B$15+'(Tons) (Furnsize)'!$F$54*G104</f>
        <v>2.9076122438025171</v>
      </c>
      <c r="I104" s="290">
        <f>H104/'(Tons) (Furnsize)'!$G$7</f>
        <v>2.4099943338961767</v>
      </c>
      <c r="J104" s="291">
        <f>F104*(69-VLOOKUP(D104,'(Tons) (Furnsize)'!$D$15:$E$17,2,FALSE))/3412</f>
        <v>9.9433259718640095</v>
      </c>
      <c r="K104" s="292">
        <f>INDEX(Calibration!$A$4:$L$13,MATCH($D104&amp;$E104,Calibration!$A$4:$A$13,0),MATCH(K$4,Calibration!$A$4:$L$4,0))</f>
        <v>0.17499999999999999</v>
      </c>
      <c r="L104" s="292">
        <f>INDEX(Calibration!$A$4:$L$13,MATCH($D104&amp;$E104,Calibration!$A$4:$A$13,0),MATCH(L$4,Calibration!$A$4:$L$4,0))</f>
        <v>1.1965160377936901</v>
      </c>
      <c r="M104" s="292">
        <f>INDEX(Calibration!$A$4:$L$13,MATCH($D104&amp;$E104,Calibration!$A$4:$A$13,0),MATCH(M$4,Calibration!$A$4:$L$4,0))</f>
        <v>-2.050167690250368</v>
      </c>
      <c r="N104" s="292">
        <f>INDEX(Calibration!$A$4:$L$13,MATCH($D104&amp;$E104,Calibration!$A$4:$A$13,0),MATCH(N$4,Calibration!$A$4:$L$4,0))</f>
        <v>1.2990244223062084</v>
      </c>
      <c r="O104" s="292">
        <f>INDEX(Calibration!$A$4:$L$13,MATCH($D104&amp;$E104,Calibration!$A$4:$A$13,0),MATCH(O$4,Calibration!$A$4:$L$4,0))</f>
        <v>-4.1003353805007361</v>
      </c>
      <c r="P104" s="292">
        <f>INDEX(Calibration!$A$4:$L$13,MATCH($D104&amp;$E104,Calibration!$A$4:$A$13,0),MATCH(P$4,Calibration!$A$4:$L$4,0))</f>
        <v>1.452786999074986</v>
      </c>
      <c r="Q104" s="292">
        <f>INDEX(Calibration!$A$4:$L$13,MATCH($D104&amp;$E104,Calibration!$A$4:$A$13,0),MATCH(Q$4,Calibration!$A$4:$L$4,0))</f>
        <v>0.73522830748735724</v>
      </c>
      <c r="R104" s="293">
        <f>IF(C104&lt;Calibration!$F$5,L104,IF(C104&lt;Calibration!$E$5,C104*M104+N104,IF(C104&lt;K104,C104*O104+P104,Q104)))</f>
        <v>1.0921036605751087</v>
      </c>
      <c r="S104" s="286">
        <f t="shared" si="2"/>
        <v>6004.0408036115477</v>
      </c>
      <c r="T104" s="293">
        <f>IF(E104="DHP",VLOOKUP(D104,Calibration!$C$20:$E$22,2,FALSE),IF(D104=1,Calibration!$D$17,Calibration!$D$18))</f>
        <v>0.85917762533929642</v>
      </c>
      <c r="U104" s="286">
        <f t="shared" si="3"/>
        <v>5158.5375200872104</v>
      </c>
      <c r="V104" s="286">
        <f>VLOOKUP(T104,Calibration!$D$17:$E$22,2,FALSE)*S104</f>
        <v>741.9067561037624</v>
      </c>
      <c r="W104" t="s">
        <v>779</v>
      </c>
      <c r="X104">
        <v>398.34715699999998</v>
      </c>
      <c r="Y104">
        <v>0</v>
      </c>
    </row>
    <row r="105" spans="1:25">
      <c r="A105" s="277" t="str">
        <f>SEEMoutput!A107</f>
        <v>WxHZ2CZ2_2200e_30gshp_des0</v>
      </c>
      <c r="B105" s="286">
        <f>SEEMoutput!O107</f>
        <v>5497.6839840000002</v>
      </c>
      <c r="C105" s="287">
        <v>8.7964350480967332E-2</v>
      </c>
      <c r="D105" s="277">
        <f>IF(SEEMoutput!G107&lt;6000,1,IF(SEEMoutput!G107&lt;7500,2,3))</f>
        <v>2</v>
      </c>
      <c r="E105" s="277" t="str">
        <f>IF(LEFT(SEEMoutput!BE107,1)="F","FUR",IF(LEFT(SEEMoutput!BE107,1)="D","DHP","HP"))</f>
        <v>HP</v>
      </c>
      <c r="F105" s="288">
        <f>SEEMoutput!E107</f>
        <v>491.69026400000001</v>
      </c>
      <c r="G105" s="289">
        <f>F105*(69-30)*SEEMoutput!N107/SEEMoutput!M107</f>
        <v>24259.042120557715</v>
      </c>
      <c r="H105" s="290">
        <f>'(Tons) (Furnsize)'!$F$52+'(Tons) (Furnsize)'!$F$53*'(Tons) (Furnsize)'!$B$15+'(Tons) (Furnsize)'!$F$54*G105</f>
        <v>2.9076122438025171</v>
      </c>
      <c r="I105" s="290">
        <f>H105/'(Tons) (Furnsize)'!$G$7</f>
        <v>2.4099943338961767</v>
      </c>
      <c r="J105" s="291">
        <f>F105*(69-VLOOKUP(D105,'(Tons) (Furnsize)'!$D$15:$E$17,2,FALSE))/3412</f>
        <v>9.9433259718640095</v>
      </c>
      <c r="K105" s="292">
        <f>INDEX(Calibration!$A$4:$L$13,MATCH($D105&amp;$E105,Calibration!$A$4:$A$13,0),MATCH(K$4,Calibration!$A$4:$L$4,0))</f>
        <v>0.17499999999999999</v>
      </c>
      <c r="L105" s="292">
        <f>INDEX(Calibration!$A$4:$L$13,MATCH($D105&amp;$E105,Calibration!$A$4:$A$13,0),MATCH(L$4,Calibration!$A$4:$L$4,0))</f>
        <v>1.1965160377936901</v>
      </c>
      <c r="M105" s="292">
        <f>INDEX(Calibration!$A$4:$L$13,MATCH($D105&amp;$E105,Calibration!$A$4:$A$13,0),MATCH(M$4,Calibration!$A$4:$L$4,0))</f>
        <v>-2.050167690250368</v>
      </c>
      <c r="N105" s="292">
        <f>INDEX(Calibration!$A$4:$L$13,MATCH($D105&amp;$E105,Calibration!$A$4:$A$13,0),MATCH(N$4,Calibration!$A$4:$L$4,0))</f>
        <v>1.2990244223062084</v>
      </c>
      <c r="O105" s="292">
        <f>INDEX(Calibration!$A$4:$L$13,MATCH($D105&amp;$E105,Calibration!$A$4:$A$13,0),MATCH(O$4,Calibration!$A$4:$L$4,0))</f>
        <v>-4.1003353805007361</v>
      </c>
      <c r="P105" s="292">
        <f>INDEX(Calibration!$A$4:$L$13,MATCH($D105&amp;$E105,Calibration!$A$4:$A$13,0),MATCH(P$4,Calibration!$A$4:$L$4,0))</f>
        <v>1.452786999074986</v>
      </c>
      <c r="Q105" s="292">
        <f>INDEX(Calibration!$A$4:$L$13,MATCH($D105&amp;$E105,Calibration!$A$4:$A$13,0),MATCH(Q$4,Calibration!$A$4:$L$4,0))</f>
        <v>0.73522830748735724</v>
      </c>
      <c r="R105" s="293">
        <f>IF(C105&lt;Calibration!$F$5,L105,IF(C105&lt;Calibration!$E$5,C105*M105+N105,IF(C105&lt;K105,C105*O105+P105,Q105)))</f>
        <v>1.0921036605751087</v>
      </c>
      <c r="S105" s="286">
        <f t="shared" si="2"/>
        <v>6004.0408036115477</v>
      </c>
      <c r="T105" s="293">
        <f>IF(E105="DHP",VLOOKUP(D105,Calibration!$C$20:$E$22,2,FALSE),IF(D105=1,Calibration!$D$17,Calibration!$D$18))</f>
        <v>0.85917762533929642</v>
      </c>
      <c r="U105" s="286">
        <f t="shared" si="3"/>
        <v>5158.5375200872104</v>
      </c>
      <c r="V105" s="286">
        <f>VLOOKUP(T105,Calibration!$D$17:$E$22,2,FALSE)*S105</f>
        <v>741.9067561037624</v>
      </c>
      <c r="W105" t="s">
        <v>782</v>
      </c>
      <c r="X105">
        <v>715.893642</v>
      </c>
      <c r="Y105">
        <v>0</v>
      </c>
    </row>
    <row r="106" spans="1:25">
      <c r="A106" s="277" t="str">
        <f>SEEMoutput!A108</f>
        <v>WxHZ2CZ3_2200e_30gshp_des0</v>
      </c>
      <c r="B106" s="286">
        <f>SEEMoutput!O108</f>
        <v>5497.6839840000002</v>
      </c>
      <c r="C106" s="287">
        <v>8.7964350480967332E-2</v>
      </c>
      <c r="D106" s="277">
        <f>IF(SEEMoutput!G108&lt;6000,1,IF(SEEMoutput!G108&lt;7500,2,3))</f>
        <v>2</v>
      </c>
      <c r="E106" s="277" t="str">
        <f>IF(LEFT(SEEMoutput!BE108,1)="F","FUR",IF(LEFT(SEEMoutput!BE108,1)="D","DHP","HP"))</f>
        <v>HP</v>
      </c>
      <c r="F106" s="288">
        <f>SEEMoutput!E108</f>
        <v>491.69026400000001</v>
      </c>
      <c r="G106" s="289">
        <f>F106*(69-30)*SEEMoutput!N108/SEEMoutput!M108</f>
        <v>24259.042120557715</v>
      </c>
      <c r="H106" s="290">
        <f>'(Tons) (Furnsize)'!$F$52+'(Tons) (Furnsize)'!$F$53*'(Tons) (Furnsize)'!$B$15+'(Tons) (Furnsize)'!$F$54*G106</f>
        <v>2.9076122438025171</v>
      </c>
      <c r="I106" s="290">
        <f>H106/'(Tons) (Furnsize)'!$G$7</f>
        <v>2.4099943338961767</v>
      </c>
      <c r="J106" s="291">
        <f>F106*(69-VLOOKUP(D106,'(Tons) (Furnsize)'!$D$15:$E$17,2,FALSE))/3412</f>
        <v>9.9433259718640095</v>
      </c>
      <c r="K106" s="292">
        <f>INDEX(Calibration!$A$4:$L$13,MATCH($D106&amp;$E106,Calibration!$A$4:$A$13,0),MATCH(K$4,Calibration!$A$4:$L$4,0))</f>
        <v>0.17499999999999999</v>
      </c>
      <c r="L106" s="292">
        <f>INDEX(Calibration!$A$4:$L$13,MATCH($D106&amp;$E106,Calibration!$A$4:$A$13,0),MATCH(L$4,Calibration!$A$4:$L$4,0))</f>
        <v>1.1965160377936901</v>
      </c>
      <c r="M106" s="292">
        <f>INDEX(Calibration!$A$4:$L$13,MATCH($D106&amp;$E106,Calibration!$A$4:$A$13,0),MATCH(M$4,Calibration!$A$4:$L$4,0))</f>
        <v>-2.050167690250368</v>
      </c>
      <c r="N106" s="292">
        <f>INDEX(Calibration!$A$4:$L$13,MATCH($D106&amp;$E106,Calibration!$A$4:$A$13,0),MATCH(N$4,Calibration!$A$4:$L$4,0))</f>
        <v>1.2990244223062084</v>
      </c>
      <c r="O106" s="292">
        <f>INDEX(Calibration!$A$4:$L$13,MATCH($D106&amp;$E106,Calibration!$A$4:$A$13,0),MATCH(O$4,Calibration!$A$4:$L$4,0))</f>
        <v>-4.1003353805007361</v>
      </c>
      <c r="P106" s="292">
        <f>INDEX(Calibration!$A$4:$L$13,MATCH($D106&amp;$E106,Calibration!$A$4:$A$13,0),MATCH(P$4,Calibration!$A$4:$L$4,0))</f>
        <v>1.452786999074986</v>
      </c>
      <c r="Q106" s="292">
        <f>INDEX(Calibration!$A$4:$L$13,MATCH($D106&amp;$E106,Calibration!$A$4:$A$13,0),MATCH(Q$4,Calibration!$A$4:$L$4,0))</f>
        <v>0.73522830748735724</v>
      </c>
      <c r="R106" s="293">
        <f>IF(C106&lt;Calibration!$F$5,L106,IF(C106&lt;Calibration!$E$5,C106*M106+N106,IF(C106&lt;K106,C106*O106+P106,Q106)))</f>
        <v>1.0921036605751087</v>
      </c>
      <c r="S106" s="286">
        <f t="shared" si="2"/>
        <v>6004.0408036115477</v>
      </c>
      <c r="T106" s="293">
        <f>IF(E106="DHP",VLOOKUP(D106,Calibration!$C$20:$E$22,2,FALSE),IF(D106=1,Calibration!$D$17,Calibration!$D$18))</f>
        <v>0.85917762533929642</v>
      </c>
      <c r="U106" s="286">
        <f t="shared" si="3"/>
        <v>5158.5375200872104</v>
      </c>
      <c r="V106" s="286">
        <f>VLOOKUP(T106,Calibration!$D$17:$E$22,2,FALSE)*S106</f>
        <v>741.9067561037624</v>
      </c>
      <c r="W106" t="s">
        <v>785</v>
      </c>
      <c r="X106">
        <v>1093.609475</v>
      </c>
      <c r="Y106">
        <v>0</v>
      </c>
    </row>
    <row r="107" spans="1:25">
      <c r="A107" s="277" t="str">
        <f>SEEMoutput!A109</f>
        <v>NWHZ3CZ1_2200n_25gshp_des0</v>
      </c>
      <c r="B107" s="286">
        <f>SEEMoutput!O109</f>
        <v>5913.0154400000001</v>
      </c>
      <c r="C107" s="287">
        <v>7.4758666000631524E-2</v>
      </c>
      <c r="D107" s="277">
        <f>IF(SEEMoutput!G109&lt;6000,1,IF(SEEMoutput!G109&lt;7500,2,3))</f>
        <v>3</v>
      </c>
      <c r="E107" s="277" t="str">
        <f>IF(LEFT(SEEMoutput!BE109,1)="F","FUR",IF(LEFT(SEEMoutput!BE109,1)="D","DHP","HP"))</f>
        <v>HP</v>
      </c>
      <c r="F107" s="288">
        <f>SEEMoutput!E109</f>
        <v>421.99188099999998</v>
      </c>
      <c r="G107" s="289">
        <f>F107*(69-30)*SEEMoutput!N109/SEEMoutput!M109</f>
        <v>20859.302872182507</v>
      </c>
      <c r="H107" s="290">
        <f>'(Tons) (Furnsize)'!$F$52+'(Tons) (Furnsize)'!$F$53*'(Tons) (Furnsize)'!$B$15+'(Tons) (Furnsize)'!$F$54*G107</f>
        <v>2.5084475149037688</v>
      </c>
      <c r="I107" s="290">
        <f>H107/'(Tons) (Furnsize)'!$G$7</f>
        <v>2.0791439129063671</v>
      </c>
      <c r="J107" s="291">
        <f>F107*(69-VLOOKUP(D107,'(Tons) (Furnsize)'!$D$15:$E$17,2,FALSE))/3412</f>
        <v>11.625802114302461</v>
      </c>
      <c r="K107" s="292">
        <f>INDEX(Calibration!$A$4:$L$13,MATCH($D107&amp;$E107,Calibration!$A$4:$A$13,0),MATCH(K$4,Calibration!$A$4:$L$4,0))</f>
        <v>0.15</v>
      </c>
      <c r="L107" s="292">
        <f>INDEX(Calibration!$A$4:$L$13,MATCH($D107&amp;$E107,Calibration!$A$4:$A$13,0),MATCH(L$4,Calibration!$A$4:$L$4,0))</f>
        <v>1.0259371368886356</v>
      </c>
      <c r="M107" s="292">
        <f>INDEX(Calibration!$A$4:$L$13,MATCH($D107&amp;$E107,Calibration!$A$4:$A$13,0),MATCH(M$4,Calibration!$A$4:$L$4,0))</f>
        <v>-1.8551508104013119</v>
      </c>
      <c r="N107" s="292">
        <f>INDEX(Calibration!$A$4:$L$13,MATCH($D107&amp;$E107,Calibration!$A$4:$A$13,0),MATCH(N$4,Calibration!$A$4:$L$4,0))</f>
        <v>1.1186946774087012</v>
      </c>
      <c r="O107" s="292">
        <f>INDEX(Calibration!$A$4:$L$13,MATCH($D107&amp;$E107,Calibration!$A$4:$A$13,0),MATCH(O$4,Calibration!$A$4:$L$4,0))</f>
        <v>-3.7103016208026238</v>
      </c>
      <c r="P107" s="292">
        <f>INDEX(Calibration!$A$4:$L$13,MATCH($D107&amp;$E107,Calibration!$A$4:$A$13,0),MATCH(P$4,Calibration!$A$4:$L$4,0))</f>
        <v>1.2578309881887995</v>
      </c>
      <c r="Q107" s="292">
        <f>INDEX(Calibration!$A$4:$L$13,MATCH($D107&amp;$E107,Calibration!$A$4:$A$13,0),MATCH(Q$4,Calibration!$A$4:$L$4,0))</f>
        <v>0.7012857450684058</v>
      </c>
      <c r="R107" s="293">
        <f>IF(C107&lt;Calibration!$F$5,L107,IF(C107&lt;Calibration!$E$5,C107*M107+N107,IF(C107&lt;K107,C107*O107+P107,Q107)))</f>
        <v>0.98000607759310865</v>
      </c>
      <c r="S107" s="286">
        <f t="shared" si="2"/>
        <v>5794.7910681018893</v>
      </c>
      <c r="T107" s="293">
        <f>IF(E107="DHP",VLOOKUP(D107,Calibration!$C$20:$E$22,2,FALSE),IF(D107=1,Calibration!$D$17,Calibration!$D$18))</f>
        <v>0.85917762533929642</v>
      </c>
      <c r="U107" s="286">
        <f t="shared" si="3"/>
        <v>4978.7548292291467</v>
      </c>
      <c r="V107" s="286">
        <f>VLOOKUP(T107,Calibration!$D$17:$E$22,2,FALSE)*S107</f>
        <v>716.05020423053747</v>
      </c>
      <c r="W107" t="s">
        <v>794</v>
      </c>
      <c r="X107">
        <v>408.95325100000002</v>
      </c>
      <c r="Y107">
        <v>0</v>
      </c>
    </row>
    <row r="108" spans="1:25">
      <c r="A108" s="277" t="str">
        <f>SEEMoutput!A110</f>
        <v>NWHZ3CZ2_2200n_25gshp_des0</v>
      </c>
      <c r="B108" s="286">
        <f>SEEMoutput!O110</f>
        <v>5913.0154400000001</v>
      </c>
      <c r="C108" s="287">
        <v>7.4758666000631524E-2</v>
      </c>
      <c r="D108" s="277">
        <f>IF(SEEMoutput!G110&lt;6000,1,IF(SEEMoutput!G110&lt;7500,2,3))</f>
        <v>3</v>
      </c>
      <c r="E108" s="277" t="str">
        <f>IF(LEFT(SEEMoutput!BE110,1)="F","FUR",IF(LEFT(SEEMoutput!BE110,1)="D","DHP","HP"))</f>
        <v>HP</v>
      </c>
      <c r="F108" s="288">
        <f>SEEMoutput!E110</f>
        <v>421.99188099999998</v>
      </c>
      <c r="G108" s="289">
        <f>F108*(69-30)*SEEMoutput!N110/SEEMoutput!M110</f>
        <v>20859.302872182507</v>
      </c>
      <c r="H108" s="290">
        <f>'(Tons) (Furnsize)'!$F$52+'(Tons) (Furnsize)'!$F$53*'(Tons) (Furnsize)'!$B$15+'(Tons) (Furnsize)'!$F$54*G108</f>
        <v>2.5084475149037688</v>
      </c>
      <c r="I108" s="290">
        <f>H108/'(Tons) (Furnsize)'!$G$7</f>
        <v>2.0791439129063671</v>
      </c>
      <c r="J108" s="291">
        <f>F108*(69-VLOOKUP(D108,'(Tons) (Furnsize)'!$D$15:$E$17,2,FALSE))/3412</f>
        <v>11.625802114302461</v>
      </c>
      <c r="K108" s="292">
        <f>INDEX(Calibration!$A$4:$L$13,MATCH($D108&amp;$E108,Calibration!$A$4:$A$13,0),MATCH(K$4,Calibration!$A$4:$L$4,0))</f>
        <v>0.15</v>
      </c>
      <c r="L108" s="292">
        <f>INDEX(Calibration!$A$4:$L$13,MATCH($D108&amp;$E108,Calibration!$A$4:$A$13,0),MATCH(L$4,Calibration!$A$4:$L$4,0))</f>
        <v>1.0259371368886356</v>
      </c>
      <c r="M108" s="292">
        <f>INDEX(Calibration!$A$4:$L$13,MATCH($D108&amp;$E108,Calibration!$A$4:$A$13,0),MATCH(M$4,Calibration!$A$4:$L$4,0))</f>
        <v>-1.8551508104013119</v>
      </c>
      <c r="N108" s="292">
        <f>INDEX(Calibration!$A$4:$L$13,MATCH($D108&amp;$E108,Calibration!$A$4:$A$13,0),MATCH(N$4,Calibration!$A$4:$L$4,0))</f>
        <v>1.1186946774087012</v>
      </c>
      <c r="O108" s="292">
        <f>INDEX(Calibration!$A$4:$L$13,MATCH($D108&amp;$E108,Calibration!$A$4:$A$13,0),MATCH(O$4,Calibration!$A$4:$L$4,0))</f>
        <v>-3.7103016208026238</v>
      </c>
      <c r="P108" s="292">
        <f>INDEX(Calibration!$A$4:$L$13,MATCH($D108&amp;$E108,Calibration!$A$4:$A$13,0),MATCH(P$4,Calibration!$A$4:$L$4,0))</f>
        <v>1.2578309881887995</v>
      </c>
      <c r="Q108" s="292">
        <f>INDEX(Calibration!$A$4:$L$13,MATCH($D108&amp;$E108,Calibration!$A$4:$A$13,0),MATCH(Q$4,Calibration!$A$4:$L$4,0))</f>
        <v>0.7012857450684058</v>
      </c>
      <c r="R108" s="293">
        <f>IF(C108&lt;Calibration!$F$5,L108,IF(C108&lt;Calibration!$E$5,C108*M108+N108,IF(C108&lt;K108,C108*O108+P108,Q108)))</f>
        <v>0.98000607759310865</v>
      </c>
      <c r="S108" s="286">
        <f t="shared" si="2"/>
        <v>5794.7910681018893</v>
      </c>
      <c r="T108" s="293">
        <f>IF(E108="DHP",VLOOKUP(D108,Calibration!$C$20:$E$22,2,FALSE),IF(D108=1,Calibration!$D$17,Calibration!$D$18))</f>
        <v>0.85917762533929642</v>
      </c>
      <c r="U108" s="286">
        <f t="shared" si="3"/>
        <v>4978.7548292291467</v>
      </c>
      <c r="V108" s="286">
        <f>VLOOKUP(T108,Calibration!$D$17:$E$22,2,FALSE)*S108</f>
        <v>716.05020423053747</v>
      </c>
      <c r="W108" t="s">
        <v>797</v>
      </c>
      <c r="X108">
        <v>701.82783700000005</v>
      </c>
      <c r="Y108">
        <v>0</v>
      </c>
    </row>
    <row r="109" spans="1:25">
      <c r="A109" s="277" t="str">
        <f>SEEMoutput!A111</f>
        <v>NWHZ3CZ3_2200n_25gshp_des0</v>
      </c>
      <c r="B109" s="286">
        <f>SEEMoutput!O111</f>
        <v>5913.0154400000001</v>
      </c>
      <c r="C109" s="287">
        <v>7.4758666000631524E-2</v>
      </c>
      <c r="D109" s="277">
        <f>IF(SEEMoutput!G111&lt;6000,1,IF(SEEMoutput!G111&lt;7500,2,3))</f>
        <v>3</v>
      </c>
      <c r="E109" s="277" t="str">
        <f>IF(LEFT(SEEMoutput!BE111,1)="F","FUR",IF(LEFT(SEEMoutput!BE111,1)="D","DHP","HP"))</f>
        <v>HP</v>
      </c>
      <c r="F109" s="288">
        <f>SEEMoutput!E111</f>
        <v>421.99188099999998</v>
      </c>
      <c r="G109" s="289">
        <f>F109*(69-30)*SEEMoutput!N111/SEEMoutput!M111</f>
        <v>20859.302872182507</v>
      </c>
      <c r="H109" s="290">
        <f>'(Tons) (Furnsize)'!$F$52+'(Tons) (Furnsize)'!$F$53*'(Tons) (Furnsize)'!$B$15+'(Tons) (Furnsize)'!$F$54*G109</f>
        <v>2.5084475149037688</v>
      </c>
      <c r="I109" s="290">
        <f>H109/'(Tons) (Furnsize)'!$G$7</f>
        <v>2.0791439129063671</v>
      </c>
      <c r="J109" s="291">
        <f>F109*(69-VLOOKUP(D109,'(Tons) (Furnsize)'!$D$15:$E$17,2,FALSE))/3412</f>
        <v>11.625802114302461</v>
      </c>
      <c r="K109" s="292">
        <f>INDEX(Calibration!$A$4:$L$13,MATCH($D109&amp;$E109,Calibration!$A$4:$A$13,0),MATCH(K$4,Calibration!$A$4:$L$4,0))</f>
        <v>0.15</v>
      </c>
      <c r="L109" s="292">
        <f>INDEX(Calibration!$A$4:$L$13,MATCH($D109&amp;$E109,Calibration!$A$4:$A$13,0),MATCH(L$4,Calibration!$A$4:$L$4,0))</f>
        <v>1.0259371368886356</v>
      </c>
      <c r="M109" s="292">
        <f>INDEX(Calibration!$A$4:$L$13,MATCH($D109&amp;$E109,Calibration!$A$4:$A$13,0),MATCH(M$4,Calibration!$A$4:$L$4,0))</f>
        <v>-1.8551508104013119</v>
      </c>
      <c r="N109" s="292">
        <f>INDEX(Calibration!$A$4:$L$13,MATCH($D109&amp;$E109,Calibration!$A$4:$A$13,0),MATCH(N$4,Calibration!$A$4:$L$4,0))</f>
        <v>1.1186946774087012</v>
      </c>
      <c r="O109" s="292">
        <f>INDEX(Calibration!$A$4:$L$13,MATCH($D109&amp;$E109,Calibration!$A$4:$A$13,0),MATCH(O$4,Calibration!$A$4:$L$4,0))</f>
        <v>-3.7103016208026238</v>
      </c>
      <c r="P109" s="292">
        <f>INDEX(Calibration!$A$4:$L$13,MATCH($D109&amp;$E109,Calibration!$A$4:$A$13,0),MATCH(P$4,Calibration!$A$4:$L$4,0))</f>
        <v>1.2578309881887995</v>
      </c>
      <c r="Q109" s="292">
        <f>INDEX(Calibration!$A$4:$L$13,MATCH($D109&amp;$E109,Calibration!$A$4:$A$13,0),MATCH(Q$4,Calibration!$A$4:$L$4,0))</f>
        <v>0.7012857450684058</v>
      </c>
      <c r="R109" s="293">
        <f>IF(C109&lt;Calibration!$F$5,L109,IF(C109&lt;Calibration!$E$5,C109*M109+N109,IF(C109&lt;K109,C109*O109+P109,Q109)))</f>
        <v>0.98000607759310865</v>
      </c>
      <c r="S109" s="286">
        <f t="shared" si="2"/>
        <v>5794.7910681018893</v>
      </c>
      <c r="T109" s="293">
        <f>IF(E109="DHP",VLOOKUP(D109,Calibration!$C$20:$E$22,2,FALSE),IF(D109=1,Calibration!$D$17,Calibration!$D$18))</f>
        <v>0.85917762533929642</v>
      </c>
      <c r="U109" s="286">
        <f t="shared" si="3"/>
        <v>4978.7548292291467</v>
      </c>
      <c r="V109" s="286">
        <f>VLOOKUP(T109,Calibration!$D$17:$E$22,2,FALSE)*S109</f>
        <v>716.05020423053747</v>
      </c>
      <c r="W109" t="s">
        <v>800</v>
      </c>
      <c r="X109">
        <v>1048.330596</v>
      </c>
      <c r="Y109">
        <v>0</v>
      </c>
    </row>
    <row r="110" spans="1:25">
      <c r="A110" s="277" t="str">
        <f>SEEMoutput!A112</f>
        <v>WxHZ3CZ1_2200e_30gshp_des0</v>
      </c>
      <c r="B110" s="286">
        <f>SEEMoutput!O112</f>
        <v>6920.1845219999996</v>
      </c>
      <c r="C110" s="287">
        <v>8.7768989626874808E-2</v>
      </c>
      <c r="D110" s="277">
        <f>IF(SEEMoutput!G112&lt;6000,1,IF(SEEMoutput!G112&lt;7500,2,3))</f>
        <v>3</v>
      </c>
      <c r="E110" s="277" t="str">
        <f>IF(LEFT(SEEMoutput!BE112,1)="F","FUR",IF(LEFT(SEEMoutput!BE112,1)="D","DHP","HP"))</f>
        <v>HP</v>
      </c>
      <c r="F110" s="288">
        <f>SEEMoutput!E112</f>
        <v>488.52372100000002</v>
      </c>
      <c r="G110" s="289">
        <f>F110*(69-30)*SEEMoutput!N112/SEEMoutput!M112</f>
        <v>24363.803452367007</v>
      </c>
      <c r="H110" s="290">
        <f>'(Tons) (Furnsize)'!$F$52+'(Tons) (Furnsize)'!$F$53*'(Tons) (Furnsize)'!$B$15+'(Tons) (Furnsize)'!$F$54*G110</f>
        <v>2.9199123131771652</v>
      </c>
      <c r="I110" s="290">
        <f>H110/'(Tons) (Furnsize)'!$G$7</f>
        <v>2.4201893306886872</v>
      </c>
      <c r="J110" s="291">
        <f>F110*(69-VLOOKUP(D110,'(Tons) (Furnsize)'!$D$15:$E$17,2,FALSE))/3412</f>
        <v>13.458742606682298</v>
      </c>
      <c r="K110" s="292">
        <f>INDEX(Calibration!$A$4:$L$13,MATCH($D110&amp;$E110,Calibration!$A$4:$A$13,0),MATCH(K$4,Calibration!$A$4:$L$4,0))</f>
        <v>0.15</v>
      </c>
      <c r="L110" s="292">
        <f>INDEX(Calibration!$A$4:$L$13,MATCH($D110&amp;$E110,Calibration!$A$4:$A$13,0),MATCH(L$4,Calibration!$A$4:$L$4,0))</f>
        <v>1.0259371368886356</v>
      </c>
      <c r="M110" s="292">
        <f>INDEX(Calibration!$A$4:$L$13,MATCH($D110&amp;$E110,Calibration!$A$4:$A$13,0),MATCH(M$4,Calibration!$A$4:$L$4,0))</f>
        <v>-1.8551508104013119</v>
      </c>
      <c r="N110" s="292">
        <f>INDEX(Calibration!$A$4:$L$13,MATCH($D110&amp;$E110,Calibration!$A$4:$A$13,0),MATCH(N$4,Calibration!$A$4:$L$4,0))</f>
        <v>1.1186946774087012</v>
      </c>
      <c r="O110" s="292">
        <f>INDEX(Calibration!$A$4:$L$13,MATCH($D110&amp;$E110,Calibration!$A$4:$A$13,0),MATCH(O$4,Calibration!$A$4:$L$4,0))</f>
        <v>-3.7103016208026238</v>
      </c>
      <c r="P110" s="292">
        <f>INDEX(Calibration!$A$4:$L$13,MATCH($D110&amp;$E110,Calibration!$A$4:$A$13,0),MATCH(P$4,Calibration!$A$4:$L$4,0))</f>
        <v>1.2578309881887995</v>
      </c>
      <c r="Q110" s="292">
        <f>INDEX(Calibration!$A$4:$L$13,MATCH($D110&amp;$E110,Calibration!$A$4:$A$13,0),MATCH(Q$4,Calibration!$A$4:$L$4,0))</f>
        <v>0.7012857450684058</v>
      </c>
      <c r="R110" s="293">
        <f>IF(C110&lt;Calibration!$F$5,L110,IF(C110&lt;Calibration!$E$5,C110*M110+N110,IF(C110&lt;K110,C110*O110+P110,Q110)))</f>
        <v>0.93218156371999716</v>
      </c>
      <c r="S110" s="286">
        <f t="shared" si="2"/>
        <v>6450.868428948881</v>
      </c>
      <c r="T110" s="293">
        <f>IF(E110="DHP",VLOOKUP(D110,Calibration!$C$20:$E$22,2,FALSE),IF(D110=1,Calibration!$D$17,Calibration!$D$18))</f>
        <v>0.85917762533929642</v>
      </c>
      <c r="U110" s="286">
        <f t="shared" si="3"/>
        <v>5542.4418181605379</v>
      </c>
      <c r="V110" s="286">
        <f>VLOOKUP(T110,Calibration!$D$17:$E$22,2,FALSE)*S110</f>
        <v>797.12031059062758</v>
      </c>
      <c r="W110" t="s">
        <v>794</v>
      </c>
      <c r="X110">
        <v>398.34715699999998</v>
      </c>
      <c r="Y110">
        <v>0</v>
      </c>
    </row>
    <row r="111" spans="1:25">
      <c r="A111" s="277" t="str">
        <f>SEEMoutput!A113</f>
        <v>WxHZ3CZ2_2200e_30gshp_des0</v>
      </c>
      <c r="B111" s="286">
        <f>SEEMoutput!O113</f>
        <v>6920.1845219999996</v>
      </c>
      <c r="C111" s="287">
        <v>8.7768989626874808E-2</v>
      </c>
      <c r="D111" s="277">
        <f>IF(SEEMoutput!G113&lt;6000,1,IF(SEEMoutput!G113&lt;7500,2,3))</f>
        <v>3</v>
      </c>
      <c r="E111" s="277" t="str">
        <f>IF(LEFT(SEEMoutput!BE113,1)="F","FUR",IF(LEFT(SEEMoutput!BE113,1)="D","DHP","HP"))</f>
        <v>HP</v>
      </c>
      <c r="F111" s="288">
        <f>SEEMoutput!E113</f>
        <v>488.52372100000002</v>
      </c>
      <c r="G111" s="289">
        <f>F111*(69-30)*SEEMoutput!N113/SEEMoutput!M113</f>
        <v>24363.803452367007</v>
      </c>
      <c r="H111" s="290">
        <f>'(Tons) (Furnsize)'!$F$52+'(Tons) (Furnsize)'!$F$53*'(Tons) (Furnsize)'!$B$15+'(Tons) (Furnsize)'!$F$54*G111</f>
        <v>2.9199123131771652</v>
      </c>
      <c r="I111" s="290">
        <f>H111/'(Tons) (Furnsize)'!$G$7</f>
        <v>2.4201893306886872</v>
      </c>
      <c r="J111" s="291">
        <f>F111*(69-VLOOKUP(D111,'(Tons) (Furnsize)'!$D$15:$E$17,2,FALSE))/3412</f>
        <v>13.458742606682298</v>
      </c>
      <c r="K111" s="292">
        <f>INDEX(Calibration!$A$4:$L$13,MATCH($D111&amp;$E111,Calibration!$A$4:$A$13,0),MATCH(K$4,Calibration!$A$4:$L$4,0))</f>
        <v>0.15</v>
      </c>
      <c r="L111" s="292">
        <f>INDEX(Calibration!$A$4:$L$13,MATCH($D111&amp;$E111,Calibration!$A$4:$A$13,0),MATCH(L$4,Calibration!$A$4:$L$4,0))</f>
        <v>1.0259371368886356</v>
      </c>
      <c r="M111" s="292">
        <f>INDEX(Calibration!$A$4:$L$13,MATCH($D111&amp;$E111,Calibration!$A$4:$A$13,0),MATCH(M$4,Calibration!$A$4:$L$4,0))</f>
        <v>-1.8551508104013119</v>
      </c>
      <c r="N111" s="292">
        <f>INDEX(Calibration!$A$4:$L$13,MATCH($D111&amp;$E111,Calibration!$A$4:$A$13,0),MATCH(N$4,Calibration!$A$4:$L$4,0))</f>
        <v>1.1186946774087012</v>
      </c>
      <c r="O111" s="292">
        <f>INDEX(Calibration!$A$4:$L$13,MATCH($D111&amp;$E111,Calibration!$A$4:$A$13,0),MATCH(O$4,Calibration!$A$4:$L$4,0))</f>
        <v>-3.7103016208026238</v>
      </c>
      <c r="P111" s="292">
        <f>INDEX(Calibration!$A$4:$L$13,MATCH($D111&amp;$E111,Calibration!$A$4:$A$13,0),MATCH(P$4,Calibration!$A$4:$L$4,0))</f>
        <v>1.2578309881887995</v>
      </c>
      <c r="Q111" s="292">
        <f>INDEX(Calibration!$A$4:$L$13,MATCH($D111&amp;$E111,Calibration!$A$4:$A$13,0),MATCH(Q$4,Calibration!$A$4:$L$4,0))</f>
        <v>0.7012857450684058</v>
      </c>
      <c r="R111" s="293">
        <f>IF(C111&lt;Calibration!$F$5,L111,IF(C111&lt;Calibration!$E$5,C111*M111+N111,IF(C111&lt;K111,C111*O111+P111,Q111)))</f>
        <v>0.93218156371999716</v>
      </c>
      <c r="S111" s="286">
        <f t="shared" si="2"/>
        <v>6450.868428948881</v>
      </c>
      <c r="T111" s="293">
        <f>IF(E111="DHP",VLOOKUP(D111,Calibration!$C$20:$E$22,2,FALSE),IF(D111=1,Calibration!$D$17,Calibration!$D$18))</f>
        <v>0.85917762533929642</v>
      </c>
      <c r="U111" s="286">
        <f t="shared" si="3"/>
        <v>5542.4418181605379</v>
      </c>
      <c r="V111" s="286">
        <f>VLOOKUP(T111,Calibration!$D$17:$E$22,2,FALSE)*S111</f>
        <v>797.12031059062758</v>
      </c>
      <c r="W111" t="s">
        <v>797</v>
      </c>
      <c r="X111">
        <v>715.893642</v>
      </c>
      <c r="Y111">
        <v>0</v>
      </c>
    </row>
    <row r="112" spans="1:25">
      <c r="A112" s="277" t="str">
        <f>SEEMoutput!A114</f>
        <v>WxHZ3CZ3_2200e_30gshp_des0</v>
      </c>
      <c r="B112" s="286">
        <f>SEEMoutput!O114</f>
        <v>6920.1845219999996</v>
      </c>
      <c r="C112" s="287">
        <v>8.7768989626874808E-2</v>
      </c>
      <c r="D112" s="277">
        <f>IF(SEEMoutput!G114&lt;6000,1,IF(SEEMoutput!G114&lt;7500,2,3))</f>
        <v>3</v>
      </c>
      <c r="E112" s="277" t="str">
        <f>IF(LEFT(SEEMoutput!BE114,1)="F","FUR",IF(LEFT(SEEMoutput!BE114,1)="D","DHP","HP"))</f>
        <v>HP</v>
      </c>
      <c r="F112" s="288">
        <f>SEEMoutput!E114</f>
        <v>488.52372100000002</v>
      </c>
      <c r="G112" s="289">
        <f>F112*(69-30)*SEEMoutput!N114/SEEMoutput!M114</f>
        <v>24363.803452367007</v>
      </c>
      <c r="H112" s="290">
        <f>'(Tons) (Furnsize)'!$F$52+'(Tons) (Furnsize)'!$F$53*'(Tons) (Furnsize)'!$B$15+'(Tons) (Furnsize)'!$F$54*G112</f>
        <v>2.9199123131771652</v>
      </c>
      <c r="I112" s="290">
        <f>H112/'(Tons) (Furnsize)'!$G$7</f>
        <v>2.4201893306886872</v>
      </c>
      <c r="J112" s="291">
        <f>F112*(69-VLOOKUP(D112,'(Tons) (Furnsize)'!$D$15:$E$17,2,FALSE))/3412</f>
        <v>13.458742606682298</v>
      </c>
      <c r="K112" s="292">
        <f>INDEX(Calibration!$A$4:$L$13,MATCH($D112&amp;$E112,Calibration!$A$4:$A$13,0),MATCH(K$4,Calibration!$A$4:$L$4,0))</f>
        <v>0.15</v>
      </c>
      <c r="L112" s="292">
        <f>INDEX(Calibration!$A$4:$L$13,MATCH($D112&amp;$E112,Calibration!$A$4:$A$13,0),MATCH(L$4,Calibration!$A$4:$L$4,0))</f>
        <v>1.0259371368886356</v>
      </c>
      <c r="M112" s="292">
        <f>INDEX(Calibration!$A$4:$L$13,MATCH($D112&amp;$E112,Calibration!$A$4:$A$13,0),MATCH(M$4,Calibration!$A$4:$L$4,0))</f>
        <v>-1.8551508104013119</v>
      </c>
      <c r="N112" s="292">
        <f>INDEX(Calibration!$A$4:$L$13,MATCH($D112&amp;$E112,Calibration!$A$4:$A$13,0),MATCH(N$4,Calibration!$A$4:$L$4,0))</f>
        <v>1.1186946774087012</v>
      </c>
      <c r="O112" s="292">
        <f>INDEX(Calibration!$A$4:$L$13,MATCH($D112&amp;$E112,Calibration!$A$4:$A$13,0),MATCH(O$4,Calibration!$A$4:$L$4,0))</f>
        <v>-3.7103016208026238</v>
      </c>
      <c r="P112" s="292">
        <f>INDEX(Calibration!$A$4:$L$13,MATCH($D112&amp;$E112,Calibration!$A$4:$A$13,0),MATCH(P$4,Calibration!$A$4:$L$4,0))</f>
        <v>1.2578309881887995</v>
      </c>
      <c r="Q112" s="292">
        <f>INDEX(Calibration!$A$4:$L$13,MATCH($D112&amp;$E112,Calibration!$A$4:$A$13,0),MATCH(Q$4,Calibration!$A$4:$L$4,0))</f>
        <v>0.7012857450684058</v>
      </c>
      <c r="R112" s="293">
        <f>IF(C112&lt;Calibration!$F$5,L112,IF(C112&lt;Calibration!$E$5,C112*M112+N112,IF(C112&lt;K112,C112*O112+P112,Q112)))</f>
        <v>0.93218156371999716</v>
      </c>
      <c r="S112" s="286">
        <f t="shared" si="2"/>
        <v>6450.868428948881</v>
      </c>
      <c r="T112" s="293">
        <f>IF(E112="DHP",VLOOKUP(D112,Calibration!$C$20:$E$22,2,FALSE),IF(D112=1,Calibration!$D$17,Calibration!$D$18))</f>
        <v>0.85917762533929642</v>
      </c>
      <c r="U112" s="286">
        <f t="shared" si="3"/>
        <v>5542.4418181605379</v>
      </c>
      <c r="V112" s="286">
        <f>VLOOKUP(T112,Calibration!$D$17:$E$22,2,FALSE)*S112</f>
        <v>797.12031059062758</v>
      </c>
      <c r="W112" t="s">
        <v>800</v>
      </c>
      <c r="X112">
        <v>1093.609475</v>
      </c>
      <c r="Y112">
        <v>0</v>
      </c>
    </row>
    <row r="113" spans="1:25">
      <c r="A113" s="277" t="str">
        <f>SEEMoutput!A115</f>
        <v>NWHZ1CZ1_2688n_25gshp_des0</v>
      </c>
      <c r="B113" s="286">
        <f>SEEMoutput!O115</f>
        <v>2680.3216969999999</v>
      </c>
      <c r="C113" s="287">
        <v>8.2797508725979657E-2</v>
      </c>
      <c r="D113" s="277">
        <f>IF(SEEMoutput!G115&lt;6000,1,IF(SEEMoutput!G115&lt;7500,2,3))</f>
        <v>1</v>
      </c>
      <c r="E113" s="277" t="str">
        <f>IF(LEFT(SEEMoutput!BE115,1)="F","FUR",IF(LEFT(SEEMoutput!BE115,1)="D","DHP","HP"))</f>
        <v>HP</v>
      </c>
      <c r="F113" s="288">
        <f>SEEMoutput!E115</f>
        <v>439.51049399999999</v>
      </c>
      <c r="G113" s="289">
        <f>F113*(69-30)*SEEMoutput!N115/SEEMoutput!M115</f>
        <v>17403.503231184102</v>
      </c>
      <c r="H113" s="290">
        <f>'(Tons) (Furnsize)'!$F$52+'(Tons) (Furnsize)'!$F$53*'(Tons) (Furnsize)'!$B$15+'(Tons) (Furnsize)'!$F$54*G113</f>
        <v>2.1027007131492592</v>
      </c>
      <c r="I113" s="290">
        <f>H113/'(Tons) (Furnsize)'!$G$7</f>
        <v>1.7428378957236723</v>
      </c>
      <c r="J113" s="291">
        <f>F113*(69-VLOOKUP(D113,'(Tons) (Furnsize)'!$D$15:$E$17,2,FALSE))/3412</f>
        <v>6.6982841992965998</v>
      </c>
      <c r="K113" s="292">
        <f>INDEX(Calibration!$A$4:$L$13,MATCH($D113&amp;$E113,Calibration!$A$4:$A$13,0),MATCH(K$4,Calibration!$A$4:$L$4,0))</f>
        <v>0.2</v>
      </c>
      <c r="L113" s="292">
        <f>INDEX(Calibration!$A$4:$L$13,MATCH($D113&amp;$E113,Calibration!$A$4:$A$13,0),MATCH(L$4,Calibration!$A$4:$L$4,0))</f>
        <v>1.3869915874526988</v>
      </c>
      <c r="M113" s="292">
        <f>INDEX(Calibration!$A$4:$L$13,MATCH($D113&amp;$E113,Calibration!$A$4:$A$13,0),MATCH(M$4,Calibration!$A$4:$L$4,0))</f>
        <v>-2.2641144651923684</v>
      </c>
      <c r="N113" s="292">
        <f>INDEX(Calibration!$A$4:$L$13,MATCH($D113&amp;$E113,Calibration!$A$4:$A$13,0),MATCH(N$4,Calibration!$A$4:$L$4,0))</f>
        <v>1.5001973107123172</v>
      </c>
      <c r="O113" s="292">
        <f>INDEX(Calibration!$A$4:$L$13,MATCH($D113&amp;$E113,Calibration!$A$4:$A$13,0),MATCH(O$4,Calibration!$A$4:$L$4,0))</f>
        <v>-4.5282289303847367</v>
      </c>
      <c r="P113" s="292">
        <f>INDEX(Calibration!$A$4:$L$13,MATCH($D113&amp;$E113,Calibration!$A$4:$A$13,0),MATCH(P$4,Calibration!$A$4:$L$4,0))</f>
        <v>1.6700058956017449</v>
      </c>
      <c r="Q113" s="292">
        <f>INDEX(Calibration!$A$4:$L$13,MATCH($D113&amp;$E113,Calibration!$A$4:$A$13,0),MATCH(Q$4,Calibration!$A$4:$L$4,0))</f>
        <v>0.7643601095247976</v>
      </c>
      <c r="R113" s="293">
        <f>IF(C113&lt;Calibration!$F$5,L113,IF(C113&lt;Calibration!$E$5,C113*M113+N113,IF(C113&lt;K113,C113*O113+P113,Q113)))</f>
        <v>1.2950798212249812</v>
      </c>
      <c r="S113" s="286">
        <f t="shared" si="2"/>
        <v>3471.2305441761982</v>
      </c>
      <c r="T113" s="293">
        <f>IF(E113="DHP",VLOOKUP(D113,Calibration!$C$20:$E$22,2,FALSE),IF(D113=1,Calibration!$D$17,Calibration!$D$18))</f>
        <v>0.82813167326562143</v>
      </c>
      <c r="U113" s="286">
        <f t="shared" si="3"/>
        <v>2874.6359588393689</v>
      </c>
      <c r="V113" s="286">
        <f>VLOOKUP(T113,Calibration!$D$17:$E$22,2,FALSE)*S113</f>
        <v>542.56338751082887</v>
      </c>
      <c r="W113" t="s">
        <v>764</v>
      </c>
      <c r="X113">
        <v>254.22847300000001</v>
      </c>
      <c r="Y113">
        <v>0</v>
      </c>
    </row>
    <row r="114" spans="1:25">
      <c r="A114" s="277" t="str">
        <f>SEEMoutput!A116</f>
        <v>NWHZ1CZ2_2688n_25gshp_des0</v>
      </c>
      <c r="B114" s="286">
        <f>SEEMoutput!O116</f>
        <v>2680.3216969999999</v>
      </c>
      <c r="C114" s="287">
        <v>8.2797508725979657E-2</v>
      </c>
      <c r="D114" s="277">
        <f>IF(SEEMoutput!G116&lt;6000,1,IF(SEEMoutput!G116&lt;7500,2,3))</f>
        <v>1</v>
      </c>
      <c r="E114" s="277" t="str">
        <f>IF(LEFT(SEEMoutput!BE116,1)="F","FUR",IF(LEFT(SEEMoutput!BE116,1)="D","DHP","HP"))</f>
        <v>HP</v>
      </c>
      <c r="F114" s="288">
        <f>SEEMoutput!E116</f>
        <v>439.51049399999999</v>
      </c>
      <c r="G114" s="289">
        <f>F114*(69-30)*SEEMoutput!N116/SEEMoutput!M116</f>
        <v>17403.503231184102</v>
      </c>
      <c r="H114" s="290">
        <f>'(Tons) (Furnsize)'!$F$52+'(Tons) (Furnsize)'!$F$53*'(Tons) (Furnsize)'!$B$15+'(Tons) (Furnsize)'!$F$54*G114</f>
        <v>2.1027007131492592</v>
      </c>
      <c r="I114" s="290">
        <f>H114/'(Tons) (Furnsize)'!$G$7</f>
        <v>1.7428378957236723</v>
      </c>
      <c r="J114" s="291">
        <f>F114*(69-VLOOKUP(D114,'(Tons) (Furnsize)'!$D$15:$E$17,2,FALSE))/3412</f>
        <v>6.6982841992965998</v>
      </c>
      <c r="K114" s="292">
        <f>INDEX(Calibration!$A$4:$L$13,MATCH($D114&amp;$E114,Calibration!$A$4:$A$13,0),MATCH(K$4,Calibration!$A$4:$L$4,0))</f>
        <v>0.2</v>
      </c>
      <c r="L114" s="292">
        <f>INDEX(Calibration!$A$4:$L$13,MATCH($D114&amp;$E114,Calibration!$A$4:$A$13,0),MATCH(L$4,Calibration!$A$4:$L$4,0))</f>
        <v>1.3869915874526988</v>
      </c>
      <c r="M114" s="292">
        <f>INDEX(Calibration!$A$4:$L$13,MATCH($D114&amp;$E114,Calibration!$A$4:$A$13,0),MATCH(M$4,Calibration!$A$4:$L$4,0))</f>
        <v>-2.2641144651923684</v>
      </c>
      <c r="N114" s="292">
        <f>INDEX(Calibration!$A$4:$L$13,MATCH($D114&amp;$E114,Calibration!$A$4:$A$13,0),MATCH(N$4,Calibration!$A$4:$L$4,0))</f>
        <v>1.5001973107123172</v>
      </c>
      <c r="O114" s="292">
        <f>INDEX(Calibration!$A$4:$L$13,MATCH($D114&amp;$E114,Calibration!$A$4:$A$13,0),MATCH(O$4,Calibration!$A$4:$L$4,0))</f>
        <v>-4.5282289303847367</v>
      </c>
      <c r="P114" s="292">
        <f>INDEX(Calibration!$A$4:$L$13,MATCH($D114&amp;$E114,Calibration!$A$4:$A$13,0),MATCH(P$4,Calibration!$A$4:$L$4,0))</f>
        <v>1.6700058956017449</v>
      </c>
      <c r="Q114" s="292">
        <f>INDEX(Calibration!$A$4:$L$13,MATCH($D114&amp;$E114,Calibration!$A$4:$A$13,0),MATCH(Q$4,Calibration!$A$4:$L$4,0))</f>
        <v>0.7643601095247976</v>
      </c>
      <c r="R114" s="293">
        <f>IF(C114&lt;Calibration!$F$5,L114,IF(C114&lt;Calibration!$E$5,C114*M114+N114,IF(C114&lt;K114,C114*O114+P114,Q114)))</f>
        <v>1.2950798212249812</v>
      </c>
      <c r="S114" s="286">
        <f t="shared" si="2"/>
        <v>3471.2305441761982</v>
      </c>
      <c r="T114" s="293">
        <f>IF(E114="DHP",VLOOKUP(D114,Calibration!$C$20:$E$22,2,FALSE),IF(D114=1,Calibration!$D$17,Calibration!$D$18))</f>
        <v>0.82813167326562143</v>
      </c>
      <c r="U114" s="286">
        <f t="shared" si="3"/>
        <v>2874.6359588393689</v>
      </c>
      <c r="V114" s="286">
        <f>VLOOKUP(T114,Calibration!$D$17:$E$22,2,FALSE)*S114</f>
        <v>542.56338751082887</v>
      </c>
      <c r="W114" t="s">
        <v>767</v>
      </c>
      <c r="X114">
        <v>475.210576</v>
      </c>
      <c r="Y114">
        <v>0</v>
      </c>
    </row>
    <row r="115" spans="1:25">
      <c r="A115" s="277" t="str">
        <f>SEEMoutput!A117</f>
        <v>NWHZ1CZ3_2688n_25gshp_des0</v>
      </c>
      <c r="B115" s="286">
        <f>SEEMoutput!O117</f>
        <v>2680.3216969999999</v>
      </c>
      <c r="C115" s="287">
        <v>8.2797508725979657E-2</v>
      </c>
      <c r="D115" s="277">
        <f>IF(SEEMoutput!G117&lt;6000,1,IF(SEEMoutput!G117&lt;7500,2,3))</f>
        <v>1</v>
      </c>
      <c r="E115" s="277" t="str">
        <f>IF(LEFT(SEEMoutput!BE117,1)="F","FUR",IF(LEFT(SEEMoutput!BE117,1)="D","DHP","HP"))</f>
        <v>HP</v>
      </c>
      <c r="F115" s="288">
        <f>SEEMoutput!E117</f>
        <v>439.51049399999999</v>
      </c>
      <c r="G115" s="289">
        <f>F115*(69-30)*SEEMoutput!N117/SEEMoutput!M117</f>
        <v>17403.503231184102</v>
      </c>
      <c r="H115" s="290">
        <f>'(Tons) (Furnsize)'!$F$52+'(Tons) (Furnsize)'!$F$53*'(Tons) (Furnsize)'!$B$15+'(Tons) (Furnsize)'!$F$54*G115</f>
        <v>2.1027007131492592</v>
      </c>
      <c r="I115" s="290">
        <f>H115/'(Tons) (Furnsize)'!$G$7</f>
        <v>1.7428378957236723</v>
      </c>
      <c r="J115" s="291">
        <f>F115*(69-VLOOKUP(D115,'(Tons) (Furnsize)'!$D$15:$E$17,2,FALSE))/3412</f>
        <v>6.6982841992965998</v>
      </c>
      <c r="K115" s="292">
        <f>INDEX(Calibration!$A$4:$L$13,MATCH($D115&amp;$E115,Calibration!$A$4:$A$13,0),MATCH(K$4,Calibration!$A$4:$L$4,0))</f>
        <v>0.2</v>
      </c>
      <c r="L115" s="292">
        <f>INDEX(Calibration!$A$4:$L$13,MATCH($D115&amp;$E115,Calibration!$A$4:$A$13,0),MATCH(L$4,Calibration!$A$4:$L$4,0))</f>
        <v>1.3869915874526988</v>
      </c>
      <c r="M115" s="292">
        <f>INDEX(Calibration!$A$4:$L$13,MATCH($D115&amp;$E115,Calibration!$A$4:$A$13,0),MATCH(M$4,Calibration!$A$4:$L$4,0))</f>
        <v>-2.2641144651923684</v>
      </c>
      <c r="N115" s="292">
        <f>INDEX(Calibration!$A$4:$L$13,MATCH($D115&amp;$E115,Calibration!$A$4:$A$13,0),MATCH(N$4,Calibration!$A$4:$L$4,0))</f>
        <v>1.5001973107123172</v>
      </c>
      <c r="O115" s="292">
        <f>INDEX(Calibration!$A$4:$L$13,MATCH($D115&amp;$E115,Calibration!$A$4:$A$13,0),MATCH(O$4,Calibration!$A$4:$L$4,0))</f>
        <v>-4.5282289303847367</v>
      </c>
      <c r="P115" s="292">
        <f>INDEX(Calibration!$A$4:$L$13,MATCH($D115&amp;$E115,Calibration!$A$4:$A$13,0),MATCH(P$4,Calibration!$A$4:$L$4,0))</f>
        <v>1.6700058956017449</v>
      </c>
      <c r="Q115" s="292">
        <f>INDEX(Calibration!$A$4:$L$13,MATCH($D115&amp;$E115,Calibration!$A$4:$A$13,0),MATCH(Q$4,Calibration!$A$4:$L$4,0))</f>
        <v>0.7643601095247976</v>
      </c>
      <c r="R115" s="293">
        <f>IF(C115&lt;Calibration!$F$5,L115,IF(C115&lt;Calibration!$E$5,C115*M115+N115,IF(C115&lt;K115,C115*O115+P115,Q115)))</f>
        <v>1.2950798212249812</v>
      </c>
      <c r="S115" s="286">
        <f t="shared" si="2"/>
        <v>3471.2305441761982</v>
      </c>
      <c r="T115" s="293">
        <f>IF(E115="DHP",VLOOKUP(D115,Calibration!$C$20:$E$22,2,FALSE),IF(D115=1,Calibration!$D$17,Calibration!$D$18))</f>
        <v>0.82813167326562143</v>
      </c>
      <c r="U115" s="286">
        <f t="shared" si="3"/>
        <v>2874.6359588393689</v>
      </c>
      <c r="V115" s="286">
        <f>VLOOKUP(T115,Calibration!$D$17:$E$22,2,FALSE)*S115</f>
        <v>542.56338751082887</v>
      </c>
      <c r="W115" t="s">
        <v>770</v>
      </c>
      <c r="X115">
        <v>765.58667300000002</v>
      </c>
      <c r="Y115">
        <v>0</v>
      </c>
    </row>
    <row r="116" spans="1:25">
      <c r="A116" s="277" t="str">
        <f>SEEMoutput!A118</f>
        <v>WxHZ1CZ1_2688e_25gshp_des0</v>
      </c>
      <c r="B116" s="286">
        <f>SEEMoutput!O118</f>
        <v>2992.9594510000002</v>
      </c>
      <c r="C116" s="287">
        <v>9.122680978140725E-2</v>
      </c>
      <c r="D116" s="277">
        <f>IF(SEEMoutput!G118&lt;6000,1,IF(SEEMoutput!G118&lt;7500,2,3))</f>
        <v>1</v>
      </c>
      <c r="E116" s="277" t="str">
        <f>IF(LEFT(SEEMoutput!BE118,1)="F","FUR",IF(LEFT(SEEMoutput!BE118,1)="D","DHP","HP"))</f>
        <v>HP</v>
      </c>
      <c r="F116" s="288">
        <f>SEEMoutput!E118</f>
        <v>473.93993399999999</v>
      </c>
      <c r="G116" s="289">
        <f>F116*(69-30)*SEEMoutput!N118/SEEMoutput!M118</f>
        <v>18808.016093440659</v>
      </c>
      <c r="H116" s="290">
        <f>'(Tons) (Furnsize)'!$F$52+'(Tons) (Furnsize)'!$F$53*'(Tons) (Furnsize)'!$B$15+'(Tons) (Furnsize)'!$F$54*G116</f>
        <v>2.2676051234405423</v>
      </c>
      <c r="I116" s="290">
        <f>H116/'(Tons) (Furnsize)'!$G$7</f>
        <v>1.8795200462695603</v>
      </c>
      <c r="J116" s="291">
        <f>F116*(69-VLOOKUP(D116,'(Tons) (Furnsize)'!$D$15:$E$17,2,FALSE))/3412</f>
        <v>7.2230001664712775</v>
      </c>
      <c r="K116" s="292">
        <f>INDEX(Calibration!$A$4:$L$13,MATCH($D116&amp;$E116,Calibration!$A$4:$A$13,0),MATCH(K$4,Calibration!$A$4:$L$4,0))</f>
        <v>0.2</v>
      </c>
      <c r="L116" s="292">
        <f>INDEX(Calibration!$A$4:$L$13,MATCH($D116&amp;$E116,Calibration!$A$4:$A$13,0),MATCH(L$4,Calibration!$A$4:$L$4,0))</f>
        <v>1.3869915874526988</v>
      </c>
      <c r="M116" s="292">
        <f>INDEX(Calibration!$A$4:$L$13,MATCH($D116&amp;$E116,Calibration!$A$4:$A$13,0),MATCH(M$4,Calibration!$A$4:$L$4,0))</f>
        <v>-2.2641144651923684</v>
      </c>
      <c r="N116" s="292">
        <f>INDEX(Calibration!$A$4:$L$13,MATCH($D116&amp;$E116,Calibration!$A$4:$A$13,0),MATCH(N$4,Calibration!$A$4:$L$4,0))</f>
        <v>1.5001973107123172</v>
      </c>
      <c r="O116" s="292">
        <f>INDEX(Calibration!$A$4:$L$13,MATCH($D116&amp;$E116,Calibration!$A$4:$A$13,0),MATCH(O$4,Calibration!$A$4:$L$4,0))</f>
        <v>-4.5282289303847367</v>
      </c>
      <c r="P116" s="292">
        <f>INDEX(Calibration!$A$4:$L$13,MATCH($D116&amp;$E116,Calibration!$A$4:$A$13,0),MATCH(P$4,Calibration!$A$4:$L$4,0))</f>
        <v>1.6700058956017449</v>
      </c>
      <c r="Q116" s="292">
        <f>INDEX(Calibration!$A$4:$L$13,MATCH($D116&amp;$E116,Calibration!$A$4:$A$13,0),MATCH(Q$4,Calibration!$A$4:$L$4,0))</f>
        <v>0.7643601095247976</v>
      </c>
      <c r="R116" s="293">
        <f>IF(C116&lt;Calibration!$F$5,L116,IF(C116&lt;Calibration!$E$5,C116*M116+N116,IF(C116&lt;K116,C116*O116+P116,Q116)))</f>
        <v>1.2569100163228715</v>
      </c>
      <c r="S116" s="286">
        <f t="shared" si="2"/>
        <v>3761.8807124101027</v>
      </c>
      <c r="T116" s="293">
        <f>IF(E116="DHP",VLOOKUP(D116,Calibration!$C$20:$E$22,2,FALSE),IF(D116=1,Calibration!$D$17,Calibration!$D$18))</f>
        <v>0.82813167326562143</v>
      </c>
      <c r="U116" s="286">
        <f t="shared" si="3"/>
        <v>3115.3325689938465</v>
      </c>
      <c r="V116" s="286">
        <f>VLOOKUP(T116,Calibration!$D$17:$E$22,2,FALSE)*S116</f>
        <v>587.99285059335205</v>
      </c>
      <c r="W116" t="s">
        <v>764</v>
      </c>
      <c r="X116">
        <v>254.07849400000001</v>
      </c>
      <c r="Y116">
        <v>0</v>
      </c>
    </row>
    <row r="117" spans="1:25">
      <c r="A117" s="277" t="str">
        <f>SEEMoutput!A119</f>
        <v>WxHZ1CZ2_2688e_25gshp_des0</v>
      </c>
      <c r="B117" s="286">
        <f>SEEMoutput!O119</f>
        <v>2992.9594510000002</v>
      </c>
      <c r="C117" s="287">
        <v>9.122680978140725E-2</v>
      </c>
      <c r="D117" s="277">
        <f>IF(SEEMoutput!G119&lt;6000,1,IF(SEEMoutput!G119&lt;7500,2,3))</f>
        <v>1</v>
      </c>
      <c r="E117" s="277" t="str">
        <f>IF(LEFT(SEEMoutput!BE119,1)="F","FUR",IF(LEFT(SEEMoutput!BE119,1)="D","DHP","HP"))</f>
        <v>HP</v>
      </c>
      <c r="F117" s="288">
        <f>SEEMoutput!E119</f>
        <v>473.93993399999999</v>
      </c>
      <c r="G117" s="289">
        <f>F117*(69-30)*SEEMoutput!N119/SEEMoutput!M119</f>
        <v>18808.016093440659</v>
      </c>
      <c r="H117" s="290">
        <f>'(Tons) (Furnsize)'!$F$52+'(Tons) (Furnsize)'!$F$53*'(Tons) (Furnsize)'!$B$15+'(Tons) (Furnsize)'!$F$54*G117</f>
        <v>2.2676051234405423</v>
      </c>
      <c r="I117" s="290">
        <f>H117/'(Tons) (Furnsize)'!$G$7</f>
        <v>1.8795200462695603</v>
      </c>
      <c r="J117" s="291">
        <f>F117*(69-VLOOKUP(D117,'(Tons) (Furnsize)'!$D$15:$E$17,2,FALSE))/3412</f>
        <v>7.2230001664712775</v>
      </c>
      <c r="K117" s="292">
        <f>INDEX(Calibration!$A$4:$L$13,MATCH($D117&amp;$E117,Calibration!$A$4:$A$13,0),MATCH(K$4,Calibration!$A$4:$L$4,0))</f>
        <v>0.2</v>
      </c>
      <c r="L117" s="292">
        <f>INDEX(Calibration!$A$4:$L$13,MATCH($D117&amp;$E117,Calibration!$A$4:$A$13,0),MATCH(L$4,Calibration!$A$4:$L$4,0))</f>
        <v>1.3869915874526988</v>
      </c>
      <c r="M117" s="292">
        <f>INDEX(Calibration!$A$4:$L$13,MATCH($D117&amp;$E117,Calibration!$A$4:$A$13,0),MATCH(M$4,Calibration!$A$4:$L$4,0))</f>
        <v>-2.2641144651923684</v>
      </c>
      <c r="N117" s="292">
        <f>INDEX(Calibration!$A$4:$L$13,MATCH($D117&amp;$E117,Calibration!$A$4:$A$13,0),MATCH(N$4,Calibration!$A$4:$L$4,0))</f>
        <v>1.5001973107123172</v>
      </c>
      <c r="O117" s="292">
        <f>INDEX(Calibration!$A$4:$L$13,MATCH($D117&amp;$E117,Calibration!$A$4:$A$13,0),MATCH(O$4,Calibration!$A$4:$L$4,0))</f>
        <v>-4.5282289303847367</v>
      </c>
      <c r="P117" s="292">
        <f>INDEX(Calibration!$A$4:$L$13,MATCH($D117&amp;$E117,Calibration!$A$4:$A$13,0),MATCH(P$4,Calibration!$A$4:$L$4,0))</f>
        <v>1.6700058956017449</v>
      </c>
      <c r="Q117" s="292">
        <f>INDEX(Calibration!$A$4:$L$13,MATCH($D117&amp;$E117,Calibration!$A$4:$A$13,0),MATCH(Q$4,Calibration!$A$4:$L$4,0))</f>
        <v>0.7643601095247976</v>
      </c>
      <c r="R117" s="293">
        <f>IF(C117&lt;Calibration!$F$5,L117,IF(C117&lt;Calibration!$E$5,C117*M117+N117,IF(C117&lt;K117,C117*O117+P117,Q117)))</f>
        <v>1.2569100163228715</v>
      </c>
      <c r="S117" s="286">
        <f t="shared" si="2"/>
        <v>3761.8807124101027</v>
      </c>
      <c r="T117" s="293">
        <f>IF(E117="DHP",VLOOKUP(D117,Calibration!$C$20:$E$22,2,FALSE),IF(D117=1,Calibration!$D$17,Calibration!$D$18))</f>
        <v>0.82813167326562143</v>
      </c>
      <c r="U117" s="286">
        <f t="shared" si="3"/>
        <v>3115.3325689938465</v>
      </c>
      <c r="V117" s="286">
        <f>VLOOKUP(T117,Calibration!$D$17:$E$22,2,FALSE)*S117</f>
        <v>587.99285059335205</v>
      </c>
      <c r="W117" t="s">
        <v>767</v>
      </c>
      <c r="X117">
        <v>485.69930900000003</v>
      </c>
      <c r="Y117">
        <v>0</v>
      </c>
    </row>
    <row r="118" spans="1:25">
      <c r="A118" s="277" t="str">
        <f>SEEMoutput!A120</f>
        <v>WxHZ1CZ3_2688e_25gshp_des0</v>
      </c>
      <c r="B118" s="286">
        <f>SEEMoutput!O120</f>
        <v>2992.9594510000002</v>
      </c>
      <c r="C118" s="287">
        <v>9.122680978140725E-2</v>
      </c>
      <c r="D118" s="277">
        <f>IF(SEEMoutput!G120&lt;6000,1,IF(SEEMoutput!G120&lt;7500,2,3))</f>
        <v>1</v>
      </c>
      <c r="E118" s="277" t="str">
        <f>IF(LEFT(SEEMoutput!BE120,1)="F","FUR",IF(LEFT(SEEMoutput!BE120,1)="D","DHP","HP"))</f>
        <v>HP</v>
      </c>
      <c r="F118" s="288">
        <f>SEEMoutput!E120</f>
        <v>473.93993399999999</v>
      </c>
      <c r="G118" s="289">
        <f>F118*(69-30)*SEEMoutput!N120/SEEMoutput!M120</f>
        <v>18808.016093440659</v>
      </c>
      <c r="H118" s="290">
        <f>'(Tons) (Furnsize)'!$F$52+'(Tons) (Furnsize)'!$F$53*'(Tons) (Furnsize)'!$B$15+'(Tons) (Furnsize)'!$F$54*G118</f>
        <v>2.2676051234405423</v>
      </c>
      <c r="I118" s="290">
        <f>H118/'(Tons) (Furnsize)'!$G$7</f>
        <v>1.8795200462695603</v>
      </c>
      <c r="J118" s="291">
        <f>F118*(69-VLOOKUP(D118,'(Tons) (Furnsize)'!$D$15:$E$17,2,FALSE))/3412</f>
        <v>7.2230001664712775</v>
      </c>
      <c r="K118" s="292">
        <f>INDEX(Calibration!$A$4:$L$13,MATCH($D118&amp;$E118,Calibration!$A$4:$A$13,0),MATCH(K$4,Calibration!$A$4:$L$4,0))</f>
        <v>0.2</v>
      </c>
      <c r="L118" s="292">
        <f>INDEX(Calibration!$A$4:$L$13,MATCH($D118&amp;$E118,Calibration!$A$4:$A$13,0),MATCH(L$4,Calibration!$A$4:$L$4,0))</f>
        <v>1.3869915874526988</v>
      </c>
      <c r="M118" s="292">
        <f>INDEX(Calibration!$A$4:$L$13,MATCH($D118&amp;$E118,Calibration!$A$4:$A$13,0),MATCH(M$4,Calibration!$A$4:$L$4,0))</f>
        <v>-2.2641144651923684</v>
      </c>
      <c r="N118" s="292">
        <f>INDEX(Calibration!$A$4:$L$13,MATCH($D118&amp;$E118,Calibration!$A$4:$A$13,0),MATCH(N$4,Calibration!$A$4:$L$4,0))</f>
        <v>1.5001973107123172</v>
      </c>
      <c r="O118" s="292">
        <f>INDEX(Calibration!$A$4:$L$13,MATCH($D118&amp;$E118,Calibration!$A$4:$A$13,0),MATCH(O$4,Calibration!$A$4:$L$4,0))</f>
        <v>-4.5282289303847367</v>
      </c>
      <c r="P118" s="292">
        <f>INDEX(Calibration!$A$4:$L$13,MATCH($D118&amp;$E118,Calibration!$A$4:$A$13,0),MATCH(P$4,Calibration!$A$4:$L$4,0))</f>
        <v>1.6700058956017449</v>
      </c>
      <c r="Q118" s="292">
        <f>INDEX(Calibration!$A$4:$L$13,MATCH($D118&amp;$E118,Calibration!$A$4:$A$13,0),MATCH(Q$4,Calibration!$A$4:$L$4,0))</f>
        <v>0.7643601095247976</v>
      </c>
      <c r="R118" s="293">
        <f>IF(C118&lt;Calibration!$F$5,L118,IF(C118&lt;Calibration!$E$5,C118*M118+N118,IF(C118&lt;K118,C118*O118+P118,Q118)))</f>
        <v>1.2569100163228715</v>
      </c>
      <c r="S118" s="286">
        <f t="shared" si="2"/>
        <v>3761.8807124101027</v>
      </c>
      <c r="T118" s="293">
        <f>IF(E118="DHP",VLOOKUP(D118,Calibration!$C$20:$E$22,2,FALSE),IF(D118=1,Calibration!$D$17,Calibration!$D$18))</f>
        <v>0.82813167326562143</v>
      </c>
      <c r="U118" s="286">
        <f t="shared" si="3"/>
        <v>3115.3325689938465</v>
      </c>
      <c r="V118" s="286">
        <f>VLOOKUP(T118,Calibration!$D$17:$E$22,2,FALSE)*S118</f>
        <v>587.99285059335205</v>
      </c>
      <c r="W118" t="s">
        <v>770</v>
      </c>
      <c r="X118">
        <v>789.35498199999995</v>
      </c>
      <c r="Y118">
        <v>0</v>
      </c>
    </row>
    <row r="119" spans="1:25">
      <c r="A119" s="277" t="str">
        <f>SEEMoutput!A121</f>
        <v>NWHZ2CZ1_2688n_25gshp_des0</v>
      </c>
      <c r="B119" s="286">
        <f>SEEMoutput!O121</f>
        <v>3974.2948620000002</v>
      </c>
      <c r="C119" s="287">
        <v>8.5055728614947632E-2</v>
      </c>
      <c r="D119" s="277">
        <f>IF(SEEMoutput!G121&lt;6000,1,IF(SEEMoutput!G121&lt;7500,2,3))</f>
        <v>2</v>
      </c>
      <c r="E119" s="277" t="str">
        <f>IF(LEFT(SEEMoutput!BE121,1)="F","FUR",IF(LEFT(SEEMoutput!BE121,1)="D","DHP","HP"))</f>
        <v>HP</v>
      </c>
      <c r="F119" s="288">
        <f>SEEMoutput!E121</f>
        <v>445.51737500000002</v>
      </c>
      <c r="G119" s="289">
        <f>F119*(69-30)*SEEMoutput!N121/SEEMoutput!M121</f>
        <v>17660.451802521664</v>
      </c>
      <c r="H119" s="290">
        <f>'(Tons) (Furnsize)'!$F$52+'(Tons) (Furnsize)'!$F$53*'(Tons) (Furnsize)'!$B$15+'(Tons) (Furnsize)'!$F$54*G119</f>
        <v>2.1328691464689311</v>
      </c>
      <c r="I119" s="290">
        <f>H119/'(Tons) (Furnsize)'!$G$7</f>
        <v>1.7678432084224009</v>
      </c>
      <c r="J119" s="291">
        <f>F119*(69-VLOOKUP(D119,'(Tons) (Furnsize)'!$D$15:$E$17,2,FALSE))/3412</f>
        <v>9.0095834920867528</v>
      </c>
      <c r="K119" s="292">
        <f>INDEX(Calibration!$A$4:$L$13,MATCH($D119&amp;$E119,Calibration!$A$4:$A$13,0),MATCH(K$4,Calibration!$A$4:$L$4,0))</f>
        <v>0.17499999999999999</v>
      </c>
      <c r="L119" s="292">
        <f>INDEX(Calibration!$A$4:$L$13,MATCH($D119&amp;$E119,Calibration!$A$4:$A$13,0),MATCH(L$4,Calibration!$A$4:$L$4,0))</f>
        <v>1.1965160377936901</v>
      </c>
      <c r="M119" s="292">
        <f>INDEX(Calibration!$A$4:$L$13,MATCH($D119&amp;$E119,Calibration!$A$4:$A$13,0),MATCH(M$4,Calibration!$A$4:$L$4,0))</f>
        <v>-2.050167690250368</v>
      </c>
      <c r="N119" s="292">
        <f>INDEX(Calibration!$A$4:$L$13,MATCH($D119&amp;$E119,Calibration!$A$4:$A$13,0),MATCH(N$4,Calibration!$A$4:$L$4,0))</f>
        <v>1.2990244223062084</v>
      </c>
      <c r="O119" s="292">
        <f>INDEX(Calibration!$A$4:$L$13,MATCH($D119&amp;$E119,Calibration!$A$4:$A$13,0),MATCH(O$4,Calibration!$A$4:$L$4,0))</f>
        <v>-4.1003353805007361</v>
      </c>
      <c r="P119" s="292">
        <f>INDEX(Calibration!$A$4:$L$13,MATCH($D119&amp;$E119,Calibration!$A$4:$A$13,0),MATCH(P$4,Calibration!$A$4:$L$4,0))</f>
        <v>1.452786999074986</v>
      </c>
      <c r="Q119" s="292">
        <f>INDEX(Calibration!$A$4:$L$13,MATCH($D119&amp;$E119,Calibration!$A$4:$A$13,0),MATCH(Q$4,Calibration!$A$4:$L$4,0))</f>
        <v>0.73522830748735724</v>
      </c>
      <c r="R119" s="293">
        <f>IF(C119&lt;Calibration!$F$5,L119,IF(C119&lt;Calibration!$E$5,C119*M119+N119,IF(C119&lt;K119,C119*O119+P119,Q119)))</f>
        <v>1.1040299857208473</v>
      </c>
      <c r="S119" s="286">
        <f t="shared" si="2"/>
        <v>4387.7406997442968</v>
      </c>
      <c r="T119" s="293">
        <f>IF(E119="DHP",VLOOKUP(D119,Calibration!$C$20:$E$22,2,FALSE),IF(D119=1,Calibration!$D$17,Calibration!$D$18))</f>
        <v>0.85917762533929642</v>
      </c>
      <c r="U119" s="286">
        <f t="shared" si="3"/>
        <v>3769.8486350108878</v>
      </c>
      <c r="V119" s="286">
        <f>VLOOKUP(T119,Calibration!$D$17:$E$22,2,FALSE)*S119</f>
        <v>542.18393506147072</v>
      </c>
      <c r="W119" t="s">
        <v>779</v>
      </c>
      <c r="X119">
        <v>254.22847300000001</v>
      </c>
      <c r="Y119">
        <v>0</v>
      </c>
    </row>
    <row r="120" spans="1:25">
      <c r="A120" s="277" t="str">
        <f>SEEMoutput!A122</f>
        <v>NWHZ2CZ2_2688n_25gshp_des0</v>
      </c>
      <c r="B120" s="286">
        <f>SEEMoutput!O122</f>
        <v>3974.2948620000002</v>
      </c>
      <c r="C120" s="287">
        <v>8.5055728614947632E-2</v>
      </c>
      <c r="D120" s="277">
        <f>IF(SEEMoutput!G122&lt;6000,1,IF(SEEMoutput!G122&lt;7500,2,3))</f>
        <v>2</v>
      </c>
      <c r="E120" s="277" t="str">
        <f>IF(LEFT(SEEMoutput!BE122,1)="F","FUR",IF(LEFT(SEEMoutput!BE122,1)="D","DHP","HP"))</f>
        <v>HP</v>
      </c>
      <c r="F120" s="288">
        <f>SEEMoutput!E122</f>
        <v>445.51737500000002</v>
      </c>
      <c r="G120" s="289">
        <f>F120*(69-30)*SEEMoutput!N122/SEEMoutput!M122</f>
        <v>17660.451802521664</v>
      </c>
      <c r="H120" s="290">
        <f>'(Tons) (Furnsize)'!$F$52+'(Tons) (Furnsize)'!$F$53*'(Tons) (Furnsize)'!$B$15+'(Tons) (Furnsize)'!$F$54*G120</f>
        <v>2.1328691464689311</v>
      </c>
      <c r="I120" s="290">
        <f>H120/'(Tons) (Furnsize)'!$G$7</f>
        <v>1.7678432084224009</v>
      </c>
      <c r="J120" s="291">
        <f>F120*(69-VLOOKUP(D120,'(Tons) (Furnsize)'!$D$15:$E$17,2,FALSE))/3412</f>
        <v>9.0095834920867528</v>
      </c>
      <c r="K120" s="292">
        <f>INDEX(Calibration!$A$4:$L$13,MATCH($D120&amp;$E120,Calibration!$A$4:$A$13,0),MATCH(K$4,Calibration!$A$4:$L$4,0))</f>
        <v>0.17499999999999999</v>
      </c>
      <c r="L120" s="292">
        <f>INDEX(Calibration!$A$4:$L$13,MATCH($D120&amp;$E120,Calibration!$A$4:$A$13,0),MATCH(L$4,Calibration!$A$4:$L$4,0))</f>
        <v>1.1965160377936901</v>
      </c>
      <c r="M120" s="292">
        <f>INDEX(Calibration!$A$4:$L$13,MATCH($D120&amp;$E120,Calibration!$A$4:$A$13,0),MATCH(M$4,Calibration!$A$4:$L$4,0))</f>
        <v>-2.050167690250368</v>
      </c>
      <c r="N120" s="292">
        <f>INDEX(Calibration!$A$4:$L$13,MATCH($D120&amp;$E120,Calibration!$A$4:$A$13,0),MATCH(N$4,Calibration!$A$4:$L$4,0))</f>
        <v>1.2990244223062084</v>
      </c>
      <c r="O120" s="292">
        <f>INDEX(Calibration!$A$4:$L$13,MATCH($D120&amp;$E120,Calibration!$A$4:$A$13,0),MATCH(O$4,Calibration!$A$4:$L$4,0))</f>
        <v>-4.1003353805007361</v>
      </c>
      <c r="P120" s="292">
        <f>INDEX(Calibration!$A$4:$L$13,MATCH($D120&amp;$E120,Calibration!$A$4:$A$13,0),MATCH(P$4,Calibration!$A$4:$L$4,0))</f>
        <v>1.452786999074986</v>
      </c>
      <c r="Q120" s="292">
        <f>INDEX(Calibration!$A$4:$L$13,MATCH($D120&amp;$E120,Calibration!$A$4:$A$13,0),MATCH(Q$4,Calibration!$A$4:$L$4,0))</f>
        <v>0.73522830748735724</v>
      </c>
      <c r="R120" s="293">
        <f>IF(C120&lt;Calibration!$F$5,L120,IF(C120&lt;Calibration!$E$5,C120*M120+N120,IF(C120&lt;K120,C120*O120+P120,Q120)))</f>
        <v>1.1040299857208473</v>
      </c>
      <c r="S120" s="286">
        <f t="shared" si="2"/>
        <v>4387.7406997442968</v>
      </c>
      <c r="T120" s="293">
        <f>IF(E120="DHP",VLOOKUP(D120,Calibration!$C$20:$E$22,2,FALSE),IF(D120=1,Calibration!$D$17,Calibration!$D$18))</f>
        <v>0.85917762533929642</v>
      </c>
      <c r="U120" s="286">
        <f t="shared" si="3"/>
        <v>3769.8486350108878</v>
      </c>
      <c r="V120" s="286">
        <f>VLOOKUP(T120,Calibration!$D$17:$E$22,2,FALSE)*S120</f>
        <v>542.18393506147072</v>
      </c>
      <c r="W120" t="s">
        <v>782</v>
      </c>
      <c r="X120">
        <v>475.210576</v>
      </c>
      <c r="Y120">
        <v>0</v>
      </c>
    </row>
    <row r="121" spans="1:25">
      <c r="A121" s="277" t="str">
        <f>SEEMoutput!A123</f>
        <v>NWHZ2CZ3_2688n_25gshp_des0</v>
      </c>
      <c r="B121" s="286">
        <f>SEEMoutput!O123</f>
        <v>3974.2948620000002</v>
      </c>
      <c r="C121" s="287">
        <v>8.5055728614947632E-2</v>
      </c>
      <c r="D121" s="277">
        <f>IF(SEEMoutput!G123&lt;6000,1,IF(SEEMoutput!G123&lt;7500,2,3))</f>
        <v>2</v>
      </c>
      <c r="E121" s="277" t="str">
        <f>IF(LEFT(SEEMoutput!BE123,1)="F","FUR",IF(LEFT(SEEMoutput!BE123,1)="D","DHP","HP"))</f>
        <v>HP</v>
      </c>
      <c r="F121" s="288">
        <f>SEEMoutput!E123</f>
        <v>445.51737500000002</v>
      </c>
      <c r="G121" s="289">
        <f>F121*(69-30)*SEEMoutput!N123/SEEMoutput!M123</f>
        <v>17660.451802521664</v>
      </c>
      <c r="H121" s="290">
        <f>'(Tons) (Furnsize)'!$F$52+'(Tons) (Furnsize)'!$F$53*'(Tons) (Furnsize)'!$B$15+'(Tons) (Furnsize)'!$F$54*G121</f>
        <v>2.1328691464689311</v>
      </c>
      <c r="I121" s="290">
        <f>H121/'(Tons) (Furnsize)'!$G$7</f>
        <v>1.7678432084224009</v>
      </c>
      <c r="J121" s="291">
        <f>F121*(69-VLOOKUP(D121,'(Tons) (Furnsize)'!$D$15:$E$17,2,FALSE))/3412</f>
        <v>9.0095834920867528</v>
      </c>
      <c r="K121" s="292">
        <f>INDEX(Calibration!$A$4:$L$13,MATCH($D121&amp;$E121,Calibration!$A$4:$A$13,0),MATCH(K$4,Calibration!$A$4:$L$4,0))</f>
        <v>0.17499999999999999</v>
      </c>
      <c r="L121" s="292">
        <f>INDEX(Calibration!$A$4:$L$13,MATCH($D121&amp;$E121,Calibration!$A$4:$A$13,0),MATCH(L$4,Calibration!$A$4:$L$4,0))</f>
        <v>1.1965160377936901</v>
      </c>
      <c r="M121" s="292">
        <f>INDEX(Calibration!$A$4:$L$13,MATCH($D121&amp;$E121,Calibration!$A$4:$A$13,0),MATCH(M$4,Calibration!$A$4:$L$4,0))</f>
        <v>-2.050167690250368</v>
      </c>
      <c r="N121" s="292">
        <f>INDEX(Calibration!$A$4:$L$13,MATCH($D121&amp;$E121,Calibration!$A$4:$A$13,0),MATCH(N$4,Calibration!$A$4:$L$4,0))</f>
        <v>1.2990244223062084</v>
      </c>
      <c r="O121" s="292">
        <f>INDEX(Calibration!$A$4:$L$13,MATCH($D121&amp;$E121,Calibration!$A$4:$A$13,0),MATCH(O$4,Calibration!$A$4:$L$4,0))</f>
        <v>-4.1003353805007361</v>
      </c>
      <c r="P121" s="292">
        <f>INDEX(Calibration!$A$4:$L$13,MATCH($D121&amp;$E121,Calibration!$A$4:$A$13,0),MATCH(P$4,Calibration!$A$4:$L$4,0))</f>
        <v>1.452786999074986</v>
      </c>
      <c r="Q121" s="292">
        <f>INDEX(Calibration!$A$4:$L$13,MATCH($D121&amp;$E121,Calibration!$A$4:$A$13,0),MATCH(Q$4,Calibration!$A$4:$L$4,0))</f>
        <v>0.73522830748735724</v>
      </c>
      <c r="R121" s="293">
        <f>IF(C121&lt;Calibration!$F$5,L121,IF(C121&lt;Calibration!$E$5,C121*M121+N121,IF(C121&lt;K121,C121*O121+P121,Q121)))</f>
        <v>1.1040299857208473</v>
      </c>
      <c r="S121" s="286">
        <f t="shared" si="2"/>
        <v>4387.7406997442968</v>
      </c>
      <c r="T121" s="293">
        <f>IF(E121="DHP",VLOOKUP(D121,Calibration!$C$20:$E$22,2,FALSE),IF(D121=1,Calibration!$D$17,Calibration!$D$18))</f>
        <v>0.85917762533929642</v>
      </c>
      <c r="U121" s="286">
        <f t="shared" si="3"/>
        <v>3769.8486350108878</v>
      </c>
      <c r="V121" s="286">
        <f>VLOOKUP(T121,Calibration!$D$17:$E$22,2,FALSE)*S121</f>
        <v>542.18393506147072</v>
      </c>
      <c r="W121" t="s">
        <v>785</v>
      </c>
      <c r="X121">
        <v>765.58667300000002</v>
      </c>
      <c r="Y121">
        <v>0</v>
      </c>
    </row>
    <row r="122" spans="1:25">
      <c r="A122" s="277" t="str">
        <f>SEEMoutput!A124</f>
        <v>WxHZ2CZ1_2688e_25gshp_des0</v>
      </c>
      <c r="B122" s="286">
        <f>SEEMoutput!O124</f>
        <v>4405.8354339999996</v>
      </c>
      <c r="C122" s="287">
        <v>9.3493737929449955E-2</v>
      </c>
      <c r="D122" s="277">
        <f>IF(SEEMoutput!G124&lt;6000,1,IF(SEEMoutput!G124&lt;7500,2,3))</f>
        <v>2</v>
      </c>
      <c r="E122" s="277" t="str">
        <f>IF(LEFT(SEEMoutput!BE124,1)="F","FUR",IF(LEFT(SEEMoutput!BE124,1)="D","DHP","HP"))</f>
        <v>HP</v>
      </c>
      <c r="F122" s="288">
        <f>SEEMoutput!E124</f>
        <v>480.03186599999998</v>
      </c>
      <c r="G122" s="289">
        <f>F122*(69-30)*SEEMoutput!N124/SEEMoutput!M124</f>
        <v>19074.135658632855</v>
      </c>
      <c r="H122" s="290">
        <f>'(Tons) (Furnsize)'!$F$52+'(Tons) (Furnsize)'!$F$53*'(Tons) (Furnsize)'!$B$15+'(Tons) (Furnsize)'!$F$54*G122</f>
        <v>2.2988503267735223</v>
      </c>
      <c r="I122" s="290">
        <f>H122/'(Tons) (Furnsize)'!$G$7</f>
        <v>1.9054178471728329</v>
      </c>
      <c r="J122" s="291">
        <f>F122*(69-VLOOKUP(D122,'(Tons) (Furnsize)'!$D$15:$E$17,2,FALSE))/3412</f>
        <v>9.7075611822977717</v>
      </c>
      <c r="K122" s="292">
        <f>INDEX(Calibration!$A$4:$L$13,MATCH($D122&amp;$E122,Calibration!$A$4:$A$13,0),MATCH(K$4,Calibration!$A$4:$L$4,0))</f>
        <v>0.17499999999999999</v>
      </c>
      <c r="L122" s="292">
        <f>INDEX(Calibration!$A$4:$L$13,MATCH($D122&amp;$E122,Calibration!$A$4:$A$13,0),MATCH(L$4,Calibration!$A$4:$L$4,0))</f>
        <v>1.1965160377936901</v>
      </c>
      <c r="M122" s="292">
        <f>INDEX(Calibration!$A$4:$L$13,MATCH($D122&amp;$E122,Calibration!$A$4:$A$13,0),MATCH(M$4,Calibration!$A$4:$L$4,0))</f>
        <v>-2.050167690250368</v>
      </c>
      <c r="N122" s="292">
        <f>INDEX(Calibration!$A$4:$L$13,MATCH($D122&amp;$E122,Calibration!$A$4:$A$13,0),MATCH(N$4,Calibration!$A$4:$L$4,0))</f>
        <v>1.2990244223062084</v>
      </c>
      <c r="O122" s="292">
        <f>INDEX(Calibration!$A$4:$L$13,MATCH($D122&amp;$E122,Calibration!$A$4:$A$13,0),MATCH(O$4,Calibration!$A$4:$L$4,0))</f>
        <v>-4.1003353805007361</v>
      </c>
      <c r="P122" s="292">
        <f>INDEX(Calibration!$A$4:$L$13,MATCH($D122&amp;$E122,Calibration!$A$4:$A$13,0),MATCH(P$4,Calibration!$A$4:$L$4,0))</f>
        <v>1.452786999074986</v>
      </c>
      <c r="Q122" s="292">
        <f>INDEX(Calibration!$A$4:$L$13,MATCH($D122&amp;$E122,Calibration!$A$4:$A$13,0),MATCH(Q$4,Calibration!$A$4:$L$4,0))</f>
        <v>0.73522830748735724</v>
      </c>
      <c r="R122" s="293">
        <f>IF(C122&lt;Calibration!$F$5,L122,IF(C122&lt;Calibration!$E$5,C122*M122+N122,IF(C122&lt;K122,C122*O122+P122,Q122)))</f>
        <v>1.0694313175875987</v>
      </c>
      <c r="S122" s="286">
        <f t="shared" si="2"/>
        <v>4711.7383932567491</v>
      </c>
      <c r="T122" s="293">
        <f>IF(E122="DHP",VLOOKUP(D122,Calibration!$C$20:$E$22,2,FALSE),IF(D122=1,Calibration!$D$17,Calibration!$D$18))</f>
        <v>0.85917762533929642</v>
      </c>
      <c r="U122" s="286">
        <f t="shared" si="3"/>
        <v>4048.2202039383255</v>
      </c>
      <c r="V122" s="286">
        <f>VLOOKUP(T122,Calibration!$D$17:$E$22,2,FALSE)*S122</f>
        <v>582.21965194639483</v>
      </c>
      <c r="W122" t="s">
        <v>779</v>
      </c>
      <c r="X122">
        <v>254.07849400000001</v>
      </c>
      <c r="Y122">
        <v>0</v>
      </c>
    </row>
    <row r="123" spans="1:25">
      <c r="A123" s="277" t="str">
        <f>SEEMoutput!A125</f>
        <v>WxHZ2CZ2_2688e_25gshp_des0</v>
      </c>
      <c r="B123" s="286">
        <f>SEEMoutput!O125</f>
        <v>4405.8354339999996</v>
      </c>
      <c r="C123" s="287">
        <v>9.3493737929449955E-2</v>
      </c>
      <c r="D123" s="277">
        <f>IF(SEEMoutput!G125&lt;6000,1,IF(SEEMoutput!G125&lt;7500,2,3))</f>
        <v>2</v>
      </c>
      <c r="E123" s="277" t="str">
        <f>IF(LEFT(SEEMoutput!BE125,1)="F","FUR",IF(LEFT(SEEMoutput!BE125,1)="D","DHP","HP"))</f>
        <v>HP</v>
      </c>
      <c r="F123" s="288">
        <f>SEEMoutput!E125</f>
        <v>480.03186599999998</v>
      </c>
      <c r="G123" s="289">
        <f>F123*(69-30)*SEEMoutput!N125/SEEMoutput!M125</f>
        <v>19074.135658632855</v>
      </c>
      <c r="H123" s="290">
        <f>'(Tons) (Furnsize)'!$F$52+'(Tons) (Furnsize)'!$F$53*'(Tons) (Furnsize)'!$B$15+'(Tons) (Furnsize)'!$F$54*G123</f>
        <v>2.2988503267735223</v>
      </c>
      <c r="I123" s="290">
        <f>H123/'(Tons) (Furnsize)'!$G$7</f>
        <v>1.9054178471728329</v>
      </c>
      <c r="J123" s="291">
        <f>F123*(69-VLOOKUP(D123,'(Tons) (Furnsize)'!$D$15:$E$17,2,FALSE))/3412</f>
        <v>9.7075611822977717</v>
      </c>
      <c r="K123" s="292">
        <f>INDEX(Calibration!$A$4:$L$13,MATCH($D123&amp;$E123,Calibration!$A$4:$A$13,0),MATCH(K$4,Calibration!$A$4:$L$4,0))</f>
        <v>0.17499999999999999</v>
      </c>
      <c r="L123" s="292">
        <f>INDEX(Calibration!$A$4:$L$13,MATCH($D123&amp;$E123,Calibration!$A$4:$A$13,0),MATCH(L$4,Calibration!$A$4:$L$4,0))</f>
        <v>1.1965160377936901</v>
      </c>
      <c r="M123" s="292">
        <f>INDEX(Calibration!$A$4:$L$13,MATCH($D123&amp;$E123,Calibration!$A$4:$A$13,0),MATCH(M$4,Calibration!$A$4:$L$4,0))</f>
        <v>-2.050167690250368</v>
      </c>
      <c r="N123" s="292">
        <f>INDEX(Calibration!$A$4:$L$13,MATCH($D123&amp;$E123,Calibration!$A$4:$A$13,0),MATCH(N$4,Calibration!$A$4:$L$4,0))</f>
        <v>1.2990244223062084</v>
      </c>
      <c r="O123" s="292">
        <f>INDEX(Calibration!$A$4:$L$13,MATCH($D123&amp;$E123,Calibration!$A$4:$A$13,0),MATCH(O$4,Calibration!$A$4:$L$4,0))</f>
        <v>-4.1003353805007361</v>
      </c>
      <c r="P123" s="292">
        <f>INDEX(Calibration!$A$4:$L$13,MATCH($D123&amp;$E123,Calibration!$A$4:$A$13,0),MATCH(P$4,Calibration!$A$4:$L$4,0))</f>
        <v>1.452786999074986</v>
      </c>
      <c r="Q123" s="292">
        <f>INDEX(Calibration!$A$4:$L$13,MATCH($D123&amp;$E123,Calibration!$A$4:$A$13,0),MATCH(Q$4,Calibration!$A$4:$L$4,0))</f>
        <v>0.73522830748735724</v>
      </c>
      <c r="R123" s="293">
        <f>IF(C123&lt;Calibration!$F$5,L123,IF(C123&lt;Calibration!$E$5,C123*M123+N123,IF(C123&lt;K123,C123*O123+P123,Q123)))</f>
        <v>1.0694313175875987</v>
      </c>
      <c r="S123" s="286">
        <f t="shared" si="2"/>
        <v>4711.7383932567491</v>
      </c>
      <c r="T123" s="293">
        <f>IF(E123="DHP",VLOOKUP(D123,Calibration!$C$20:$E$22,2,FALSE),IF(D123=1,Calibration!$D$17,Calibration!$D$18))</f>
        <v>0.85917762533929642</v>
      </c>
      <c r="U123" s="286">
        <f t="shared" si="3"/>
        <v>4048.2202039383255</v>
      </c>
      <c r="V123" s="286">
        <f>VLOOKUP(T123,Calibration!$D$17:$E$22,2,FALSE)*S123</f>
        <v>582.21965194639483</v>
      </c>
      <c r="W123" t="s">
        <v>782</v>
      </c>
      <c r="X123">
        <v>485.69930900000003</v>
      </c>
      <c r="Y123">
        <v>0</v>
      </c>
    </row>
    <row r="124" spans="1:25">
      <c r="A124" s="277" t="str">
        <f>SEEMoutput!A126</f>
        <v>WxHZ2CZ3_2688e_25gshp_des0</v>
      </c>
      <c r="B124" s="286">
        <f>SEEMoutput!O126</f>
        <v>4405.8354339999996</v>
      </c>
      <c r="C124" s="287">
        <v>9.3493737929449955E-2</v>
      </c>
      <c r="D124" s="277">
        <f>IF(SEEMoutput!G126&lt;6000,1,IF(SEEMoutput!G126&lt;7500,2,3))</f>
        <v>2</v>
      </c>
      <c r="E124" s="277" t="str">
        <f>IF(LEFT(SEEMoutput!BE126,1)="F","FUR",IF(LEFT(SEEMoutput!BE126,1)="D","DHP","HP"))</f>
        <v>HP</v>
      </c>
      <c r="F124" s="288">
        <f>SEEMoutput!E126</f>
        <v>480.03186599999998</v>
      </c>
      <c r="G124" s="289">
        <f>F124*(69-30)*SEEMoutput!N126/SEEMoutput!M126</f>
        <v>19074.135658632855</v>
      </c>
      <c r="H124" s="290">
        <f>'(Tons) (Furnsize)'!$F$52+'(Tons) (Furnsize)'!$F$53*'(Tons) (Furnsize)'!$B$15+'(Tons) (Furnsize)'!$F$54*G124</f>
        <v>2.2988503267735223</v>
      </c>
      <c r="I124" s="290">
        <f>H124/'(Tons) (Furnsize)'!$G$7</f>
        <v>1.9054178471728329</v>
      </c>
      <c r="J124" s="291">
        <f>F124*(69-VLOOKUP(D124,'(Tons) (Furnsize)'!$D$15:$E$17,2,FALSE))/3412</f>
        <v>9.7075611822977717</v>
      </c>
      <c r="K124" s="292">
        <f>INDEX(Calibration!$A$4:$L$13,MATCH($D124&amp;$E124,Calibration!$A$4:$A$13,0),MATCH(K$4,Calibration!$A$4:$L$4,0))</f>
        <v>0.17499999999999999</v>
      </c>
      <c r="L124" s="292">
        <f>INDEX(Calibration!$A$4:$L$13,MATCH($D124&amp;$E124,Calibration!$A$4:$A$13,0),MATCH(L$4,Calibration!$A$4:$L$4,0))</f>
        <v>1.1965160377936901</v>
      </c>
      <c r="M124" s="292">
        <f>INDEX(Calibration!$A$4:$L$13,MATCH($D124&amp;$E124,Calibration!$A$4:$A$13,0),MATCH(M$4,Calibration!$A$4:$L$4,0))</f>
        <v>-2.050167690250368</v>
      </c>
      <c r="N124" s="292">
        <f>INDEX(Calibration!$A$4:$L$13,MATCH($D124&amp;$E124,Calibration!$A$4:$A$13,0),MATCH(N$4,Calibration!$A$4:$L$4,0))</f>
        <v>1.2990244223062084</v>
      </c>
      <c r="O124" s="292">
        <f>INDEX(Calibration!$A$4:$L$13,MATCH($D124&amp;$E124,Calibration!$A$4:$A$13,0),MATCH(O$4,Calibration!$A$4:$L$4,0))</f>
        <v>-4.1003353805007361</v>
      </c>
      <c r="P124" s="292">
        <f>INDEX(Calibration!$A$4:$L$13,MATCH($D124&amp;$E124,Calibration!$A$4:$A$13,0),MATCH(P$4,Calibration!$A$4:$L$4,0))</f>
        <v>1.452786999074986</v>
      </c>
      <c r="Q124" s="292">
        <f>INDEX(Calibration!$A$4:$L$13,MATCH($D124&amp;$E124,Calibration!$A$4:$A$13,0),MATCH(Q$4,Calibration!$A$4:$L$4,0))</f>
        <v>0.73522830748735724</v>
      </c>
      <c r="R124" s="293">
        <f>IF(C124&lt;Calibration!$F$5,L124,IF(C124&lt;Calibration!$E$5,C124*M124+N124,IF(C124&lt;K124,C124*O124+P124,Q124)))</f>
        <v>1.0694313175875987</v>
      </c>
      <c r="S124" s="286">
        <f t="shared" si="2"/>
        <v>4711.7383932567491</v>
      </c>
      <c r="T124" s="293">
        <f>IF(E124="DHP",VLOOKUP(D124,Calibration!$C$20:$E$22,2,FALSE),IF(D124=1,Calibration!$D$17,Calibration!$D$18))</f>
        <v>0.85917762533929642</v>
      </c>
      <c r="U124" s="286">
        <f t="shared" si="3"/>
        <v>4048.2202039383255</v>
      </c>
      <c r="V124" s="286">
        <f>VLOOKUP(T124,Calibration!$D$17:$E$22,2,FALSE)*S124</f>
        <v>582.21965194639483</v>
      </c>
      <c r="W124" t="s">
        <v>785</v>
      </c>
      <c r="X124">
        <v>789.35498199999995</v>
      </c>
      <c r="Y124">
        <v>0</v>
      </c>
    </row>
    <row r="125" spans="1:25">
      <c r="A125" s="277" t="str">
        <f>SEEMoutput!A127</f>
        <v>NWHZ3CZ1_2688n_25gshp_des0</v>
      </c>
      <c r="B125" s="286">
        <f>SEEMoutput!O127</f>
        <v>5016.9458880000002</v>
      </c>
      <c r="C125" s="287">
        <v>8.4111065451958303E-2</v>
      </c>
      <c r="D125" s="277">
        <f>IF(SEEMoutput!G127&lt;6000,1,IF(SEEMoutput!G127&lt;7500,2,3))</f>
        <v>3</v>
      </c>
      <c r="E125" s="277" t="str">
        <f>IF(LEFT(SEEMoutput!BE127,1)="F","FUR",IF(LEFT(SEEMoutput!BE127,1)="D","DHP","HP"))</f>
        <v>HP</v>
      </c>
      <c r="F125" s="288">
        <f>SEEMoutput!E127</f>
        <v>438.548675</v>
      </c>
      <c r="G125" s="289">
        <f>F125*(69-30)*SEEMoutput!N127/SEEMoutput!M127</f>
        <v>17384.258226724662</v>
      </c>
      <c r="H125" s="290">
        <f>'(Tons) (Furnsize)'!$F$52+'(Tons) (Furnsize)'!$F$53*'(Tons) (Furnsize)'!$B$15+'(Tons) (Furnsize)'!$F$54*G125</f>
        <v>2.1004411495690878</v>
      </c>
      <c r="I125" s="290">
        <f>H125/'(Tons) (Furnsize)'!$G$7</f>
        <v>1.7409650409656494</v>
      </c>
      <c r="J125" s="291">
        <f>F125*(69-VLOOKUP(D125,'(Tons) (Furnsize)'!$D$15:$E$17,2,FALSE))/3412</f>
        <v>12.081938877491208</v>
      </c>
      <c r="K125" s="292">
        <f>INDEX(Calibration!$A$4:$L$13,MATCH($D125&amp;$E125,Calibration!$A$4:$A$13,0),MATCH(K$4,Calibration!$A$4:$L$4,0))</f>
        <v>0.15</v>
      </c>
      <c r="L125" s="292">
        <f>INDEX(Calibration!$A$4:$L$13,MATCH($D125&amp;$E125,Calibration!$A$4:$A$13,0),MATCH(L$4,Calibration!$A$4:$L$4,0))</f>
        <v>1.0259371368886356</v>
      </c>
      <c r="M125" s="292">
        <f>INDEX(Calibration!$A$4:$L$13,MATCH($D125&amp;$E125,Calibration!$A$4:$A$13,0),MATCH(M$4,Calibration!$A$4:$L$4,0))</f>
        <v>-1.8551508104013119</v>
      </c>
      <c r="N125" s="292">
        <f>INDEX(Calibration!$A$4:$L$13,MATCH($D125&amp;$E125,Calibration!$A$4:$A$13,0),MATCH(N$4,Calibration!$A$4:$L$4,0))</f>
        <v>1.1186946774087012</v>
      </c>
      <c r="O125" s="292">
        <f>INDEX(Calibration!$A$4:$L$13,MATCH($D125&amp;$E125,Calibration!$A$4:$A$13,0),MATCH(O$4,Calibration!$A$4:$L$4,0))</f>
        <v>-3.7103016208026238</v>
      </c>
      <c r="P125" s="292">
        <f>INDEX(Calibration!$A$4:$L$13,MATCH($D125&amp;$E125,Calibration!$A$4:$A$13,0),MATCH(P$4,Calibration!$A$4:$L$4,0))</f>
        <v>1.2578309881887995</v>
      </c>
      <c r="Q125" s="292">
        <f>INDEX(Calibration!$A$4:$L$13,MATCH($D125&amp;$E125,Calibration!$A$4:$A$13,0),MATCH(Q$4,Calibration!$A$4:$L$4,0))</f>
        <v>0.7012857450684058</v>
      </c>
      <c r="R125" s="293">
        <f>IF(C125&lt;Calibration!$F$5,L125,IF(C125&lt;Calibration!$E$5,C125*M125+N125,IF(C125&lt;K125,C125*O125+P125,Q125)))</f>
        <v>0.94575356571496294</v>
      </c>
      <c r="S125" s="286">
        <f t="shared" si="2"/>
        <v>4744.7944625750215</v>
      </c>
      <c r="T125" s="293">
        <f>IF(E125="DHP",VLOOKUP(D125,Calibration!$C$20:$E$22,2,FALSE),IF(D125=1,Calibration!$D$17,Calibration!$D$18))</f>
        <v>0.85917762533929642</v>
      </c>
      <c r="U125" s="286">
        <f t="shared" si="3"/>
        <v>4076.6212390782503</v>
      </c>
      <c r="V125" s="286">
        <f>VLOOKUP(T125,Calibration!$D$17:$E$22,2,FALSE)*S125</f>
        <v>586.3043212482271</v>
      </c>
      <c r="W125" t="s">
        <v>794</v>
      </c>
      <c r="X125">
        <v>254.22847300000001</v>
      </c>
      <c r="Y125">
        <v>0</v>
      </c>
    </row>
    <row r="126" spans="1:25">
      <c r="A126" s="277" t="str">
        <f>SEEMoutput!A128</f>
        <v>NWHZ3CZ2_2688n_25gshp_des0</v>
      </c>
      <c r="B126" s="286">
        <f>SEEMoutput!O128</f>
        <v>5016.9458880000002</v>
      </c>
      <c r="C126" s="287">
        <v>8.4111065451958303E-2</v>
      </c>
      <c r="D126" s="277">
        <f>IF(SEEMoutput!G128&lt;6000,1,IF(SEEMoutput!G128&lt;7500,2,3))</f>
        <v>3</v>
      </c>
      <c r="E126" s="277" t="str">
        <f>IF(LEFT(SEEMoutput!BE128,1)="F","FUR",IF(LEFT(SEEMoutput!BE128,1)="D","DHP","HP"))</f>
        <v>HP</v>
      </c>
      <c r="F126" s="288">
        <f>SEEMoutput!E128</f>
        <v>438.548675</v>
      </c>
      <c r="G126" s="289">
        <f>F126*(69-30)*SEEMoutput!N128/SEEMoutput!M128</f>
        <v>17384.258226724662</v>
      </c>
      <c r="H126" s="290">
        <f>'(Tons) (Furnsize)'!$F$52+'(Tons) (Furnsize)'!$F$53*'(Tons) (Furnsize)'!$B$15+'(Tons) (Furnsize)'!$F$54*G126</f>
        <v>2.1004411495690878</v>
      </c>
      <c r="I126" s="290">
        <f>H126/'(Tons) (Furnsize)'!$G$7</f>
        <v>1.7409650409656494</v>
      </c>
      <c r="J126" s="291">
        <f>F126*(69-VLOOKUP(D126,'(Tons) (Furnsize)'!$D$15:$E$17,2,FALSE))/3412</f>
        <v>12.081938877491208</v>
      </c>
      <c r="K126" s="292">
        <f>INDEX(Calibration!$A$4:$L$13,MATCH($D126&amp;$E126,Calibration!$A$4:$A$13,0),MATCH(K$4,Calibration!$A$4:$L$4,0))</f>
        <v>0.15</v>
      </c>
      <c r="L126" s="292">
        <f>INDEX(Calibration!$A$4:$L$13,MATCH($D126&amp;$E126,Calibration!$A$4:$A$13,0),MATCH(L$4,Calibration!$A$4:$L$4,0))</f>
        <v>1.0259371368886356</v>
      </c>
      <c r="M126" s="292">
        <f>INDEX(Calibration!$A$4:$L$13,MATCH($D126&amp;$E126,Calibration!$A$4:$A$13,0),MATCH(M$4,Calibration!$A$4:$L$4,0))</f>
        <v>-1.8551508104013119</v>
      </c>
      <c r="N126" s="292">
        <f>INDEX(Calibration!$A$4:$L$13,MATCH($D126&amp;$E126,Calibration!$A$4:$A$13,0),MATCH(N$4,Calibration!$A$4:$L$4,0))</f>
        <v>1.1186946774087012</v>
      </c>
      <c r="O126" s="292">
        <f>INDEX(Calibration!$A$4:$L$13,MATCH($D126&amp;$E126,Calibration!$A$4:$A$13,0),MATCH(O$4,Calibration!$A$4:$L$4,0))</f>
        <v>-3.7103016208026238</v>
      </c>
      <c r="P126" s="292">
        <f>INDEX(Calibration!$A$4:$L$13,MATCH($D126&amp;$E126,Calibration!$A$4:$A$13,0),MATCH(P$4,Calibration!$A$4:$L$4,0))</f>
        <v>1.2578309881887995</v>
      </c>
      <c r="Q126" s="292">
        <f>INDEX(Calibration!$A$4:$L$13,MATCH($D126&amp;$E126,Calibration!$A$4:$A$13,0),MATCH(Q$4,Calibration!$A$4:$L$4,0))</f>
        <v>0.7012857450684058</v>
      </c>
      <c r="R126" s="293">
        <f>IF(C126&lt;Calibration!$F$5,L126,IF(C126&lt;Calibration!$E$5,C126*M126+N126,IF(C126&lt;K126,C126*O126+P126,Q126)))</f>
        <v>0.94575356571496294</v>
      </c>
      <c r="S126" s="286">
        <f t="shared" si="2"/>
        <v>4744.7944625750215</v>
      </c>
      <c r="T126" s="293">
        <f>IF(E126="DHP",VLOOKUP(D126,Calibration!$C$20:$E$22,2,FALSE),IF(D126=1,Calibration!$D$17,Calibration!$D$18))</f>
        <v>0.85917762533929642</v>
      </c>
      <c r="U126" s="286">
        <f t="shared" si="3"/>
        <v>4076.6212390782503</v>
      </c>
      <c r="V126" s="286">
        <f>VLOOKUP(T126,Calibration!$D$17:$E$22,2,FALSE)*S126</f>
        <v>586.3043212482271</v>
      </c>
      <c r="W126" t="s">
        <v>797</v>
      </c>
      <c r="X126">
        <v>475.210576</v>
      </c>
      <c r="Y126">
        <v>0</v>
      </c>
    </row>
    <row r="127" spans="1:25">
      <c r="A127" s="277" t="str">
        <f>SEEMoutput!A129</f>
        <v>NWHZ3CZ3_2688n_25gshp_des0</v>
      </c>
      <c r="B127" s="286">
        <f>SEEMoutput!O129</f>
        <v>5016.9458880000002</v>
      </c>
      <c r="C127" s="287">
        <v>8.4111065451958303E-2</v>
      </c>
      <c r="D127" s="277">
        <f>IF(SEEMoutput!G129&lt;6000,1,IF(SEEMoutput!G129&lt;7500,2,3))</f>
        <v>3</v>
      </c>
      <c r="E127" s="277" t="str">
        <f>IF(LEFT(SEEMoutput!BE129,1)="F","FUR",IF(LEFT(SEEMoutput!BE129,1)="D","DHP","HP"))</f>
        <v>HP</v>
      </c>
      <c r="F127" s="288">
        <f>SEEMoutput!E129</f>
        <v>438.548675</v>
      </c>
      <c r="G127" s="289">
        <f>F127*(69-30)*SEEMoutput!N129/SEEMoutput!M129</f>
        <v>17384.258226724662</v>
      </c>
      <c r="H127" s="290">
        <f>'(Tons) (Furnsize)'!$F$52+'(Tons) (Furnsize)'!$F$53*'(Tons) (Furnsize)'!$B$15+'(Tons) (Furnsize)'!$F$54*G127</f>
        <v>2.1004411495690878</v>
      </c>
      <c r="I127" s="290">
        <f>H127/'(Tons) (Furnsize)'!$G$7</f>
        <v>1.7409650409656494</v>
      </c>
      <c r="J127" s="291">
        <f>F127*(69-VLOOKUP(D127,'(Tons) (Furnsize)'!$D$15:$E$17,2,FALSE))/3412</f>
        <v>12.081938877491208</v>
      </c>
      <c r="K127" s="292">
        <f>INDEX(Calibration!$A$4:$L$13,MATCH($D127&amp;$E127,Calibration!$A$4:$A$13,0),MATCH(K$4,Calibration!$A$4:$L$4,0))</f>
        <v>0.15</v>
      </c>
      <c r="L127" s="292">
        <f>INDEX(Calibration!$A$4:$L$13,MATCH($D127&amp;$E127,Calibration!$A$4:$A$13,0),MATCH(L$4,Calibration!$A$4:$L$4,0))</f>
        <v>1.0259371368886356</v>
      </c>
      <c r="M127" s="292">
        <f>INDEX(Calibration!$A$4:$L$13,MATCH($D127&amp;$E127,Calibration!$A$4:$A$13,0),MATCH(M$4,Calibration!$A$4:$L$4,0))</f>
        <v>-1.8551508104013119</v>
      </c>
      <c r="N127" s="292">
        <f>INDEX(Calibration!$A$4:$L$13,MATCH($D127&amp;$E127,Calibration!$A$4:$A$13,0),MATCH(N$4,Calibration!$A$4:$L$4,0))</f>
        <v>1.1186946774087012</v>
      </c>
      <c r="O127" s="292">
        <f>INDEX(Calibration!$A$4:$L$13,MATCH($D127&amp;$E127,Calibration!$A$4:$A$13,0),MATCH(O$4,Calibration!$A$4:$L$4,0))</f>
        <v>-3.7103016208026238</v>
      </c>
      <c r="P127" s="292">
        <f>INDEX(Calibration!$A$4:$L$13,MATCH($D127&amp;$E127,Calibration!$A$4:$A$13,0),MATCH(P$4,Calibration!$A$4:$L$4,0))</f>
        <v>1.2578309881887995</v>
      </c>
      <c r="Q127" s="292">
        <f>INDEX(Calibration!$A$4:$L$13,MATCH($D127&amp;$E127,Calibration!$A$4:$A$13,0),MATCH(Q$4,Calibration!$A$4:$L$4,0))</f>
        <v>0.7012857450684058</v>
      </c>
      <c r="R127" s="293">
        <f>IF(C127&lt;Calibration!$F$5,L127,IF(C127&lt;Calibration!$E$5,C127*M127+N127,IF(C127&lt;K127,C127*O127+P127,Q127)))</f>
        <v>0.94575356571496294</v>
      </c>
      <c r="S127" s="286">
        <f t="shared" si="2"/>
        <v>4744.7944625750215</v>
      </c>
      <c r="T127" s="293">
        <f>IF(E127="DHP",VLOOKUP(D127,Calibration!$C$20:$E$22,2,FALSE),IF(D127=1,Calibration!$D$17,Calibration!$D$18))</f>
        <v>0.85917762533929642</v>
      </c>
      <c r="U127" s="286">
        <f t="shared" si="3"/>
        <v>4076.6212390782503</v>
      </c>
      <c r="V127" s="286">
        <f>VLOOKUP(T127,Calibration!$D$17:$E$22,2,FALSE)*S127</f>
        <v>586.3043212482271</v>
      </c>
      <c r="W127" t="s">
        <v>800</v>
      </c>
      <c r="X127">
        <v>765.58667300000002</v>
      </c>
      <c r="Y127">
        <v>0</v>
      </c>
    </row>
    <row r="128" spans="1:25">
      <c r="A128" s="277" t="str">
        <f>SEEMoutput!A130</f>
        <v>WxHZ3CZ1_2688e_25gshp_des0</v>
      </c>
      <c r="B128" s="286">
        <f>SEEMoutput!O130</f>
        <v>5568.6017439999996</v>
      </c>
      <c r="C128" s="287">
        <v>9.2425841923756011E-2</v>
      </c>
      <c r="D128" s="277">
        <f>IF(SEEMoutput!G130&lt;6000,1,IF(SEEMoutput!G130&lt;7500,2,3))</f>
        <v>3</v>
      </c>
      <c r="E128" s="277" t="str">
        <f>IF(LEFT(SEEMoutput!BE130,1)="F","FUR",IF(LEFT(SEEMoutput!BE130,1)="D","DHP","HP"))</f>
        <v>HP</v>
      </c>
      <c r="F128" s="288">
        <f>SEEMoutput!E130</f>
        <v>472.45068199999997</v>
      </c>
      <c r="G128" s="289">
        <f>F128*(69-30)*SEEMoutput!N130/SEEMoutput!M130</f>
        <v>18772.95739729283</v>
      </c>
      <c r="H128" s="290">
        <f>'(Tons) (Furnsize)'!$F$52+'(Tons) (Furnsize)'!$F$53*'(Tons) (Furnsize)'!$B$15+'(Tons) (Furnsize)'!$F$54*G128</f>
        <v>2.2634888680688756</v>
      </c>
      <c r="I128" s="290">
        <f>H128/'(Tons) (Furnsize)'!$G$7</f>
        <v>1.8761082597964047</v>
      </c>
      <c r="J128" s="291">
        <f>F128*(69-VLOOKUP(D128,'(Tons) (Furnsize)'!$D$15:$E$17,2,FALSE))/3412</f>
        <v>13.015933208675262</v>
      </c>
      <c r="K128" s="292">
        <f>INDEX(Calibration!$A$4:$L$13,MATCH($D128&amp;$E128,Calibration!$A$4:$A$13,0),MATCH(K$4,Calibration!$A$4:$L$4,0))</f>
        <v>0.15</v>
      </c>
      <c r="L128" s="292">
        <f>INDEX(Calibration!$A$4:$L$13,MATCH($D128&amp;$E128,Calibration!$A$4:$A$13,0),MATCH(L$4,Calibration!$A$4:$L$4,0))</f>
        <v>1.0259371368886356</v>
      </c>
      <c r="M128" s="292">
        <f>INDEX(Calibration!$A$4:$L$13,MATCH($D128&amp;$E128,Calibration!$A$4:$A$13,0),MATCH(M$4,Calibration!$A$4:$L$4,0))</f>
        <v>-1.8551508104013119</v>
      </c>
      <c r="N128" s="292">
        <f>INDEX(Calibration!$A$4:$L$13,MATCH($D128&amp;$E128,Calibration!$A$4:$A$13,0),MATCH(N$4,Calibration!$A$4:$L$4,0))</f>
        <v>1.1186946774087012</v>
      </c>
      <c r="O128" s="292">
        <f>INDEX(Calibration!$A$4:$L$13,MATCH($D128&amp;$E128,Calibration!$A$4:$A$13,0),MATCH(O$4,Calibration!$A$4:$L$4,0))</f>
        <v>-3.7103016208026238</v>
      </c>
      <c r="P128" s="292">
        <f>INDEX(Calibration!$A$4:$L$13,MATCH($D128&amp;$E128,Calibration!$A$4:$A$13,0),MATCH(P$4,Calibration!$A$4:$L$4,0))</f>
        <v>1.2578309881887995</v>
      </c>
      <c r="Q128" s="292">
        <f>INDEX(Calibration!$A$4:$L$13,MATCH($D128&amp;$E128,Calibration!$A$4:$A$13,0),MATCH(Q$4,Calibration!$A$4:$L$4,0))</f>
        <v>0.7012857450684058</v>
      </c>
      <c r="R128" s="293">
        <f>IF(C128&lt;Calibration!$F$5,L128,IF(C128&lt;Calibration!$E$5,C128*M128+N128,IF(C128&lt;K128,C128*O128+P128,Q128)))</f>
        <v>0.91490323709504051</v>
      </c>
      <c r="S128" s="286">
        <f t="shared" si="2"/>
        <v>5094.7317616786877</v>
      </c>
      <c r="T128" s="293">
        <f>IF(E128="DHP",VLOOKUP(D128,Calibration!$C$20:$E$22,2,FALSE),IF(D128=1,Calibration!$D$17,Calibration!$D$18))</f>
        <v>0.85917762533929642</v>
      </c>
      <c r="U128" s="286">
        <f t="shared" si="3"/>
        <v>4377.2795367397848</v>
      </c>
      <c r="V128" s="286">
        <f>VLOOKUP(T128,Calibration!$D$17:$E$22,2,FALSE)*S128</f>
        <v>629.54534090644563</v>
      </c>
      <c r="W128" t="s">
        <v>794</v>
      </c>
      <c r="X128">
        <v>254.07849400000001</v>
      </c>
      <c r="Y128">
        <v>0</v>
      </c>
    </row>
    <row r="129" spans="1:25">
      <c r="A129" s="277" t="str">
        <f>SEEMoutput!A131</f>
        <v>WxHZ3CZ2_2688e_25gshp_des0</v>
      </c>
      <c r="B129" s="286">
        <f>SEEMoutput!O131</f>
        <v>5568.6017439999996</v>
      </c>
      <c r="C129" s="287">
        <v>9.2425841923756011E-2</v>
      </c>
      <c r="D129" s="277">
        <f>IF(SEEMoutput!G131&lt;6000,1,IF(SEEMoutput!G131&lt;7500,2,3))</f>
        <v>3</v>
      </c>
      <c r="E129" s="277" t="str">
        <f>IF(LEFT(SEEMoutput!BE131,1)="F","FUR",IF(LEFT(SEEMoutput!BE131,1)="D","DHP","HP"))</f>
        <v>HP</v>
      </c>
      <c r="F129" s="288">
        <f>SEEMoutput!E131</f>
        <v>472.45068199999997</v>
      </c>
      <c r="G129" s="289">
        <f>F129*(69-30)*SEEMoutput!N131/SEEMoutput!M131</f>
        <v>18772.95739729283</v>
      </c>
      <c r="H129" s="290">
        <f>'(Tons) (Furnsize)'!$F$52+'(Tons) (Furnsize)'!$F$53*'(Tons) (Furnsize)'!$B$15+'(Tons) (Furnsize)'!$F$54*G129</f>
        <v>2.2634888680688756</v>
      </c>
      <c r="I129" s="290">
        <f>H129/'(Tons) (Furnsize)'!$G$7</f>
        <v>1.8761082597964047</v>
      </c>
      <c r="J129" s="291">
        <f>F129*(69-VLOOKUP(D129,'(Tons) (Furnsize)'!$D$15:$E$17,2,FALSE))/3412</f>
        <v>13.015933208675262</v>
      </c>
      <c r="K129" s="292">
        <f>INDEX(Calibration!$A$4:$L$13,MATCH($D129&amp;$E129,Calibration!$A$4:$A$13,0),MATCH(K$4,Calibration!$A$4:$L$4,0))</f>
        <v>0.15</v>
      </c>
      <c r="L129" s="292">
        <f>INDEX(Calibration!$A$4:$L$13,MATCH($D129&amp;$E129,Calibration!$A$4:$A$13,0),MATCH(L$4,Calibration!$A$4:$L$4,0))</f>
        <v>1.0259371368886356</v>
      </c>
      <c r="M129" s="292">
        <f>INDEX(Calibration!$A$4:$L$13,MATCH($D129&amp;$E129,Calibration!$A$4:$A$13,0),MATCH(M$4,Calibration!$A$4:$L$4,0))</f>
        <v>-1.8551508104013119</v>
      </c>
      <c r="N129" s="292">
        <f>INDEX(Calibration!$A$4:$L$13,MATCH($D129&amp;$E129,Calibration!$A$4:$A$13,0),MATCH(N$4,Calibration!$A$4:$L$4,0))</f>
        <v>1.1186946774087012</v>
      </c>
      <c r="O129" s="292">
        <f>INDEX(Calibration!$A$4:$L$13,MATCH($D129&amp;$E129,Calibration!$A$4:$A$13,0),MATCH(O$4,Calibration!$A$4:$L$4,0))</f>
        <v>-3.7103016208026238</v>
      </c>
      <c r="P129" s="292">
        <f>INDEX(Calibration!$A$4:$L$13,MATCH($D129&amp;$E129,Calibration!$A$4:$A$13,0),MATCH(P$4,Calibration!$A$4:$L$4,0))</f>
        <v>1.2578309881887995</v>
      </c>
      <c r="Q129" s="292">
        <f>INDEX(Calibration!$A$4:$L$13,MATCH($D129&amp;$E129,Calibration!$A$4:$A$13,0),MATCH(Q$4,Calibration!$A$4:$L$4,0))</f>
        <v>0.7012857450684058</v>
      </c>
      <c r="R129" s="293">
        <f>IF(C129&lt;Calibration!$F$5,L129,IF(C129&lt;Calibration!$E$5,C129*M129+N129,IF(C129&lt;K129,C129*O129+P129,Q129)))</f>
        <v>0.91490323709504051</v>
      </c>
      <c r="S129" s="286">
        <f t="shared" si="2"/>
        <v>5094.7317616786877</v>
      </c>
      <c r="T129" s="293">
        <f>IF(E129="DHP",VLOOKUP(D129,Calibration!$C$20:$E$22,2,FALSE),IF(D129=1,Calibration!$D$17,Calibration!$D$18))</f>
        <v>0.85917762533929642</v>
      </c>
      <c r="U129" s="286">
        <f t="shared" si="3"/>
        <v>4377.2795367397848</v>
      </c>
      <c r="V129" s="286">
        <f>VLOOKUP(T129,Calibration!$D$17:$E$22,2,FALSE)*S129</f>
        <v>629.54534090644563</v>
      </c>
      <c r="W129" t="s">
        <v>797</v>
      </c>
      <c r="X129">
        <v>485.69930900000003</v>
      </c>
      <c r="Y129">
        <v>0</v>
      </c>
    </row>
    <row r="130" spans="1:25">
      <c r="A130" s="277" t="str">
        <f>SEEMoutput!A132</f>
        <v>WxHZ3CZ3_2688e_25gshp_des0</v>
      </c>
      <c r="B130" s="286">
        <f>SEEMoutput!O132</f>
        <v>5568.6017439999996</v>
      </c>
      <c r="C130" s="287">
        <v>9.2425841923756011E-2</v>
      </c>
      <c r="D130" s="277">
        <f>IF(SEEMoutput!G132&lt;6000,1,IF(SEEMoutput!G132&lt;7500,2,3))</f>
        <v>3</v>
      </c>
      <c r="E130" s="277" t="str">
        <f>IF(LEFT(SEEMoutput!BE132,1)="F","FUR",IF(LEFT(SEEMoutput!BE132,1)="D","DHP","HP"))</f>
        <v>HP</v>
      </c>
      <c r="F130" s="288">
        <f>SEEMoutput!E132</f>
        <v>472.45068199999997</v>
      </c>
      <c r="G130" s="289">
        <f>F130*(69-30)*SEEMoutput!N132/SEEMoutput!M132</f>
        <v>18772.95739729283</v>
      </c>
      <c r="H130" s="290">
        <f>'(Tons) (Furnsize)'!$F$52+'(Tons) (Furnsize)'!$F$53*'(Tons) (Furnsize)'!$B$15+'(Tons) (Furnsize)'!$F$54*G130</f>
        <v>2.2634888680688756</v>
      </c>
      <c r="I130" s="290">
        <f>H130/'(Tons) (Furnsize)'!$G$7</f>
        <v>1.8761082597964047</v>
      </c>
      <c r="J130" s="291">
        <f>F130*(69-VLOOKUP(D130,'(Tons) (Furnsize)'!$D$15:$E$17,2,FALSE))/3412</f>
        <v>13.015933208675262</v>
      </c>
      <c r="K130" s="292">
        <f>INDEX(Calibration!$A$4:$L$13,MATCH($D130&amp;$E130,Calibration!$A$4:$A$13,0),MATCH(K$4,Calibration!$A$4:$L$4,0))</f>
        <v>0.15</v>
      </c>
      <c r="L130" s="292">
        <f>INDEX(Calibration!$A$4:$L$13,MATCH($D130&amp;$E130,Calibration!$A$4:$A$13,0),MATCH(L$4,Calibration!$A$4:$L$4,0))</f>
        <v>1.0259371368886356</v>
      </c>
      <c r="M130" s="292">
        <f>INDEX(Calibration!$A$4:$L$13,MATCH($D130&amp;$E130,Calibration!$A$4:$A$13,0),MATCH(M$4,Calibration!$A$4:$L$4,0))</f>
        <v>-1.8551508104013119</v>
      </c>
      <c r="N130" s="292">
        <f>INDEX(Calibration!$A$4:$L$13,MATCH($D130&amp;$E130,Calibration!$A$4:$A$13,0),MATCH(N$4,Calibration!$A$4:$L$4,0))</f>
        <v>1.1186946774087012</v>
      </c>
      <c r="O130" s="292">
        <f>INDEX(Calibration!$A$4:$L$13,MATCH($D130&amp;$E130,Calibration!$A$4:$A$13,0),MATCH(O$4,Calibration!$A$4:$L$4,0))</f>
        <v>-3.7103016208026238</v>
      </c>
      <c r="P130" s="292">
        <f>INDEX(Calibration!$A$4:$L$13,MATCH($D130&amp;$E130,Calibration!$A$4:$A$13,0),MATCH(P$4,Calibration!$A$4:$L$4,0))</f>
        <v>1.2578309881887995</v>
      </c>
      <c r="Q130" s="292">
        <f>INDEX(Calibration!$A$4:$L$13,MATCH($D130&amp;$E130,Calibration!$A$4:$A$13,0),MATCH(Q$4,Calibration!$A$4:$L$4,0))</f>
        <v>0.7012857450684058</v>
      </c>
      <c r="R130" s="293">
        <f>IF(C130&lt;Calibration!$F$5,L130,IF(C130&lt;Calibration!$E$5,C130*M130+N130,IF(C130&lt;K130,C130*O130+P130,Q130)))</f>
        <v>0.91490323709504051</v>
      </c>
      <c r="S130" s="286">
        <f t="shared" si="2"/>
        <v>5094.7317616786877</v>
      </c>
      <c r="T130" s="293">
        <f>IF(E130="DHP",VLOOKUP(D130,Calibration!$C$20:$E$22,2,FALSE),IF(D130=1,Calibration!$D$17,Calibration!$D$18))</f>
        <v>0.85917762533929642</v>
      </c>
      <c r="U130" s="286">
        <f t="shared" si="3"/>
        <v>4377.2795367397848</v>
      </c>
      <c r="V130" s="286">
        <f>VLOOKUP(T130,Calibration!$D$17:$E$22,2,FALSE)*S130</f>
        <v>629.54534090644563</v>
      </c>
      <c r="W130" t="s">
        <v>800</v>
      </c>
      <c r="X130">
        <v>789.35498199999995</v>
      </c>
      <c r="Y130">
        <v>0</v>
      </c>
    </row>
    <row r="131" spans="1:25">
      <c r="A131" s="277" t="str">
        <f>SEEMoutput!A133</f>
        <v>NWHZ1CZ1_5000n_35gshp_des0</v>
      </c>
      <c r="B131" s="286">
        <f>SEEMoutput!O133</f>
        <v>5614.2246750000004</v>
      </c>
      <c r="C131" s="287">
        <v>9.7603563398683688E-2</v>
      </c>
      <c r="D131" s="277">
        <f>IF(SEEMoutput!G133&lt;6000,1,IF(SEEMoutput!G133&lt;7500,2,3))</f>
        <v>1</v>
      </c>
      <c r="E131" s="277" t="str">
        <f>IF(LEFT(SEEMoutput!BE133,1)="F","FUR",IF(LEFT(SEEMoutput!BE133,1)="D","DHP","HP"))</f>
        <v>HP</v>
      </c>
      <c r="F131" s="288">
        <f>SEEMoutput!E133</f>
        <v>763.92564400000003</v>
      </c>
      <c r="G131" s="289">
        <f>F131*(69-30)*SEEMoutput!N133/SEEMoutput!M133</f>
        <v>30898.231805165604</v>
      </c>
      <c r="H131" s="290">
        <f>'(Tons) (Furnsize)'!$F$52+'(Tons) (Furnsize)'!$F$53*'(Tons) (Furnsize)'!$B$15+'(Tons) (Furnsize)'!$F$54*G131</f>
        <v>3.6871221288122031</v>
      </c>
      <c r="I131" s="290">
        <f>H131/'(Tons) (Furnsize)'!$G$7</f>
        <v>3.0560964440016796</v>
      </c>
      <c r="J131" s="291">
        <f>F131*(69-VLOOKUP(D131,'(Tons) (Furnsize)'!$D$15:$E$17,2,FALSE))/3412</f>
        <v>11.642477575615475</v>
      </c>
      <c r="K131" s="292">
        <f>INDEX(Calibration!$A$4:$L$13,MATCH($D131&amp;$E131,Calibration!$A$4:$A$13,0),MATCH(K$4,Calibration!$A$4:$L$4,0))</f>
        <v>0.2</v>
      </c>
      <c r="L131" s="292">
        <f>INDEX(Calibration!$A$4:$L$13,MATCH($D131&amp;$E131,Calibration!$A$4:$A$13,0),MATCH(L$4,Calibration!$A$4:$L$4,0))</f>
        <v>1.3869915874526988</v>
      </c>
      <c r="M131" s="292">
        <f>INDEX(Calibration!$A$4:$L$13,MATCH($D131&amp;$E131,Calibration!$A$4:$A$13,0),MATCH(M$4,Calibration!$A$4:$L$4,0))</f>
        <v>-2.2641144651923684</v>
      </c>
      <c r="N131" s="292">
        <f>INDEX(Calibration!$A$4:$L$13,MATCH($D131&amp;$E131,Calibration!$A$4:$A$13,0),MATCH(N$4,Calibration!$A$4:$L$4,0))</f>
        <v>1.5001973107123172</v>
      </c>
      <c r="O131" s="292">
        <f>INDEX(Calibration!$A$4:$L$13,MATCH($D131&amp;$E131,Calibration!$A$4:$A$13,0),MATCH(O$4,Calibration!$A$4:$L$4,0))</f>
        <v>-4.5282289303847367</v>
      </c>
      <c r="P131" s="292">
        <f>INDEX(Calibration!$A$4:$L$13,MATCH($D131&amp;$E131,Calibration!$A$4:$A$13,0),MATCH(P$4,Calibration!$A$4:$L$4,0))</f>
        <v>1.6700058956017449</v>
      </c>
      <c r="Q131" s="292">
        <f>INDEX(Calibration!$A$4:$L$13,MATCH($D131&amp;$E131,Calibration!$A$4:$A$13,0),MATCH(Q$4,Calibration!$A$4:$L$4,0))</f>
        <v>0.7643601095247976</v>
      </c>
      <c r="R131" s="293">
        <f>IF(C131&lt;Calibration!$F$5,L131,IF(C131&lt;Calibration!$E$5,C131*M131+N131,IF(C131&lt;K131,C131*O131+P131,Q131)))</f>
        <v>1.2280346161111848</v>
      </c>
      <c r="S131" s="286">
        <f t="shared" si="2"/>
        <v>6894.4622435255669</v>
      </c>
      <c r="T131" s="293">
        <f>IF(E131="DHP",VLOOKUP(D131,Calibration!$C$20:$E$22,2,FALSE),IF(D131=1,Calibration!$D$17,Calibration!$D$18))</f>
        <v>0.82813167326562143</v>
      </c>
      <c r="U131" s="286">
        <f t="shared" si="3"/>
        <v>5709.5225539974781</v>
      </c>
      <c r="V131" s="286">
        <f>VLOOKUP(T131,Calibration!$D$17:$E$22,2,FALSE)*S131</f>
        <v>1077.6244165598887</v>
      </c>
      <c r="W131" t="s">
        <v>764</v>
      </c>
      <c r="X131">
        <v>434.82343700000001</v>
      </c>
      <c r="Y131">
        <v>0</v>
      </c>
    </row>
    <row r="132" spans="1:25">
      <c r="A132" s="277" t="str">
        <f>SEEMoutput!A134</f>
        <v>NWHZ1CZ2_5000n_35gshp_des0</v>
      </c>
      <c r="B132" s="286">
        <f>SEEMoutput!O134</f>
        <v>5614.2246750000004</v>
      </c>
      <c r="C132" s="287">
        <v>9.7603563398683688E-2</v>
      </c>
      <c r="D132" s="277">
        <f>IF(SEEMoutput!G134&lt;6000,1,IF(SEEMoutput!G134&lt;7500,2,3))</f>
        <v>1</v>
      </c>
      <c r="E132" s="277" t="str">
        <f>IF(LEFT(SEEMoutput!BE134,1)="F","FUR",IF(LEFT(SEEMoutput!BE134,1)="D","DHP","HP"))</f>
        <v>HP</v>
      </c>
      <c r="F132" s="288">
        <f>SEEMoutput!E134</f>
        <v>763.92564400000003</v>
      </c>
      <c r="G132" s="289">
        <f>F132*(69-30)*SEEMoutput!N134/SEEMoutput!M134</f>
        <v>30898.231805165604</v>
      </c>
      <c r="H132" s="290">
        <f>'(Tons) (Furnsize)'!$F$52+'(Tons) (Furnsize)'!$F$53*'(Tons) (Furnsize)'!$B$15+'(Tons) (Furnsize)'!$F$54*G132</f>
        <v>3.6871221288122031</v>
      </c>
      <c r="I132" s="290">
        <f>H132/'(Tons) (Furnsize)'!$G$7</f>
        <v>3.0560964440016796</v>
      </c>
      <c r="J132" s="291">
        <f>F132*(69-VLOOKUP(D132,'(Tons) (Furnsize)'!$D$15:$E$17,2,FALSE))/3412</f>
        <v>11.642477575615475</v>
      </c>
      <c r="K132" s="292">
        <f>INDEX(Calibration!$A$4:$L$13,MATCH($D132&amp;$E132,Calibration!$A$4:$A$13,0),MATCH(K$4,Calibration!$A$4:$L$4,0))</f>
        <v>0.2</v>
      </c>
      <c r="L132" s="292">
        <f>INDEX(Calibration!$A$4:$L$13,MATCH($D132&amp;$E132,Calibration!$A$4:$A$13,0),MATCH(L$4,Calibration!$A$4:$L$4,0))</f>
        <v>1.3869915874526988</v>
      </c>
      <c r="M132" s="292">
        <f>INDEX(Calibration!$A$4:$L$13,MATCH($D132&amp;$E132,Calibration!$A$4:$A$13,0),MATCH(M$4,Calibration!$A$4:$L$4,0))</f>
        <v>-2.2641144651923684</v>
      </c>
      <c r="N132" s="292">
        <f>INDEX(Calibration!$A$4:$L$13,MATCH($D132&amp;$E132,Calibration!$A$4:$A$13,0),MATCH(N$4,Calibration!$A$4:$L$4,0))</f>
        <v>1.5001973107123172</v>
      </c>
      <c r="O132" s="292">
        <f>INDEX(Calibration!$A$4:$L$13,MATCH($D132&amp;$E132,Calibration!$A$4:$A$13,0),MATCH(O$4,Calibration!$A$4:$L$4,0))</f>
        <v>-4.5282289303847367</v>
      </c>
      <c r="P132" s="292">
        <f>INDEX(Calibration!$A$4:$L$13,MATCH($D132&amp;$E132,Calibration!$A$4:$A$13,0),MATCH(P$4,Calibration!$A$4:$L$4,0))</f>
        <v>1.6700058956017449</v>
      </c>
      <c r="Q132" s="292">
        <f>INDEX(Calibration!$A$4:$L$13,MATCH($D132&amp;$E132,Calibration!$A$4:$A$13,0),MATCH(Q$4,Calibration!$A$4:$L$4,0))</f>
        <v>0.7643601095247976</v>
      </c>
      <c r="R132" s="293">
        <f>IF(C132&lt;Calibration!$F$5,L132,IF(C132&lt;Calibration!$E$5,C132*M132+N132,IF(C132&lt;K132,C132*O132+P132,Q132)))</f>
        <v>1.2280346161111848</v>
      </c>
      <c r="S132" s="286">
        <f t="shared" si="2"/>
        <v>6894.4622435255669</v>
      </c>
      <c r="T132" s="293">
        <f>IF(E132="DHP",VLOOKUP(D132,Calibration!$C$20:$E$22,2,FALSE),IF(D132=1,Calibration!$D$17,Calibration!$D$18))</f>
        <v>0.82813167326562143</v>
      </c>
      <c r="U132" s="286">
        <f t="shared" si="3"/>
        <v>5709.5225539974781</v>
      </c>
      <c r="V132" s="286">
        <f>VLOOKUP(T132,Calibration!$D$17:$E$22,2,FALSE)*S132</f>
        <v>1077.6244165598887</v>
      </c>
      <c r="W132" t="s">
        <v>767</v>
      </c>
      <c r="X132">
        <v>850.30146000000002</v>
      </c>
      <c r="Y132">
        <v>0</v>
      </c>
    </row>
    <row r="133" spans="1:25">
      <c r="A133" s="277" t="str">
        <f>SEEMoutput!A135</f>
        <v>NWHZ1CZ3_5000n_35gshp_des0</v>
      </c>
      <c r="B133" s="286">
        <f>SEEMoutput!O135</f>
        <v>5614.2246750000004</v>
      </c>
      <c r="C133" s="287">
        <v>9.7603563398683688E-2</v>
      </c>
      <c r="D133" s="277">
        <f>IF(SEEMoutput!G135&lt;6000,1,IF(SEEMoutput!G135&lt;7500,2,3))</f>
        <v>1</v>
      </c>
      <c r="E133" s="277" t="str">
        <f>IF(LEFT(SEEMoutput!BE135,1)="F","FUR",IF(LEFT(SEEMoutput!BE135,1)="D","DHP","HP"))</f>
        <v>HP</v>
      </c>
      <c r="F133" s="288">
        <f>SEEMoutput!E135</f>
        <v>763.92564400000003</v>
      </c>
      <c r="G133" s="289">
        <f>F133*(69-30)*SEEMoutput!N135/SEEMoutput!M135</f>
        <v>30898.231805165604</v>
      </c>
      <c r="H133" s="290">
        <f>'(Tons) (Furnsize)'!$F$52+'(Tons) (Furnsize)'!$F$53*'(Tons) (Furnsize)'!$B$15+'(Tons) (Furnsize)'!$F$54*G133</f>
        <v>3.6871221288122031</v>
      </c>
      <c r="I133" s="290">
        <f>H133/'(Tons) (Furnsize)'!$G$7</f>
        <v>3.0560964440016796</v>
      </c>
      <c r="J133" s="291">
        <f>F133*(69-VLOOKUP(D133,'(Tons) (Furnsize)'!$D$15:$E$17,2,FALSE))/3412</f>
        <v>11.642477575615475</v>
      </c>
      <c r="K133" s="292">
        <f>INDEX(Calibration!$A$4:$L$13,MATCH($D133&amp;$E133,Calibration!$A$4:$A$13,0),MATCH(K$4,Calibration!$A$4:$L$4,0))</f>
        <v>0.2</v>
      </c>
      <c r="L133" s="292">
        <f>INDEX(Calibration!$A$4:$L$13,MATCH($D133&amp;$E133,Calibration!$A$4:$A$13,0),MATCH(L$4,Calibration!$A$4:$L$4,0))</f>
        <v>1.3869915874526988</v>
      </c>
      <c r="M133" s="292">
        <f>INDEX(Calibration!$A$4:$L$13,MATCH($D133&amp;$E133,Calibration!$A$4:$A$13,0),MATCH(M$4,Calibration!$A$4:$L$4,0))</f>
        <v>-2.2641144651923684</v>
      </c>
      <c r="N133" s="292">
        <f>INDEX(Calibration!$A$4:$L$13,MATCH($D133&amp;$E133,Calibration!$A$4:$A$13,0),MATCH(N$4,Calibration!$A$4:$L$4,0))</f>
        <v>1.5001973107123172</v>
      </c>
      <c r="O133" s="292">
        <f>INDEX(Calibration!$A$4:$L$13,MATCH($D133&amp;$E133,Calibration!$A$4:$A$13,0),MATCH(O$4,Calibration!$A$4:$L$4,0))</f>
        <v>-4.5282289303847367</v>
      </c>
      <c r="P133" s="292">
        <f>INDEX(Calibration!$A$4:$L$13,MATCH($D133&amp;$E133,Calibration!$A$4:$A$13,0),MATCH(P$4,Calibration!$A$4:$L$4,0))</f>
        <v>1.6700058956017449</v>
      </c>
      <c r="Q133" s="292">
        <f>INDEX(Calibration!$A$4:$L$13,MATCH($D133&amp;$E133,Calibration!$A$4:$A$13,0),MATCH(Q$4,Calibration!$A$4:$L$4,0))</f>
        <v>0.7643601095247976</v>
      </c>
      <c r="R133" s="293">
        <f>IF(C133&lt;Calibration!$F$5,L133,IF(C133&lt;Calibration!$E$5,C133*M133+N133,IF(C133&lt;K133,C133*O133+P133,Q133)))</f>
        <v>1.2280346161111848</v>
      </c>
      <c r="S133" s="286">
        <f t="shared" ref="S133:S196" si="4">R133*B133</f>
        <v>6894.4622435255669</v>
      </c>
      <c r="T133" s="293">
        <f>IF(E133="DHP",VLOOKUP(D133,Calibration!$C$20:$E$22,2,FALSE),IF(D133=1,Calibration!$D$17,Calibration!$D$18))</f>
        <v>0.82813167326562143</v>
      </c>
      <c r="U133" s="286">
        <f t="shared" ref="U133:U196" si="5">T133*S133</f>
        <v>5709.5225539974781</v>
      </c>
      <c r="V133" s="286">
        <f>VLOOKUP(T133,Calibration!$D$17:$E$22,2,FALSE)*S133</f>
        <v>1077.6244165598887</v>
      </c>
      <c r="W133" t="s">
        <v>770</v>
      </c>
      <c r="X133">
        <v>1391.288996</v>
      </c>
      <c r="Y133">
        <v>0</v>
      </c>
    </row>
    <row r="134" spans="1:25">
      <c r="A134" s="277" t="str">
        <f>SEEMoutput!A136</f>
        <v>WxHZ1CZ1_5000e_40gshp_des0</v>
      </c>
      <c r="B134" s="286">
        <f>SEEMoutput!O136</f>
        <v>6152.2481580000003</v>
      </c>
      <c r="C134" s="287">
        <v>0.10810910407212437</v>
      </c>
      <c r="D134" s="277">
        <f>IF(SEEMoutput!G136&lt;6000,1,IF(SEEMoutput!G136&lt;7500,2,3))</f>
        <v>1</v>
      </c>
      <c r="E134" s="277" t="str">
        <f>IF(LEFT(SEEMoutput!BE136,1)="F","FUR",IF(LEFT(SEEMoutput!BE136,1)="D","DHP","HP"))</f>
        <v>HP</v>
      </c>
      <c r="F134" s="288">
        <f>SEEMoutput!E136</f>
        <v>826.941959</v>
      </c>
      <c r="G134" s="289">
        <f>F134*(69-30)*SEEMoutput!N136/SEEMoutput!M136</f>
        <v>33456.81563282627</v>
      </c>
      <c r="H134" s="290">
        <f>'(Tons) (Furnsize)'!$F$52+'(Tons) (Furnsize)'!$F$53*'(Tons) (Furnsize)'!$B$15+'(Tons) (Furnsize)'!$F$54*G134</f>
        <v>3.9875264672981583</v>
      </c>
      <c r="I134" s="290">
        <f>H134/'(Tons) (Furnsize)'!$G$7</f>
        <v>3.3050886386012541</v>
      </c>
      <c r="J134" s="291">
        <f>F134*(69-VLOOKUP(D134,'(Tons) (Furnsize)'!$D$15:$E$17,2,FALSE))/3412</f>
        <v>12.602866901524033</v>
      </c>
      <c r="K134" s="292">
        <f>INDEX(Calibration!$A$4:$L$13,MATCH($D134&amp;$E134,Calibration!$A$4:$A$13,0),MATCH(K$4,Calibration!$A$4:$L$4,0))</f>
        <v>0.2</v>
      </c>
      <c r="L134" s="292">
        <f>INDEX(Calibration!$A$4:$L$13,MATCH($D134&amp;$E134,Calibration!$A$4:$A$13,0),MATCH(L$4,Calibration!$A$4:$L$4,0))</f>
        <v>1.3869915874526988</v>
      </c>
      <c r="M134" s="292">
        <f>INDEX(Calibration!$A$4:$L$13,MATCH($D134&amp;$E134,Calibration!$A$4:$A$13,0),MATCH(M$4,Calibration!$A$4:$L$4,0))</f>
        <v>-2.2641144651923684</v>
      </c>
      <c r="N134" s="292">
        <f>INDEX(Calibration!$A$4:$L$13,MATCH($D134&amp;$E134,Calibration!$A$4:$A$13,0),MATCH(N$4,Calibration!$A$4:$L$4,0))</f>
        <v>1.5001973107123172</v>
      </c>
      <c r="O134" s="292">
        <f>INDEX(Calibration!$A$4:$L$13,MATCH($D134&amp;$E134,Calibration!$A$4:$A$13,0),MATCH(O$4,Calibration!$A$4:$L$4,0))</f>
        <v>-4.5282289303847367</v>
      </c>
      <c r="P134" s="292">
        <f>INDEX(Calibration!$A$4:$L$13,MATCH($D134&amp;$E134,Calibration!$A$4:$A$13,0),MATCH(P$4,Calibration!$A$4:$L$4,0))</f>
        <v>1.6700058956017449</v>
      </c>
      <c r="Q134" s="292">
        <f>INDEX(Calibration!$A$4:$L$13,MATCH($D134&amp;$E134,Calibration!$A$4:$A$13,0),MATCH(Q$4,Calibration!$A$4:$L$4,0))</f>
        <v>0.7643601095247976</v>
      </c>
      <c r="R134" s="293">
        <f>IF(C134&lt;Calibration!$F$5,L134,IF(C134&lt;Calibration!$E$5,C134*M134+N134,IF(C134&lt;K134,C134*O134+P134,Q134)))</f>
        <v>1.1804631229043769</v>
      </c>
      <c r="S134" s="286">
        <f t="shared" si="4"/>
        <v>7262.5020734753807</v>
      </c>
      <c r="T134" s="293">
        <f>IF(E134="DHP",VLOOKUP(D134,Calibration!$C$20:$E$22,2,FALSE),IF(D134=1,Calibration!$D$17,Calibration!$D$18))</f>
        <v>0.82813167326562143</v>
      </c>
      <c r="U134" s="286">
        <f t="shared" si="5"/>
        <v>6014.3079942022123</v>
      </c>
      <c r="V134" s="286">
        <f>VLOOKUP(T134,Calibration!$D$17:$E$22,2,FALSE)*S134</f>
        <v>1135.15010790629</v>
      </c>
      <c r="W134" t="s">
        <v>764</v>
      </c>
      <c r="X134">
        <v>444.86369200000001</v>
      </c>
      <c r="Y134">
        <v>0</v>
      </c>
    </row>
    <row r="135" spans="1:25">
      <c r="A135" s="277" t="str">
        <f>SEEMoutput!A137</f>
        <v>WxHZ1CZ2_5000e_40gshp_des0</v>
      </c>
      <c r="B135" s="286">
        <f>SEEMoutput!O137</f>
        <v>6152.2481580000003</v>
      </c>
      <c r="C135" s="287">
        <v>0.10810910407212437</v>
      </c>
      <c r="D135" s="277">
        <f>IF(SEEMoutput!G137&lt;6000,1,IF(SEEMoutput!G137&lt;7500,2,3))</f>
        <v>1</v>
      </c>
      <c r="E135" s="277" t="str">
        <f>IF(LEFT(SEEMoutput!BE137,1)="F","FUR",IF(LEFT(SEEMoutput!BE137,1)="D","DHP","HP"))</f>
        <v>HP</v>
      </c>
      <c r="F135" s="288">
        <f>SEEMoutput!E137</f>
        <v>826.941959</v>
      </c>
      <c r="G135" s="289">
        <f>F135*(69-30)*SEEMoutput!N137/SEEMoutput!M137</f>
        <v>33456.81563282627</v>
      </c>
      <c r="H135" s="290">
        <f>'(Tons) (Furnsize)'!$F$52+'(Tons) (Furnsize)'!$F$53*'(Tons) (Furnsize)'!$B$15+'(Tons) (Furnsize)'!$F$54*G135</f>
        <v>3.9875264672981583</v>
      </c>
      <c r="I135" s="290">
        <f>H135/'(Tons) (Furnsize)'!$G$7</f>
        <v>3.3050886386012541</v>
      </c>
      <c r="J135" s="291">
        <f>F135*(69-VLOOKUP(D135,'(Tons) (Furnsize)'!$D$15:$E$17,2,FALSE))/3412</f>
        <v>12.602866901524033</v>
      </c>
      <c r="K135" s="292">
        <f>INDEX(Calibration!$A$4:$L$13,MATCH($D135&amp;$E135,Calibration!$A$4:$A$13,0),MATCH(K$4,Calibration!$A$4:$L$4,0))</f>
        <v>0.2</v>
      </c>
      <c r="L135" s="292">
        <f>INDEX(Calibration!$A$4:$L$13,MATCH($D135&amp;$E135,Calibration!$A$4:$A$13,0),MATCH(L$4,Calibration!$A$4:$L$4,0))</f>
        <v>1.3869915874526988</v>
      </c>
      <c r="M135" s="292">
        <f>INDEX(Calibration!$A$4:$L$13,MATCH($D135&amp;$E135,Calibration!$A$4:$A$13,0),MATCH(M$4,Calibration!$A$4:$L$4,0))</f>
        <v>-2.2641144651923684</v>
      </c>
      <c r="N135" s="292">
        <f>INDEX(Calibration!$A$4:$L$13,MATCH($D135&amp;$E135,Calibration!$A$4:$A$13,0),MATCH(N$4,Calibration!$A$4:$L$4,0))</f>
        <v>1.5001973107123172</v>
      </c>
      <c r="O135" s="292">
        <f>INDEX(Calibration!$A$4:$L$13,MATCH($D135&amp;$E135,Calibration!$A$4:$A$13,0),MATCH(O$4,Calibration!$A$4:$L$4,0))</f>
        <v>-4.5282289303847367</v>
      </c>
      <c r="P135" s="292">
        <f>INDEX(Calibration!$A$4:$L$13,MATCH($D135&amp;$E135,Calibration!$A$4:$A$13,0),MATCH(P$4,Calibration!$A$4:$L$4,0))</f>
        <v>1.6700058956017449</v>
      </c>
      <c r="Q135" s="292">
        <f>INDEX(Calibration!$A$4:$L$13,MATCH($D135&amp;$E135,Calibration!$A$4:$A$13,0),MATCH(Q$4,Calibration!$A$4:$L$4,0))</f>
        <v>0.7643601095247976</v>
      </c>
      <c r="R135" s="293">
        <f>IF(C135&lt;Calibration!$F$5,L135,IF(C135&lt;Calibration!$E$5,C135*M135+N135,IF(C135&lt;K135,C135*O135+P135,Q135)))</f>
        <v>1.1804631229043769</v>
      </c>
      <c r="S135" s="286">
        <f t="shared" si="4"/>
        <v>7262.5020734753807</v>
      </c>
      <c r="T135" s="293">
        <f>IF(E135="DHP",VLOOKUP(D135,Calibration!$C$20:$E$22,2,FALSE),IF(D135=1,Calibration!$D$17,Calibration!$D$18))</f>
        <v>0.82813167326562143</v>
      </c>
      <c r="U135" s="286">
        <f t="shared" si="5"/>
        <v>6014.3079942022123</v>
      </c>
      <c r="V135" s="286">
        <f>VLOOKUP(T135,Calibration!$D$17:$E$22,2,FALSE)*S135</f>
        <v>1135.15010790629</v>
      </c>
      <c r="W135" t="s">
        <v>767</v>
      </c>
      <c r="X135">
        <v>881.28218600000002</v>
      </c>
      <c r="Y135">
        <v>0</v>
      </c>
    </row>
    <row r="136" spans="1:25">
      <c r="A136" s="277" t="str">
        <f>SEEMoutput!A138</f>
        <v>WxHZ1CZ3_5000e_40gshp_des0</v>
      </c>
      <c r="B136" s="286">
        <f>SEEMoutput!O138</f>
        <v>6152.2481580000003</v>
      </c>
      <c r="C136" s="287">
        <v>0.10810910407212437</v>
      </c>
      <c r="D136" s="277">
        <f>IF(SEEMoutput!G138&lt;6000,1,IF(SEEMoutput!G138&lt;7500,2,3))</f>
        <v>1</v>
      </c>
      <c r="E136" s="277" t="str">
        <f>IF(LEFT(SEEMoutput!BE138,1)="F","FUR",IF(LEFT(SEEMoutput!BE138,1)="D","DHP","HP"))</f>
        <v>HP</v>
      </c>
      <c r="F136" s="288">
        <f>SEEMoutput!E138</f>
        <v>826.941959</v>
      </c>
      <c r="G136" s="289">
        <f>F136*(69-30)*SEEMoutput!N138/SEEMoutput!M138</f>
        <v>33456.81563282627</v>
      </c>
      <c r="H136" s="290">
        <f>'(Tons) (Furnsize)'!$F$52+'(Tons) (Furnsize)'!$F$53*'(Tons) (Furnsize)'!$B$15+'(Tons) (Furnsize)'!$F$54*G136</f>
        <v>3.9875264672981583</v>
      </c>
      <c r="I136" s="290">
        <f>H136/'(Tons) (Furnsize)'!$G$7</f>
        <v>3.3050886386012541</v>
      </c>
      <c r="J136" s="291">
        <f>F136*(69-VLOOKUP(D136,'(Tons) (Furnsize)'!$D$15:$E$17,2,FALSE))/3412</f>
        <v>12.602866901524033</v>
      </c>
      <c r="K136" s="292">
        <f>INDEX(Calibration!$A$4:$L$13,MATCH($D136&amp;$E136,Calibration!$A$4:$A$13,0),MATCH(K$4,Calibration!$A$4:$L$4,0))</f>
        <v>0.2</v>
      </c>
      <c r="L136" s="292">
        <f>INDEX(Calibration!$A$4:$L$13,MATCH($D136&amp;$E136,Calibration!$A$4:$A$13,0),MATCH(L$4,Calibration!$A$4:$L$4,0))</f>
        <v>1.3869915874526988</v>
      </c>
      <c r="M136" s="292">
        <f>INDEX(Calibration!$A$4:$L$13,MATCH($D136&amp;$E136,Calibration!$A$4:$A$13,0),MATCH(M$4,Calibration!$A$4:$L$4,0))</f>
        <v>-2.2641144651923684</v>
      </c>
      <c r="N136" s="292">
        <f>INDEX(Calibration!$A$4:$L$13,MATCH($D136&amp;$E136,Calibration!$A$4:$A$13,0),MATCH(N$4,Calibration!$A$4:$L$4,0))</f>
        <v>1.5001973107123172</v>
      </c>
      <c r="O136" s="292">
        <f>INDEX(Calibration!$A$4:$L$13,MATCH($D136&amp;$E136,Calibration!$A$4:$A$13,0),MATCH(O$4,Calibration!$A$4:$L$4,0))</f>
        <v>-4.5282289303847367</v>
      </c>
      <c r="P136" s="292">
        <f>INDEX(Calibration!$A$4:$L$13,MATCH($D136&amp;$E136,Calibration!$A$4:$A$13,0),MATCH(P$4,Calibration!$A$4:$L$4,0))</f>
        <v>1.6700058956017449</v>
      </c>
      <c r="Q136" s="292">
        <f>INDEX(Calibration!$A$4:$L$13,MATCH($D136&amp;$E136,Calibration!$A$4:$A$13,0),MATCH(Q$4,Calibration!$A$4:$L$4,0))</f>
        <v>0.7643601095247976</v>
      </c>
      <c r="R136" s="293">
        <f>IF(C136&lt;Calibration!$F$5,L136,IF(C136&lt;Calibration!$E$5,C136*M136+N136,IF(C136&lt;K136,C136*O136+P136,Q136)))</f>
        <v>1.1804631229043769</v>
      </c>
      <c r="S136" s="286">
        <f t="shared" si="4"/>
        <v>7262.5020734753807</v>
      </c>
      <c r="T136" s="293">
        <f>IF(E136="DHP",VLOOKUP(D136,Calibration!$C$20:$E$22,2,FALSE),IF(D136=1,Calibration!$D$17,Calibration!$D$18))</f>
        <v>0.82813167326562143</v>
      </c>
      <c r="U136" s="286">
        <f t="shared" si="5"/>
        <v>6014.3079942022123</v>
      </c>
      <c r="V136" s="286">
        <f>VLOOKUP(T136,Calibration!$D$17:$E$22,2,FALSE)*S136</f>
        <v>1135.15010790629</v>
      </c>
      <c r="W136" t="s">
        <v>770</v>
      </c>
      <c r="X136">
        <v>1449.887874</v>
      </c>
      <c r="Y136">
        <v>0</v>
      </c>
    </row>
    <row r="137" spans="1:25">
      <c r="A137" s="277" t="str">
        <f>SEEMoutput!A139</f>
        <v>NWHZ2CZ1_5000n_35gshp_des0</v>
      </c>
      <c r="B137" s="286">
        <f>SEEMoutput!O139</f>
        <v>8530.3564009999991</v>
      </c>
      <c r="C137" s="287">
        <v>0.10137727874819126</v>
      </c>
      <c r="D137" s="277">
        <f>IF(SEEMoutput!G139&lt;6000,1,IF(SEEMoutput!G139&lt;7500,2,3))</f>
        <v>2</v>
      </c>
      <c r="E137" s="277" t="str">
        <f>IF(LEFT(SEEMoutput!BE139,1)="F","FUR",IF(LEFT(SEEMoutput!BE139,1)="D","DHP","HP"))</f>
        <v>HP</v>
      </c>
      <c r="F137" s="288">
        <f>SEEMoutput!E139</f>
        <v>780.68315500000006</v>
      </c>
      <c r="G137" s="289">
        <f>F137*(69-30)*SEEMoutput!N139/SEEMoutput!M139</f>
        <v>31565.831797145052</v>
      </c>
      <c r="H137" s="290">
        <f>'(Tons) (Furnsize)'!$F$52+'(Tons) (Furnsize)'!$F$53*'(Tons) (Furnsize)'!$B$15+'(Tons) (Furnsize)'!$F$54*G137</f>
        <v>3.7655053077394225</v>
      </c>
      <c r="I137" s="290">
        <f>H137/'(Tons) (Furnsize)'!$G$7</f>
        <v>3.1210648790087925</v>
      </c>
      <c r="J137" s="291">
        <f>F137*(69-VLOOKUP(D137,'(Tons) (Furnsize)'!$D$15:$E$17,2,FALSE))/3412</f>
        <v>15.787555010257915</v>
      </c>
      <c r="K137" s="292">
        <f>INDEX(Calibration!$A$4:$L$13,MATCH($D137&amp;$E137,Calibration!$A$4:$A$13,0),MATCH(K$4,Calibration!$A$4:$L$4,0))</f>
        <v>0.17499999999999999</v>
      </c>
      <c r="L137" s="292">
        <f>INDEX(Calibration!$A$4:$L$13,MATCH($D137&amp;$E137,Calibration!$A$4:$A$13,0),MATCH(L$4,Calibration!$A$4:$L$4,0))</f>
        <v>1.1965160377936901</v>
      </c>
      <c r="M137" s="292">
        <f>INDEX(Calibration!$A$4:$L$13,MATCH($D137&amp;$E137,Calibration!$A$4:$A$13,0),MATCH(M$4,Calibration!$A$4:$L$4,0))</f>
        <v>-2.050167690250368</v>
      </c>
      <c r="N137" s="292">
        <f>INDEX(Calibration!$A$4:$L$13,MATCH($D137&amp;$E137,Calibration!$A$4:$A$13,0),MATCH(N$4,Calibration!$A$4:$L$4,0))</f>
        <v>1.2990244223062084</v>
      </c>
      <c r="O137" s="292">
        <f>INDEX(Calibration!$A$4:$L$13,MATCH($D137&amp;$E137,Calibration!$A$4:$A$13,0),MATCH(O$4,Calibration!$A$4:$L$4,0))</f>
        <v>-4.1003353805007361</v>
      </c>
      <c r="P137" s="292">
        <f>INDEX(Calibration!$A$4:$L$13,MATCH($D137&amp;$E137,Calibration!$A$4:$A$13,0),MATCH(P$4,Calibration!$A$4:$L$4,0))</f>
        <v>1.452786999074986</v>
      </c>
      <c r="Q137" s="292">
        <f>INDEX(Calibration!$A$4:$L$13,MATCH($D137&amp;$E137,Calibration!$A$4:$A$13,0),MATCH(Q$4,Calibration!$A$4:$L$4,0))</f>
        <v>0.73522830748735724</v>
      </c>
      <c r="R137" s="293">
        <f>IF(C137&lt;Calibration!$F$5,L137,IF(C137&lt;Calibration!$E$5,C137*M137+N137,IF(C137&lt;K137,C137*O137+P137,Q137)))</f>
        <v>1.037106156244892</v>
      </c>
      <c r="S137" s="286">
        <f t="shared" si="4"/>
        <v>8846.8851384401205</v>
      </c>
      <c r="T137" s="293">
        <f>IF(E137="DHP",VLOOKUP(D137,Calibration!$C$20:$E$22,2,FALSE),IF(D137=1,Calibration!$D$17,Calibration!$D$18))</f>
        <v>0.85917762533929642</v>
      </c>
      <c r="U137" s="286">
        <f t="shared" si="5"/>
        <v>7601.0457648944957</v>
      </c>
      <c r="V137" s="286">
        <f>VLOOKUP(T137,Calibration!$D$17:$E$22,2,FALSE)*S137</f>
        <v>1093.1910807026134</v>
      </c>
      <c r="W137" t="s">
        <v>779</v>
      </c>
      <c r="X137">
        <v>434.82343700000001</v>
      </c>
      <c r="Y137">
        <v>0</v>
      </c>
    </row>
    <row r="138" spans="1:25">
      <c r="A138" s="277" t="str">
        <f>SEEMoutput!A140</f>
        <v>NWHZ2CZ2_5000n_35gshp_des0</v>
      </c>
      <c r="B138" s="286">
        <f>SEEMoutput!O140</f>
        <v>8530.3564009999991</v>
      </c>
      <c r="C138" s="287">
        <v>0.10137727874819126</v>
      </c>
      <c r="D138" s="277">
        <f>IF(SEEMoutput!G140&lt;6000,1,IF(SEEMoutput!G140&lt;7500,2,3))</f>
        <v>2</v>
      </c>
      <c r="E138" s="277" t="str">
        <f>IF(LEFT(SEEMoutput!BE140,1)="F","FUR",IF(LEFT(SEEMoutput!BE140,1)="D","DHP","HP"))</f>
        <v>HP</v>
      </c>
      <c r="F138" s="288">
        <f>SEEMoutput!E140</f>
        <v>780.68315500000006</v>
      </c>
      <c r="G138" s="289">
        <f>F138*(69-30)*SEEMoutput!N140/SEEMoutput!M140</f>
        <v>31565.831797145052</v>
      </c>
      <c r="H138" s="290">
        <f>'(Tons) (Furnsize)'!$F$52+'(Tons) (Furnsize)'!$F$53*'(Tons) (Furnsize)'!$B$15+'(Tons) (Furnsize)'!$F$54*G138</f>
        <v>3.7655053077394225</v>
      </c>
      <c r="I138" s="290">
        <f>H138/'(Tons) (Furnsize)'!$G$7</f>
        <v>3.1210648790087925</v>
      </c>
      <c r="J138" s="291">
        <f>F138*(69-VLOOKUP(D138,'(Tons) (Furnsize)'!$D$15:$E$17,2,FALSE))/3412</f>
        <v>15.787555010257915</v>
      </c>
      <c r="K138" s="292">
        <f>INDEX(Calibration!$A$4:$L$13,MATCH($D138&amp;$E138,Calibration!$A$4:$A$13,0),MATCH(K$4,Calibration!$A$4:$L$4,0))</f>
        <v>0.17499999999999999</v>
      </c>
      <c r="L138" s="292">
        <f>INDEX(Calibration!$A$4:$L$13,MATCH($D138&amp;$E138,Calibration!$A$4:$A$13,0),MATCH(L$4,Calibration!$A$4:$L$4,0))</f>
        <v>1.1965160377936901</v>
      </c>
      <c r="M138" s="292">
        <f>INDEX(Calibration!$A$4:$L$13,MATCH($D138&amp;$E138,Calibration!$A$4:$A$13,0),MATCH(M$4,Calibration!$A$4:$L$4,0))</f>
        <v>-2.050167690250368</v>
      </c>
      <c r="N138" s="292">
        <f>INDEX(Calibration!$A$4:$L$13,MATCH($D138&amp;$E138,Calibration!$A$4:$A$13,0),MATCH(N$4,Calibration!$A$4:$L$4,0))</f>
        <v>1.2990244223062084</v>
      </c>
      <c r="O138" s="292">
        <f>INDEX(Calibration!$A$4:$L$13,MATCH($D138&amp;$E138,Calibration!$A$4:$A$13,0),MATCH(O$4,Calibration!$A$4:$L$4,0))</f>
        <v>-4.1003353805007361</v>
      </c>
      <c r="P138" s="292">
        <f>INDEX(Calibration!$A$4:$L$13,MATCH($D138&amp;$E138,Calibration!$A$4:$A$13,0),MATCH(P$4,Calibration!$A$4:$L$4,0))</f>
        <v>1.452786999074986</v>
      </c>
      <c r="Q138" s="292">
        <f>INDEX(Calibration!$A$4:$L$13,MATCH($D138&amp;$E138,Calibration!$A$4:$A$13,0),MATCH(Q$4,Calibration!$A$4:$L$4,0))</f>
        <v>0.73522830748735724</v>
      </c>
      <c r="R138" s="293">
        <f>IF(C138&lt;Calibration!$F$5,L138,IF(C138&lt;Calibration!$E$5,C138*M138+N138,IF(C138&lt;K138,C138*O138+P138,Q138)))</f>
        <v>1.037106156244892</v>
      </c>
      <c r="S138" s="286">
        <f t="shared" si="4"/>
        <v>8846.8851384401205</v>
      </c>
      <c r="T138" s="293">
        <f>IF(E138="DHP",VLOOKUP(D138,Calibration!$C$20:$E$22,2,FALSE),IF(D138=1,Calibration!$D$17,Calibration!$D$18))</f>
        <v>0.85917762533929642</v>
      </c>
      <c r="U138" s="286">
        <f t="shared" si="5"/>
        <v>7601.0457648944957</v>
      </c>
      <c r="V138" s="286">
        <f>VLOOKUP(T138,Calibration!$D$17:$E$22,2,FALSE)*S138</f>
        <v>1093.1910807026134</v>
      </c>
      <c r="W138" t="s">
        <v>782</v>
      </c>
      <c r="X138">
        <v>850.30146000000002</v>
      </c>
      <c r="Y138">
        <v>0</v>
      </c>
    </row>
    <row r="139" spans="1:25">
      <c r="A139" s="277" t="str">
        <f>SEEMoutput!A141</f>
        <v>NWHZ2CZ3_5000n_35gshp_des0</v>
      </c>
      <c r="B139" s="286">
        <f>SEEMoutput!O141</f>
        <v>8530.3564009999991</v>
      </c>
      <c r="C139" s="287">
        <v>0.10137727874819126</v>
      </c>
      <c r="D139" s="277">
        <f>IF(SEEMoutput!G141&lt;6000,1,IF(SEEMoutput!G141&lt;7500,2,3))</f>
        <v>2</v>
      </c>
      <c r="E139" s="277" t="str">
        <f>IF(LEFT(SEEMoutput!BE141,1)="F","FUR",IF(LEFT(SEEMoutput!BE141,1)="D","DHP","HP"))</f>
        <v>HP</v>
      </c>
      <c r="F139" s="288">
        <f>SEEMoutput!E141</f>
        <v>780.68315500000006</v>
      </c>
      <c r="G139" s="289">
        <f>F139*(69-30)*SEEMoutput!N141/SEEMoutput!M141</f>
        <v>31565.831797145052</v>
      </c>
      <c r="H139" s="290">
        <f>'(Tons) (Furnsize)'!$F$52+'(Tons) (Furnsize)'!$F$53*'(Tons) (Furnsize)'!$B$15+'(Tons) (Furnsize)'!$F$54*G139</f>
        <v>3.7655053077394225</v>
      </c>
      <c r="I139" s="290">
        <f>H139/'(Tons) (Furnsize)'!$G$7</f>
        <v>3.1210648790087925</v>
      </c>
      <c r="J139" s="291">
        <f>F139*(69-VLOOKUP(D139,'(Tons) (Furnsize)'!$D$15:$E$17,2,FALSE))/3412</f>
        <v>15.787555010257915</v>
      </c>
      <c r="K139" s="292">
        <f>INDEX(Calibration!$A$4:$L$13,MATCH($D139&amp;$E139,Calibration!$A$4:$A$13,0),MATCH(K$4,Calibration!$A$4:$L$4,0))</f>
        <v>0.17499999999999999</v>
      </c>
      <c r="L139" s="292">
        <f>INDEX(Calibration!$A$4:$L$13,MATCH($D139&amp;$E139,Calibration!$A$4:$A$13,0),MATCH(L$4,Calibration!$A$4:$L$4,0))</f>
        <v>1.1965160377936901</v>
      </c>
      <c r="M139" s="292">
        <f>INDEX(Calibration!$A$4:$L$13,MATCH($D139&amp;$E139,Calibration!$A$4:$A$13,0),MATCH(M$4,Calibration!$A$4:$L$4,0))</f>
        <v>-2.050167690250368</v>
      </c>
      <c r="N139" s="292">
        <f>INDEX(Calibration!$A$4:$L$13,MATCH($D139&amp;$E139,Calibration!$A$4:$A$13,0),MATCH(N$4,Calibration!$A$4:$L$4,0))</f>
        <v>1.2990244223062084</v>
      </c>
      <c r="O139" s="292">
        <f>INDEX(Calibration!$A$4:$L$13,MATCH($D139&amp;$E139,Calibration!$A$4:$A$13,0),MATCH(O$4,Calibration!$A$4:$L$4,0))</f>
        <v>-4.1003353805007361</v>
      </c>
      <c r="P139" s="292">
        <f>INDEX(Calibration!$A$4:$L$13,MATCH($D139&amp;$E139,Calibration!$A$4:$A$13,0),MATCH(P$4,Calibration!$A$4:$L$4,0))</f>
        <v>1.452786999074986</v>
      </c>
      <c r="Q139" s="292">
        <f>INDEX(Calibration!$A$4:$L$13,MATCH($D139&amp;$E139,Calibration!$A$4:$A$13,0),MATCH(Q$4,Calibration!$A$4:$L$4,0))</f>
        <v>0.73522830748735724</v>
      </c>
      <c r="R139" s="293">
        <f>IF(C139&lt;Calibration!$F$5,L139,IF(C139&lt;Calibration!$E$5,C139*M139+N139,IF(C139&lt;K139,C139*O139+P139,Q139)))</f>
        <v>1.037106156244892</v>
      </c>
      <c r="S139" s="286">
        <f t="shared" si="4"/>
        <v>8846.8851384401205</v>
      </c>
      <c r="T139" s="293">
        <f>IF(E139="DHP",VLOOKUP(D139,Calibration!$C$20:$E$22,2,FALSE),IF(D139=1,Calibration!$D$17,Calibration!$D$18))</f>
        <v>0.85917762533929642</v>
      </c>
      <c r="U139" s="286">
        <f t="shared" si="5"/>
        <v>7601.0457648944957</v>
      </c>
      <c r="V139" s="286">
        <f>VLOOKUP(T139,Calibration!$D$17:$E$22,2,FALSE)*S139</f>
        <v>1093.1910807026134</v>
      </c>
      <c r="W139" t="s">
        <v>785</v>
      </c>
      <c r="X139">
        <v>1391.288996</v>
      </c>
      <c r="Y139">
        <v>0</v>
      </c>
    </row>
    <row r="140" spans="1:25">
      <c r="A140" s="277" t="str">
        <f>SEEMoutput!A142</f>
        <v>WxHZ2CZ1_5000e_40gshp_des0</v>
      </c>
      <c r="B140" s="286">
        <f>SEEMoutput!O142</f>
        <v>9125.1939490000004</v>
      </c>
      <c r="C140" s="287">
        <v>0.11195815502095934</v>
      </c>
      <c r="D140" s="277">
        <f>IF(SEEMoutput!G142&lt;6000,1,IF(SEEMoutput!G142&lt;7500,2,3))</f>
        <v>2</v>
      </c>
      <c r="E140" s="277" t="str">
        <f>IF(LEFT(SEEMoutput!BE142,1)="F","FUR",IF(LEFT(SEEMoutput!BE142,1)="D","DHP","HP"))</f>
        <v>HP</v>
      </c>
      <c r="F140" s="288">
        <f>SEEMoutput!E142</f>
        <v>844.42966200000001</v>
      </c>
      <c r="G140" s="289">
        <f>F140*(69-30)*SEEMoutput!N142/SEEMoutput!M142</f>
        <v>34157.286999239164</v>
      </c>
      <c r="H140" s="290">
        <f>'(Tons) (Furnsize)'!$F$52+'(Tons) (Furnsize)'!$F$53*'(Tons) (Furnsize)'!$B$15+'(Tons) (Furnsize)'!$F$54*G140</f>
        <v>4.0697690872900196</v>
      </c>
      <c r="I140" s="290">
        <f>H140/'(Tons) (Furnsize)'!$G$7</f>
        <v>3.3732559977832177</v>
      </c>
      <c r="J140" s="291">
        <f>F140*(69-VLOOKUP(D140,'(Tons) (Furnsize)'!$D$15:$E$17,2,FALSE))/3412</f>
        <v>17.076684254982414</v>
      </c>
      <c r="K140" s="292">
        <f>INDEX(Calibration!$A$4:$L$13,MATCH($D140&amp;$E140,Calibration!$A$4:$A$13,0),MATCH(K$4,Calibration!$A$4:$L$4,0))</f>
        <v>0.17499999999999999</v>
      </c>
      <c r="L140" s="292">
        <f>INDEX(Calibration!$A$4:$L$13,MATCH($D140&amp;$E140,Calibration!$A$4:$A$13,0),MATCH(L$4,Calibration!$A$4:$L$4,0))</f>
        <v>1.1965160377936901</v>
      </c>
      <c r="M140" s="292">
        <f>INDEX(Calibration!$A$4:$L$13,MATCH($D140&amp;$E140,Calibration!$A$4:$A$13,0),MATCH(M$4,Calibration!$A$4:$L$4,0))</f>
        <v>-2.050167690250368</v>
      </c>
      <c r="N140" s="292">
        <f>INDEX(Calibration!$A$4:$L$13,MATCH($D140&amp;$E140,Calibration!$A$4:$A$13,0),MATCH(N$4,Calibration!$A$4:$L$4,0))</f>
        <v>1.2990244223062084</v>
      </c>
      <c r="O140" s="292">
        <f>INDEX(Calibration!$A$4:$L$13,MATCH($D140&amp;$E140,Calibration!$A$4:$A$13,0),MATCH(O$4,Calibration!$A$4:$L$4,0))</f>
        <v>-4.1003353805007361</v>
      </c>
      <c r="P140" s="292">
        <f>INDEX(Calibration!$A$4:$L$13,MATCH($D140&amp;$E140,Calibration!$A$4:$A$13,0),MATCH(P$4,Calibration!$A$4:$L$4,0))</f>
        <v>1.452786999074986</v>
      </c>
      <c r="Q140" s="292">
        <f>INDEX(Calibration!$A$4:$L$13,MATCH($D140&amp;$E140,Calibration!$A$4:$A$13,0),MATCH(Q$4,Calibration!$A$4:$L$4,0))</f>
        <v>0.73522830748735724</v>
      </c>
      <c r="R140" s="293">
        <f>IF(C140&lt;Calibration!$F$5,L140,IF(C140&lt;Calibration!$E$5,C140*M140+N140,IF(C140&lt;K140,C140*O140+P140,Q140)))</f>
        <v>0.9937210149069603</v>
      </c>
      <c r="S140" s="286">
        <f t="shared" si="4"/>
        <v>9067.8969922231336</v>
      </c>
      <c r="T140" s="293">
        <f>IF(E140="DHP",VLOOKUP(D140,Calibration!$C$20:$E$22,2,FALSE),IF(D140=1,Calibration!$D$17,Calibration!$D$18))</f>
        <v>0.85917762533929642</v>
      </c>
      <c r="U140" s="286">
        <f t="shared" si="5"/>
        <v>7790.93420459962</v>
      </c>
      <c r="V140" s="286">
        <f>VLOOKUP(T140,Calibration!$D$17:$E$22,2,FALSE)*S140</f>
        <v>1120.5010529136621</v>
      </c>
      <c r="W140" t="s">
        <v>779</v>
      </c>
      <c r="X140">
        <v>444.86369200000001</v>
      </c>
      <c r="Y140">
        <v>0</v>
      </c>
    </row>
    <row r="141" spans="1:25">
      <c r="A141" s="277" t="str">
        <f>SEEMoutput!A143</f>
        <v>WxHZ2CZ2_5000e_40gshp_des0</v>
      </c>
      <c r="B141" s="286">
        <f>SEEMoutput!O143</f>
        <v>9125.1939490000004</v>
      </c>
      <c r="C141" s="287">
        <v>0.11195815502095934</v>
      </c>
      <c r="D141" s="277">
        <f>IF(SEEMoutput!G143&lt;6000,1,IF(SEEMoutput!G143&lt;7500,2,3))</f>
        <v>2</v>
      </c>
      <c r="E141" s="277" t="str">
        <f>IF(LEFT(SEEMoutput!BE143,1)="F","FUR",IF(LEFT(SEEMoutput!BE143,1)="D","DHP","HP"))</f>
        <v>HP</v>
      </c>
      <c r="F141" s="288">
        <f>SEEMoutput!E143</f>
        <v>844.42966200000001</v>
      </c>
      <c r="G141" s="289">
        <f>F141*(69-30)*SEEMoutput!N143/SEEMoutput!M143</f>
        <v>34157.286999239164</v>
      </c>
      <c r="H141" s="290">
        <f>'(Tons) (Furnsize)'!$F$52+'(Tons) (Furnsize)'!$F$53*'(Tons) (Furnsize)'!$B$15+'(Tons) (Furnsize)'!$F$54*G141</f>
        <v>4.0697690872900196</v>
      </c>
      <c r="I141" s="290">
        <f>H141/'(Tons) (Furnsize)'!$G$7</f>
        <v>3.3732559977832177</v>
      </c>
      <c r="J141" s="291">
        <f>F141*(69-VLOOKUP(D141,'(Tons) (Furnsize)'!$D$15:$E$17,2,FALSE))/3412</f>
        <v>17.076684254982414</v>
      </c>
      <c r="K141" s="292">
        <f>INDEX(Calibration!$A$4:$L$13,MATCH($D141&amp;$E141,Calibration!$A$4:$A$13,0),MATCH(K$4,Calibration!$A$4:$L$4,0))</f>
        <v>0.17499999999999999</v>
      </c>
      <c r="L141" s="292">
        <f>INDEX(Calibration!$A$4:$L$13,MATCH($D141&amp;$E141,Calibration!$A$4:$A$13,0),MATCH(L$4,Calibration!$A$4:$L$4,0))</f>
        <v>1.1965160377936901</v>
      </c>
      <c r="M141" s="292">
        <f>INDEX(Calibration!$A$4:$L$13,MATCH($D141&amp;$E141,Calibration!$A$4:$A$13,0),MATCH(M$4,Calibration!$A$4:$L$4,0))</f>
        <v>-2.050167690250368</v>
      </c>
      <c r="N141" s="292">
        <f>INDEX(Calibration!$A$4:$L$13,MATCH($D141&amp;$E141,Calibration!$A$4:$A$13,0),MATCH(N$4,Calibration!$A$4:$L$4,0))</f>
        <v>1.2990244223062084</v>
      </c>
      <c r="O141" s="292">
        <f>INDEX(Calibration!$A$4:$L$13,MATCH($D141&amp;$E141,Calibration!$A$4:$A$13,0),MATCH(O$4,Calibration!$A$4:$L$4,0))</f>
        <v>-4.1003353805007361</v>
      </c>
      <c r="P141" s="292">
        <f>INDEX(Calibration!$A$4:$L$13,MATCH($D141&amp;$E141,Calibration!$A$4:$A$13,0),MATCH(P$4,Calibration!$A$4:$L$4,0))</f>
        <v>1.452786999074986</v>
      </c>
      <c r="Q141" s="292">
        <f>INDEX(Calibration!$A$4:$L$13,MATCH($D141&amp;$E141,Calibration!$A$4:$A$13,0),MATCH(Q$4,Calibration!$A$4:$L$4,0))</f>
        <v>0.73522830748735724</v>
      </c>
      <c r="R141" s="293">
        <f>IF(C141&lt;Calibration!$F$5,L141,IF(C141&lt;Calibration!$E$5,C141*M141+N141,IF(C141&lt;K141,C141*O141+P141,Q141)))</f>
        <v>0.9937210149069603</v>
      </c>
      <c r="S141" s="286">
        <f t="shared" si="4"/>
        <v>9067.8969922231336</v>
      </c>
      <c r="T141" s="293">
        <f>IF(E141="DHP",VLOOKUP(D141,Calibration!$C$20:$E$22,2,FALSE),IF(D141=1,Calibration!$D$17,Calibration!$D$18))</f>
        <v>0.85917762533929642</v>
      </c>
      <c r="U141" s="286">
        <f t="shared" si="5"/>
        <v>7790.93420459962</v>
      </c>
      <c r="V141" s="286">
        <f>VLOOKUP(T141,Calibration!$D$17:$E$22,2,FALSE)*S141</f>
        <v>1120.5010529136621</v>
      </c>
      <c r="W141" t="s">
        <v>782</v>
      </c>
      <c r="X141">
        <v>881.28218600000002</v>
      </c>
      <c r="Y141">
        <v>0</v>
      </c>
    </row>
    <row r="142" spans="1:25">
      <c r="A142" s="277" t="str">
        <f>SEEMoutput!A144</f>
        <v>WxHZ2CZ3_5000e_40gshp_des0</v>
      </c>
      <c r="B142" s="286">
        <f>SEEMoutput!O144</f>
        <v>9125.1939490000004</v>
      </c>
      <c r="C142" s="287">
        <v>0.11195815502095934</v>
      </c>
      <c r="D142" s="277">
        <f>IF(SEEMoutput!G144&lt;6000,1,IF(SEEMoutput!G144&lt;7500,2,3))</f>
        <v>2</v>
      </c>
      <c r="E142" s="277" t="str">
        <f>IF(LEFT(SEEMoutput!BE144,1)="F","FUR",IF(LEFT(SEEMoutput!BE144,1)="D","DHP","HP"))</f>
        <v>HP</v>
      </c>
      <c r="F142" s="288">
        <f>SEEMoutput!E144</f>
        <v>844.42966200000001</v>
      </c>
      <c r="G142" s="289">
        <f>F142*(69-30)*SEEMoutput!N144/SEEMoutput!M144</f>
        <v>34157.286999239164</v>
      </c>
      <c r="H142" s="290">
        <f>'(Tons) (Furnsize)'!$F$52+'(Tons) (Furnsize)'!$F$53*'(Tons) (Furnsize)'!$B$15+'(Tons) (Furnsize)'!$F$54*G142</f>
        <v>4.0697690872900196</v>
      </c>
      <c r="I142" s="290">
        <f>H142/'(Tons) (Furnsize)'!$G$7</f>
        <v>3.3732559977832177</v>
      </c>
      <c r="J142" s="291">
        <f>F142*(69-VLOOKUP(D142,'(Tons) (Furnsize)'!$D$15:$E$17,2,FALSE))/3412</f>
        <v>17.076684254982414</v>
      </c>
      <c r="K142" s="292">
        <f>INDEX(Calibration!$A$4:$L$13,MATCH($D142&amp;$E142,Calibration!$A$4:$A$13,0),MATCH(K$4,Calibration!$A$4:$L$4,0))</f>
        <v>0.17499999999999999</v>
      </c>
      <c r="L142" s="292">
        <f>INDEX(Calibration!$A$4:$L$13,MATCH($D142&amp;$E142,Calibration!$A$4:$A$13,0),MATCH(L$4,Calibration!$A$4:$L$4,0))</f>
        <v>1.1965160377936901</v>
      </c>
      <c r="M142" s="292">
        <f>INDEX(Calibration!$A$4:$L$13,MATCH($D142&amp;$E142,Calibration!$A$4:$A$13,0),MATCH(M$4,Calibration!$A$4:$L$4,0))</f>
        <v>-2.050167690250368</v>
      </c>
      <c r="N142" s="292">
        <f>INDEX(Calibration!$A$4:$L$13,MATCH($D142&amp;$E142,Calibration!$A$4:$A$13,0),MATCH(N$4,Calibration!$A$4:$L$4,0))</f>
        <v>1.2990244223062084</v>
      </c>
      <c r="O142" s="292">
        <f>INDEX(Calibration!$A$4:$L$13,MATCH($D142&amp;$E142,Calibration!$A$4:$A$13,0),MATCH(O$4,Calibration!$A$4:$L$4,0))</f>
        <v>-4.1003353805007361</v>
      </c>
      <c r="P142" s="292">
        <f>INDEX(Calibration!$A$4:$L$13,MATCH($D142&amp;$E142,Calibration!$A$4:$A$13,0),MATCH(P$4,Calibration!$A$4:$L$4,0))</f>
        <v>1.452786999074986</v>
      </c>
      <c r="Q142" s="292">
        <f>INDEX(Calibration!$A$4:$L$13,MATCH($D142&amp;$E142,Calibration!$A$4:$A$13,0),MATCH(Q$4,Calibration!$A$4:$L$4,0))</f>
        <v>0.73522830748735724</v>
      </c>
      <c r="R142" s="293">
        <f>IF(C142&lt;Calibration!$F$5,L142,IF(C142&lt;Calibration!$E$5,C142*M142+N142,IF(C142&lt;K142,C142*O142+P142,Q142)))</f>
        <v>0.9937210149069603</v>
      </c>
      <c r="S142" s="286">
        <f t="shared" si="4"/>
        <v>9067.8969922231336</v>
      </c>
      <c r="T142" s="293">
        <f>IF(E142="DHP",VLOOKUP(D142,Calibration!$C$20:$E$22,2,FALSE),IF(D142=1,Calibration!$D$17,Calibration!$D$18))</f>
        <v>0.85917762533929642</v>
      </c>
      <c r="U142" s="286">
        <f t="shared" si="5"/>
        <v>7790.93420459962</v>
      </c>
      <c r="V142" s="286">
        <f>VLOOKUP(T142,Calibration!$D$17:$E$22,2,FALSE)*S142</f>
        <v>1120.5010529136621</v>
      </c>
      <c r="W142" t="s">
        <v>785</v>
      </c>
      <c r="X142">
        <v>1449.887874</v>
      </c>
      <c r="Y142">
        <v>0</v>
      </c>
    </row>
    <row r="143" spans="1:25">
      <c r="A143" s="277" t="str">
        <f>SEEMoutput!A145</f>
        <v>NWHZ3CZ1_5000n_35gshp_des0</v>
      </c>
      <c r="B143" s="286">
        <f>SEEMoutput!O145</f>
        <v>11078.35907</v>
      </c>
      <c r="C143" s="287">
        <v>0.10059401391513817</v>
      </c>
      <c r="D143" s="277">
        <f>IF(SEEMoutput!G145&lt;6000,1,IF(SEEMoutput!G145&lt;7500,2,3))</f>
        <v>3</v>
      </c>
      <c r="E143" s="277" t="str">
        <f>IF(LEFT(SEEMoutput!BE145,1)="F","FUR",IF(LEFT(SEEMoutput!BE145,1)="D","DHP","HP"))</f>
        <v>HP</v>
      </c>
      <c r="F143" s="288">
        <f>SEEMoutput!E145</f>
        <v>770.03105200000005</v>
      </c>
      <c r="G143" s="289">
        <f>F143*(69-30)*SEEMoutput!N145/SEEMoutput!M145</f>
        <v>31071.166865968218</v>
      </c>
      <c r="H143" s="290">
        <f>'(Tons) (Furnsize)'!$F$52+'(Tons) (Furnsize)'!$F$53*'(Tons) (Furnsize)'!$B$15+'(Tons) (Furnsize)'!$F$54*G143</f>
        <v>3.7074265026536248</v>
      </c>
      <c r="I143" s="290">
        <f>H143/'(Tons) (Furnsize)'!$G$7</f>
        <v>3.0729258634042966</v>
      </c>
      <c r="J143" s="291">
        <f>F143*(69-VLOOKUP(D143,'(Tons) (Furnsize)'!$D$15:$E$17,2,FALSE))/3412</f>
        <v>21.214220072684643</v>
      </c>
      <c r="K143" s="292">
        <f>INDEX(Calibration!$A$4:$L$13,MATCH($D143&amp;$E143,Calibration!$A$4:$A$13,0),MATCH(K$4,Calibration!$A$4:$L$4,0))</f>
        <v>0.15</v>
      </c>
      <c r="L143" s="292">
        <f>INDEX(Calibration!$A$4:$L$13,MATCH($D143&amp;$E143,Calibration!$A$4:$A$13,0),MATCH(L$4,Calibration!$A$4:$L$4,0))</f>
        <v>1.0259371368886356</v>
      </c>
      <c r="M143" s="292">
        <f>INDEX(Calibration!$A$4:$L$13,MATCH($D143&amp;$E143,Calibration!$A$4:$A$13,0),MATCH(M$4,Calibration!$A$4:$L$4,0))</f>
        <v>-1.8551508104013119</v>
      </c>
      <c r="N143" s="292">
        <f>INDEX(Calibration!$A$4:$L$13,MATCH($D143&amp;$E143,Calibration!$A$4:$A$13,0),MATCH(N$4,Calibration!$A$4:$L$4,0))</f>
        <v>1.1186946774087012</v>
      </c>
      <c r="O143" s="292">
        <f>INDEX(Calibration!$A$4:$L$13,MATCH($D143&amp;$E143,Calibration!$A$4:$A$13,0),MATCH(O$4,Calibration!$A$4:$L$4,0))</f>
        <v>-3.7103016208026238</v>
      </c>
      <c r="P143" s="292">
        <f>INDEX(Calibration!$A$4:$L$13,MATCH($D143&amp;$E143,Calibration!$A$4:$A$13,0),MATCH(P$4,Calibration!$A$4:$L$4,0))</f>
        <v>1.2578309881887995</v>
      </c>
      <c r="Q143" s="292">
        <f>INDEX(Calibration!$A$4:$L$13,MATCH($D143&amp;$E143,Calibration!$A$4:$A$13,0),MATCH(Q$4,Calibration!$A$4:$L$4,0))</f>
        <v>0.7012857450684058</v>
      </c>
      <c r="R143" s="293">
        <f>IF(C143&lt;Calibration!$F$5,L143,IF(C143&lt;Calibration!$E$5,C143*M143+N143,IF(C143&lt;K143,C143*O143+P143,Q143)))</f>
        <v>0.88459685531642063</v>
      </c>
      <c r="S143" s="286">
        <f t="shared" si="4"/>
        <v>9799.8815953881458</v>
      </c>
      <c r="T143" s="293">
        <f>IF(E143="DHP",VLOOKUP(D143,Calibration!$C$20:$E$22,2,FALSE),IF(D143=1,Calibration!$D$17,Calibration!$D$18))</f>
        <v>0.85917762533929642</v>
      </c>
      <c r="U143" s="286">
        <f t="shared" si="5"/>
        <v>8419.838997731862</v>
      </c>
      <c r="V143" s="286">
        <f>VLOOKUP(T143,Calibration!$D$17:$E$22,2,FALSE)*S143</f>
        <v>1210.9508583389334</v>
      </c>
      <c r="W143" t="s">
        <v>794</v>
      </c>
      <c r="X143">
        <v>434.82343700000001</v>
      </c>
      <c r="Y143">
        <v>0</v>
      </c>
    </row>
    <row r="144" spans="1:25">
      <c r="A144" s="277" t="str">
        <f>SEEMoutput!A146</f>
        <v>NWHZ3CZ2_5000n_35gshp_des0</v>
      </c>
      <c r="B144" s="286">
        <f>SEEMoutput!O146</f>
        <v>11078.35907</v>
      </c>
      <c r="C144" s="287">
        <v>0.10059401391513817</v>
      </c>
      <c r="D144" s="277">
        <f>IF(SEEMoutput!G146&lt;6000,1,IF(SEEMoutput!G146&lt;7500,2,3))</f>
        <v>3</v>
      </c>
      <c r="E144" s="277" t="str">
        <f>IF(LEFT(SEEMoutput!BE146,1)="F","FUR",IF(LEFT(SEEMoutput!BE146,1)="D","DHP","HP"))</f>
        <v>HP</v>
      </c>
      <c r="F144" s="288">
        <f>SEEMoutput!E146</f>
        <v>770.03105200000005</v>
      </c>
      <c r="G144" s="289">
        <f>F144*(69-30)*SEEMoutput!N146/SEEMoutput!M146</f>
        <v>31071.166865968218</v>
      </c>
      <c r="H144" s="290">
        <f>'(Tons) (Furnsize)'!$F$52+'(Tons) (Furnsize)'!$F$53*'(Tons) (Furnsize)'!$B$15+'(Tons) (Furnsize)'!$F$54*G144</f>
        <v>3.7074265026536248</v>
      </c>
      <c r="I144" s="290">
        <f>H144/'(Tons) (Furnsize)'!$G$7</f>
        <v>3.0729258634042966</v>
      </c>
      <c r="J144" s="291">
        <f>F144*(69-VLOOKUP(D144,'(Tons) (Furnsize)'!$D$15:$E$17,2,FALSE))/3412</f>
        <v>21.214220072684643</v>
      </c>
      <c r="K144" s="292">
        <f>INDEX(Calibration!$A$4:$L$13,MATCH($D144&amp;$E144,Calibration!$A$4:$A$13,0),MATCH(K$4,Calibration!$A$4:$L$4,0))</f>
        <v>0.15</v>
      </c>
      <c r="L144" s="292">
        <f>INDEX(Calibration!$A$4:$L$13,MATCH($D144&amp;$E144,Calibration!$A$4:$A$13,0),MATCH(L$4,Calibration!$A$4:$L$4,0))</f>
        <v>1.0259371368886356</v>
      </c>
      <c r="M144" s="292">
        <f>INDEX(Calibration!$A$4:$L$13,MATCH($D144&amp;$E144,Calibration!$A$4:$A$13,0),MATCH(M$4,Calibration!$A$4:$L$4,0))</f>
        <v>-1.8551508104013119</v>
      </c>
      <c r="N144" s="292">
        <f>INDEX(Calibration!$A$4:$L$13,MATCH($D144&amp;$E144,Calibration!$A$4:$A$13,0),MATCH(N$4,Calibration!$A$4:$L$4,0))</f>
        <v>1.1186946774087012</v>
      </c>
      <c r="O144" s="292">
        <f>INDEX(Calibration!$A$4:$L$13,MATCH($D144&amp;$E144,Calibration!$A$4:$A$13,0),MATCH(O$4,Calibration!$A$4:$L$4,0))</f>
        <v>-3.7103016208026238</v>
      </c>
      <c r="P144" s="292">
        <f>INDEX(Calibration!$A$4:$L$13,MATCH($D144&amp;$E144,Calibration!$A$4:$A$13,0),MATCH(P$4,Calibration!$A$4:$L$4,0))</f>
        <v>1.2578309881887995</v>
      </c>
      <c r="Q144" s="292">
        <f>INDEX(Calibration!$A$4:$L$13,MATCH($D144&amp;$E144,Calibration!$A$4:$A$13,0),MATCH(Q$4,Calibration!$A$4:$L$4,0))</f>
        <v>0.7012857450684058</v>
      </c>
      <c r="R144" s="293">
        <f>IF(C144&lt;Calibration!$F$5,L144,IF(C144&lt;Calibration!$E$5,C144*M144+N144,IF(C144&lt;K144,C144*O144+P144,Q144)))</f>
        <v>0.88459685531642063</v>
      </c>
      <c r="S144" s="286">
        <f t="shared" si="4"/>
        <v>9799.8815953881458</v>
      </c>
      <c r="T144" s="293">
        <f>IF(E144="DHP",VLOOKUP(D144,Calibration!$C$20:$E$22,2,FALSE),IF(D144=1,Calibration!$D$17,Calibration!$D$18))</f>
        <v>0.85917762533929642</v>
      </c>
      <c r="U144" s="286">
        <f t="shared" si="5"/>
        <v>8419.838997731862</v>
      </c>
      <c r="V144" s="286">
        <f>VLOOKUP(T144,Calibration!$D$17:$E$22,2,FALSE)*S144</f>
        <v>1210.9508583389334</v>
      </c>
      <c r="W144" t="s">
        <v>797</v>
      </c>
      <c r="X144">
        <v>850.30146000000002</v>
      </c>
      <c r="Y144">
        <v>0</v>
      </c>
    </row>
    <row r="145" spans="1:25">
      <c r="A145" s="277" t="str">
        <f>SEEMoutput!A147</f>
        <v>NWHZ3CZ3_5000n_35gshp_des0</v>
      </c>
      <c r="B145" s="286">
        <f>SEEMoutput!O147</f>
        <v>11078.35907</v>
      </c>
      <c r="C145" s="287">
        <v>0.10059401391513817</v>
      </c>
      <c r="D145" s="277">
        <f>IF(SEEMoutput!G147&lt;6000,1,IF(SEEMoutput!G147&lt;7500,2,3))</f>
        <v>3</v>
      </c>
      <c r="E145" s="277" t="str">
        <f>IF(LEFT(SEEMoutput!BE147,1)="F","FUR",IF(LEFT(SEEMoutput!BE147,1)="D","DHP","HP"))</f>
        <v>HP</v>
      </c>
      <c r="F145" s="288">
        <f>SEEMoutput!E147</f>
        <v>770.03105200000005</v>
      </c>
      <c r="G145" s="289">
        <f>F145*(69-30)*SEEMoutput!N147/SEEMoutput!M147</f>
        <v>31071.166865968218</v>
      </c>
      <c r="H145" s="290">
        <f>'(Tons) (Furnsize)'!$F$52+'(Tons) (Furnsize)'!$F$53*'(Tons) (Furnsize)'!$B$15+'(Tons) (Furnsize)'!$F$54*G145</f>
        <v>3.7074265026536248</v>
      </c>
      <c r="I145" s="290">
        <f>H145/'(Tons) (Furnsize)'!$G$7</f>
        <v>3.0729258634042966</v>
      </c>
      <c r="J145" s="291">
        <f>F145*(69-VLOOKUP(D145,'(Tons) (Furnsize)'!$D$15:$E$17,2,FALSE))/3412</f>
        <v>21.214220072684643</v>
      </c>
      <c r="K145" s="292">
        <f>INDEX(Calibration!$A$4:$L$13,MATCH($D145&amp;$E145,Calibration!$A$4:$A$13,0),MATCH(K$4,Calibration!$A$4:$L$4,0))</f>
        <v>0.15</v>
      </c>
      <c r="L145" s="292">
        <f>INDEX(Calibration!$A$4:$L$13,MATCH($D145&amp;$E145,Calibration!$A$4:$A$13,0),MATCH(L$4,Calibration!$A$4:$L$4,0))</f>
        <v>1.0259371368886356</v>
      </c>
      <c r="M145" s="292">
        <f>INDEX(Calibration!$A$4:$L$13,MATCH($D145&amp;$E145,Calibration!$A$4:$A$13,0),MATCH(M$4,Calibration!$A$4:$L$4,0))</f>
        <v>-1.8551508104013119</v>
      </c>
      <c r="N145" s="292">
        <f>INDEX(Calibration!$A$4:$L$13,MATCH($D145&amp;$E145,Calibration!$A$4:$A$13,0),MATCH(N$4,Calibration!$A$4:$L$4,0))</f>
        <v>1.1186946774087012</v>
      </c>
      <c r="O145" s="292">
        <f>INDEX(Calibration!$A$4:$L$13,MATCH($D145&amp;$E145,Calibration!$A$4:$A$13,0),MATCH(O$4,Calibration!$A$4:$L$4,0))</f>
        <v>-3.7103016208026238</v>
      </c>
      <c r="P145" s="292">
        <f>INDEX(Calibration!$A$4:$L$13,MATCH($D145&amp;$E145,Calibration!$A$4:$A$13,0),MATCH(P$4,Calibration!$A$4:$L$4,0))</f>
        <v>1.2578309881887995</v>
      </c>
      <c r="Q145" s="292">
        <f>INDEX(Calibration!$A$4:$L$13,MATCH($D145&amp;$E145,Calibration!$A$4:$A$13,0),MATCH(Q$4,Calibration!$A$4:$L$4,0))</f>
        <v>0.7012857450684058</v>
      </c>
      <c r="R145" s="293">
        <f>IF(C145&lt;Calibration!$F$5,L145,IF(C145&lt;Calibration!$E$5,C145*M145+N145,IF(C145&lt;K145,C145*O145+P145,Q145)))</f>
        <v>0.88459685531642063</v>
      </c>
      <c r="S145" s="286">
        <f t="shared" si="4"/>
        <v>9799.8815953881458</v>
      </c>
      <c r="T145" s="293">
        <f>IF(E145="DHP",VLOOKUP(D145,Calibration!$C$20:$E$22,2,FALSE),IF(D145=1,Calibration!$D$17,Calibration!$D$18))</f>
        <v>0.85917762533929642</v>
      </c>
      <c r="U145" s="286">
        <f t="shared" si="5"/>
        <v>8419.838997731862</v>
      </c>
      <c r="V145" s="286">
        <f>VLOOKUP(T145,Calibration!$D$17:$E$22,2,FALSE)*S145</f>
        <v>1210.9508583389334</v>
      </c>
      <c r="W145" t="s">
        <v>800</v>
      </c>
      <c r="X145">
        <v>1391.288996</v>
      </c>
      <c r="Y145">
        <v>0</v>
      </c>
    </row>
    <row r="146" spans="1:25">
      <c r="A146" s="277" t="str">
        <f>SEEMoutput!A148</f>
        <v>WxHZ3CZ1_5000e_40gshp_des0</v>
      </c>
      <c r="B146" s="286">
        <f>SEEMoutput!O148</f>
        <v>11703.323515</v>
      </c>
      <c r="C146" s="287">
        <v>0.11097333061548252</v>
      </c>
      <c r="D146" s="277">
        <f>IF(SEEMoutput!G148&lt;6000,1,IF(SEEMoutput!G148&lt;7500,2,3))</f>
        <v>3</v>
      </c>
      <c r="E146" s="277" t="str">
        <f>IF(LEFT(SEEMoutput!BE148,1)="F","FUR",IF(LEFT(SEEMoutput!BE148,1)="D","DHP","HP"))</f>
        <v>HP</v>
      </c>
      <c r="F146" s="288">
        <f>SEEMoutput!E148</f>
        <v>832.29929900000002</v>
      </c>
      <c r="G146" s="289">
        <f>F146*(69-30)*SEEMoutput!N148/SEEMoutput!M148</f>
        <v>33597.783557977658</v>
      </c>
      <c r="H146" s="290">
        <f>'(Tons) (Furnsize)'!$F$52+'(Tons) (Furnsize)'!$F$53*'(Tons) (Furnsize)'!$B$15+'(Tons) (Furnsize)'!$F$54*G146</f>
        <v>4.0040775671077586</v>
      </c>
      <c r="I146" s="290">
        <f>H146/'(Tons) (Furnsize)'!$G$7</f>
        <v>3.3188071311017264</v>
      </c>
      <c r="J146" s="291">
        <f>F146*(69-VLOOKUP(D146,'(Tons) (Furnsize)'!$D$15:$E$17,2,FALSE))/3412</f>
        <v>22.929699327667056</v>
      </c>
      <c r="K146" s="292">
        <f>INDEX(Calibration!$A$4:$L$13,MATCH($D146&amp;$E146,Calibration!$A$4:$A$13,0),MATCH(K$4,Calibration!$A$4:$L$4,0))</f>
        <v>0.15</v>
      </c>
      <c r="L146" s="292">
        <f>INDEX(Calibration!$A$4:$L$13,MATCH($D146&amp;$E146,Calibration!$A$4:$A$13,0),MATCH(L$4,Calibration!$A$4:$L$4,0))</f>
        <v>1.0259371368886356</v>
      </c>
      <c r="M146" s="292">
        <f>INDEX(Calibration!$A$4:$L$13,MATCH($D146&amp;$E146,Calibration!$A$4:$A$13,0),MATCH(M$4,Calibration!$A$4:$L$4,0))</f>
        <v>-1.8551508104013119</v>
      </c>
      <c r="N146" s="292">
        <f>INDEX(Calibration!$A$4:$L$13,MATCH($D146&amp;$E146,Calibration!$A$4:$A$13,0),MATCH(N$4,Calibration!$A$4:$L$4,0))</f>
        <v>1.1186946774087012</v>
      </c>
      <c r="O146" s="292">
        <f>INDEX(Calibration!$A$4:$L$13,MATCH($D146&amp;$E146,Calibration!$A$4:$A$13,0),MATCH(O$4,Calibration!$A$4:$L$4,0))</f>
        <v>-3.7103016208026238</v>
      </c>
      <c r="P146" s="292">
        <f>INDEX(Calibration!$A$4:$L$13,MATCH($D146&amp;$E146,Calibration!$A$4:$A$13,0),MATCH(P$4,Calibration!$A$4:$L$4,0))</f>
        <v>1.2578309881887995</v>
      </c>
      <c r="Q146" s="292">
        <f>INDEX(Calibration!$A$4:$L$13,MATCH($D146&amp;$E146,Calibration!$A$4:$A$13,0),MATCH(Q$4,Calibration!$A$4:$L$4,0))</f>
        <v>0.7012857450684058</v>
      </c>
      <c r="R146" s="293">
        <f>IF(C146&lt;Calibration!$F$5,L146,IF(C146&lt;Calibration!$E$5,C146*M146+N146,IF(C146&lt;K146,C146*O146+P146,Q146)))</f>
        <v>0.84608645974030927</v>
      </c>
      <c r="S146" s="286">
        <f t="shared" si="4"/>
        <v>9902.0235600018623</v>
      </c>
      <c r="T146" s="293">
        <f>IF(E146="DHP",VLOOKUP(D146,Calibration!$C$20:$E$22,2,FALSE),IF(D146=1,Calibration!$D$17,Calibration!$D$18))</f>
        <v>0.85917762533929642</v>
      </c>
      <c r="U146" s="286">
        <f t="shared" si="5"/>
        <v>8507.5970883361661</v>
      </c>
      <c r="V146" s="286">
        <f>VLOOKUP(T146,Calibration!$D$17:$E$22,2,FALSE)*S146</f>
        <v>1223.572327130925</v>
      </c>
      <c r="W146" t="s">
        <v>794</v>
      </c>
      <c r="X146">
        <v>444.86369200000001</v>
      </c>
      <c r="Y146">
        <v>0</v>
      </c>
    </row>
    <row r="147" spans="1:25">
      <c r="A147" s="277" t="str">
        <f>SEEMoutput!A149</f>
        <v>WxHZ3CZ2_5000e_40gshp_des0</v>
      </c>
      <c r="B147" s="286">
        <f>SEEMoutput!O149</f>
        <v>11703.323515</v>
      </c>
      <c r="C147" s="287">
        <v>0.11097333061548252</v>
      </c>
      <c r="D147" s="277">
        <f>IF(SEEMoutput!G149&lt;6000,1,IF(SEEMoutput!G149&lt;7500,2,3))</f>
        <v>3</v>
      </c>
      <c r="E147" s="277" t="str">
        <f>IF(LEFT(SEEMoutput!BE149,1)="F","FUR",IF(LEFT(SEEMoutput!BE149,1)="D","DHP","HP"))</f>
        <v>HP</v>
      </c>
      <c r="F147" s="288">
        <f>SEEMoutput!E149</f>
        <v>832.29929900000002</v>
      </c>
      <c r="G147" s="289">
        <f>F147*(69-30)*SEEMoutput!N149/SEEMoutput!M149</f>
        <v>33597.783557977658</v>
      </c>
      <c r="H147" s="290">
        <f>'(Tons) (Furnsize)'!$F$52+'(Tons) (Furnsize)'!$F$53*'(Tons) (Furnsize)'!$B$15+'(Tons) (Furnsize)'!$F$54*G147</f>
        <v>4.0040775671077586</v>
      </c>
      <c r="I147" s="290">
        <f>H147/'(Tons) (Furnsize)'!$G$7</f>
        <v>3.3188071311017264</v>
      </c>
      <c r="J147" s="291">
        <f>F147*(69-VLOOKUP(D147,'(Tons) (Furnsize)'!$D$15:$E$17,2,FALSE))/3412</f>
        <v>22.929699327667056</v>
      </c>
      <c r="K147" s="292">
        <f>INDEX(Calibration!$A$4:$L$13,MATCH($D147&amp;$E147,Calibration!$A$4:$A$13,0),MATCH(K$4,Calibration!$A$4:$L$4,0))</f>
        <v>0.15</v>
      </c>
      <c r="L147" s="292">
        <f>INDEX(Calibration!$A$4:$L$13,MATCH($D147&amp;$E147,Calibration!$A$4:$A$13,0),MATCH(L$4,Calibration!$A$4:$L$4,0))</f>
        <v>1.0259371368886356</v>
      </c>
      <c r="M147" s="292">
        <f>INDEX(Calibration!$A$4:$L$13,MATCH($D147&amp;$E147,Calibration!$A$4:$A$13,0),MATCH(M$4,Calibration!$A$4:$L$4,0))</f>
        <v>-1.8551508104013119</v>
      </c>
      <c r="N147" s="292">
        <f>INDEX(Calibration!$A$4:$L$13,MATCH($D147&amp;$E147,Calibration!$A$4:$A$13,0),MATCH(N$4,Calibration!$A$4:$L$4,0))</f>
        <v>1.1186946774087012</v>
      </c>
      <c r="O147" s="292">
        <f>INDEX(Calibration!$A$4:$L$13,MATCH($D147&amp;$E147,Calibration!$A$4:$A$13,0),MATCH(O$4,Calibration!$A$4:$L$4,0))</f>
        <v>-3.7103016208026238</v>
      </c>
      <c r="P147" s="292">
        <f>INDEX(Calibration!$A$4:$L$13,MATCH($D147&amp;$E147,Calibration!$A$4:$A$13,0),MATCH(P$4,Calibration!$A$4:$L$4,0))</f>
        <v>1.2578309881887995</v>
      </c>
      <c r="Q147" s="292">
        <f>INDEX(Calibration!$A$4:$L$13,MATCH($D147&amp;$E147,Calibration!$A$4:$A$13,0),MATCH(Q$4,Calibration!$A$4:$L$4,0))</f>
        <v>0.7012857450684058</v>
      </c>
      <c r="R147" s="293">
        <f>IF(C147&lt;Calibration!$F$5,L147,IF(C147&lt;Calibration!$E$5,C147*M147+N147,IF(C147&lt;K147,C147*O147+P147,Q147)))</f>
        <v>0.84608645974030927</v>
      </c>
      <c r="S147" s="286">
        <f t="shared" si="4"/>
        <v>9902.0235600018623</v>
      </c>
      <c r="T147" s="293">
        <f>IF(E147="DHP",VLOOKUP(D147,Calibration!$C$20:$E$22,2,FALSE),IF(D147=1,Calibration!$D$17,Calibration!$D$18))</f>
        <v>0.85917762533929642</v>
      </c>
      <c r="U147" s="286">
        <f t="shared" si="5"/>
        <v>8507.5970883361661</v>
      </c>
      <c r="V147" s="286">
        <f>VLOOKUP(T147,Calibration!$D$17:$E$22,2,FALSE)*S147</f>
        <v>1223.572327130925</v>
      </c>
      <c r="W147" t="s">
        <v>797</v>
      </c>
      <c r="X147">
        <v>881.28218600000002</v>
      </c>
      <c r="Y147">
        <v>0</v>
      </c>
    </row>
    <row r="148" spans="1:25">
      <c r="A148" s="277" t="str">
        <f>SEEMoutput!A150</f>
        <v>WxHZ3CZ3_5000e_40gshp_des0</v>
      </c>
      <c r="B148" s="286">
        <f>SEEMoutput!O150</f>
        <v>11703.323515</v>
      </c>
      <c r="C148" s="287">
        <v>0.11097333061548252</v>
      </c>
      <c r="D148" s="277">
        <f>IF(SEEMoutput!G150&lt;6000,1,IF(SEEMoutput!G150&lt;7500,2,3))</f>
        <v>3</v>
      </c>
      <c r="E148" s="277" t="str">
        <f>IF(LEFT(SEEMoutput!BE150,1)="F","FUR",IF(LEFT(SEEMoutput!BE150,1)="D","DHP","HP"))</f>
        <v>HP</v>
      </c>
      <c r="F148" s="288">
        <f>SEEMoutput!E150</f>
        <v>832.29929900000002</v>
      </c>
      <c r="G148" s="289">
        <f>F148*(69-30)*SEEMoutput!N150/SEEMoutput!M150</f>
        <v>33597.783557977658</v>
      </c>
      <c r="H148" s="290">
        <f>'(Tons) (Furnsize)'!$F$52+'(Tons) (Furnsize)'!$F$53*'(Tons) (Furnsize)'!$B$15+'(Tons) (Furnsize)'!$F$54*G148</f>
        <v>4.0040775671077586</v>
      </c>
      <c r="I148" s="290">
        <f>H148/'(Tons) (Furnsize)'!$G$7</f>
        <v>3.3188071311017264</v>
      </c>
      <c r="J148" s="291">
        <f>F148*(69-VLOOKUP(D148,'(Tons) (Furnsize)'!$D$15:$E$17,2,FALSE))/3412</f>
        <v>22.929699327667056</v>
      </c>
      <c r="K148" s="292">
        <f>INDEX(Calibration!$A$4:$L$13,MATCH($D148&amp;$E148,Calibration!$A$4:$A$13,0),MATCH(K$4,Calibration!$A$4:$L$4,0))</f>
        <v>0.15</v>
      </c>
      <c r="L148" s="292">
        <f>INDEX(Calibration!$A$4:$L$13,MATCH($D148&amp;$E148,Calibration!$A$4:$A$13,0),MATCH(L$4,Calibration!$A$4:$L$4,0))</f>
        <v>1.0259371368886356</v>
      </c>
      <c r="M148" s="292">
        <f>INDEX(Calibration!$A$4:$L$13,MATCH($D148&amp;$E148,Calibration!$A$4:$A$13,0),MATCH(M$4,Calibration!$A$4:$L$4,0))</f>
        <v>-1.8551508104013119</v>
      </c>
      <c r="N148" s="292">
        <f>INDEX(Calibration!$A$4:$L$13,MATCH($D148&amp;$E148,Calibration!$A$4:$A$13,0),MATCH(N$4,Calibration!$A$4:$L$4,0))</f>
        <v>1.1186946774087012</v>
      </c>
      <c r="O148" s="292">
        <f>INDEX(Calibration!$A$4:$L$13,MATCH($D148&amp;$E148,Calibration!$A$4:$A$13,0),MATCH(O$4,Calibration!$A$4:$L$4,0))</f>
        <v>-3.7103016208026238</v>
      </c>
      <c r="P148" s="292">
        <f>INDEX(Calibration!$A$4:$L$13,MATCH($D148&amp;$E148,Calibration!$A$4:$A$13,0),MATCH(P$4,Calibration!$A$4:$L$4,0))</f>
        <v>1.2578309881887995</v>
      </c>
      <c r="Q148" s="292">
        <f>INDEX(Calibration!$A$4:$L$13,MATCH($D148&amp;$E148,Calibration!$A$4:$A$13,0),MATCH(Q$4,Calibration!$A$4:$L$4,0))</f>
        <v>0.7012857450684058</v>
      </c>
      <c r="R148" s="293">
        <f>IF(C148&lt;Calibration!$F$5,L148,IF(C148&lt;Calibration!$E$5,C148*M148+N148,IF(C148&lt;K148,C148*O148+P148,Q148)))</f>
        <v>0.84608645974030927</v>
      </c>
      <c r="S148" s="286">
        <f t="shared" si="4"/>
        <v>9902.0235600018623</v>
      </c>
      <c r="T148" s="293">
        <f>IF(E148="DHP",VLOOKUP(D148,Calibration!$C$20:$E$22,2,FALSE),IF(D148=1,Calibration!$D$17,Calibration!$D$18))</f>
        <v>0.85917762533929642</v>
      </c>
      <c r="U148" s="286">
        <f t="shared" si="5"/>
        <v>8507.5970883361661</v>
      </c>
      <c r="V148" s="286">
        <f>VLOOKUP(T148,Calibration!$D$17:$E$22,2,FALSE)*S148</f>
        <v>1223.572327130925</v>
      </c>
      <c r="W148" t="s">
        <v>800</v>
      </c>
      <c r="X148">
        <v>1449.887874</v>
      </c>
      <c r="Y148">
        <v>0</v>
      </c>
    </row>
    <row r="149" spans="1:25">
      <c r="A149" s="277" t="str">
        <f>SEEMoutput!A151</f>
        <v>NWHZ1CZ1_1568n_20gshp_des1</v>
      </c>
      <c r="B149" s="286">
        <f>SEEMoutput!O151</f>
        <v>2679.8694479999999</v>
      </c>
      <c r="C149" s="287">
        <v>7.8436461194743332E-2</v>
      </c>
      <c r="D149" s="277">
        <f>IF(SEEMoutput!G151&lt;6000,1,IF(SEEMoutput!G151&lt;7500,2,3))</f>
        <v>1</v>
      </c>
      <c r="E149" s="277" t="str">
        <f>IF(LEFT(SEEMoutput!BE151,1)="F","FUR",IF(LEFT(SEEMoutput!BE151,1)="D","DHP","HP"))</f>
        <v>HP</v>
      </c>
      <c r="F149" s="288">
        <f>SEEMoutput!E151</f>
        <v>339.39983799999999</v>
      </c>
      <c r="G149" s="289">
        <f>F149*(69-30)*SEEMoutput!N151/SEEMoutput!M151</f>
        <v>14859.900917267621</v>
      </c>
      <c r="H149" s="290">
        <f>'(Tons) (Furnsize)'!$F$52+'(Tons) (Furnsize)'!$F$53*'(Tons) (Furnsize)'!$B$15+'(Tons) (Furnsize)'!$F$54*G149</f>
        <v>1.8040553601134532</v>
      </c>
      <c r="I149" s="290">
        <f>H149/'(Tons) (Furnsize)'!$G$7</f>
        <v>1.4953036482686326</v>
      </c>
      <c r="J149" s="291">
        <f>F149*(69-VLOOKUP(D149,'(Tons) (Furnsize)'!$D$15:$E$17,2,FALSE))/3412</f>
        <v>5.1725649402110196</v>
      </c>
      <c r="K149" s="292">
        <f>INDEX(Calibration!$A$4:$L$13,MATCH($D149&amp;$E149,Calibration!$A$4:$A$13,0),MATCH(K$4,Calibration!$A$4:$L$4,0))</f>
        <v>0.2</v>
      </c>
      <c r="L149" s="292">
        <f>INDEX(Calibration!$A$4:$L$13,MATCH($D149&amp;$E149,Calibration!$A$4:$A$13,0),MATCH(L$4,Calibration!$A$4:$L$4,0))</f>
        <v>1.3869915874526988</v>
      </c>
      <c r="M149" s="292">
        <f>INDEX(Calibration!$A$4:$L$13,MATCH($D149&amp;$E149,Calibration!$A$4:$A$13,0),MATCH(M$4,Calibration!$A$4:$L$4,0))</f>
        <v>-2.2641144651923684</v>
      </c>
      <c r="N149" s="292">
        <f>INDEX(Calibration!$A$4:$L$13,MATCH($D149&amp;$E149,Calibration!$A$4:$A$13,0),MATCH(N$4,Calibration!$A$4:$L$4,0))</f>
        <v>1.5001973107123172</v>
      </c>
      <c r="O149" s="292">
        <f>INDEX(Calibration!$A$4:$L$13,MATCH($D149&amp;$E149,Calibration!$A$4:$A$13,0),MATCH(O$4,Calibration!$A$4:$L$4,0))</f>
        <v>-4.5282289303847367</v>
      </c>
      <c r="P149" s="292">
        <f>INDEX(Calibration!$A$4:$L$13,MATCH($D149&amp;$E149,Calibration!$A$4:$A$13,0),MATCH(P$4,Calibration!$A$4:$L$4,0))</f>
        <v>1.6700058956017449</v>
      </c>
      <c r="Q149" s="292">
        <f>INDEX(Calibration!$A$4:$L$13,MATCH($D149&amp;$E149,Calibration!$A$4:$A$13,0),MATCH(Q$4,Calibration!$A$4:$L$4,0))</f>
        <v>0.7643601095247976</v>
      </c>
      <c r="R149" s="293">
        <f>IF(C149&lt;Calibration!$F$5,L149,IF(C149&lt;Calibration!$E$5,C149*M149+N149,IF(C149&lt;K149,C149*O149+P149,Q149)))</f>
        <v>1.3148276428227084</v>
      </c>
      <c r="S149" s="286">
        <f t="shared" si="4"/>
        <v>3523.5664293864324</v>
      </c>
      <c r="T149" s="293">
        <f>IF(E149="DHP",VLOOKUP(D149,Calibration!$C$20:$E$22,2,FALSE),IF(D149=1,Calibration!$D$17,Calibration!$D$18))</f>
        <v>0.82813167326562143</v>
      </c>
      <c r="U149" s="286">
        <f t="shared" si="5"/>
        <v>2917.9769630303572</v>
      </c>
      <c r="V149" s="286">
        <f>VLOOKUP(T149,Calibration!$D$17:$E$22,2,FALSE)*S149</f>
        <v>550.74363794555802</v>
      </c>
      <c r="W149" t="s">
        <v>764</v>
      </c>
      <c r="X149">
        <v>290.641097</v>
      </c>
      <c r="Y149">
        <v>1843.627669</v>
      </c>
    </row>
    <row r="150" spans="1:25">
      <c r="A150" s="277" t="str">
        <f>SEEMoutput!A152</f>
        <v>NWHZ1CZ2_1568n_20gshp_des1</v>
      </c>
      <c r="B150" s="286">
        <f>SEEMoutput!O152</f>
        <v>2679.8694479999999</v>
      </c>
      <c r="C150" s="287">
        <v>7.8436461194743332E-2</v>
      </c>
      <c r="D150" s="277">
        <f>IF(SEEMoutput!G152&lt;6000,1,IF(SEEMoutput!G152&lt;7500,2,3))</f>
        <v>1</v>
      </c>
      <c r="E150" s="277" t="str">
        <f>IF(LEFT(SEEMoutput!BE152,1)="F","FUR",IF(LEFT(SEEMoutput!BE152,1)="D","DHP","HP"))</f>
        <v>HP</v>
      </c>
      <c r="F150" s="288">
        <f>SEEMoutput!E152</f>
        <v>339.39983799999999</v>
      </c>
      <c r="G150" s="289">
        <f>F150*(69-30)*SEEMoutput!N152/SEEMoutput!M152</f>
        <v>14859.900917267621</v>
      </c>
      <c r="H150" s="290">
        <f>'(Tons) (Furnsize)'!$F$52+'(Tons) (Furnsize)'!$F$53*'(Tons) (Furnsize)'!$B$15+'(Tons) (Furnsize)'!$F$54*G150</f>
        <v>1.8040553601134532</v>
      </c>
      <c r="I150" s="290">
        <f>H150/'(Tons) (Furnsize)'!$G$7</f>
        <v>1.4953036482686326</v>
      </c>
      <c r="J150" s="291">
        <f>F150*(69-VLOOKUP(D150,'(Tons) (Furnsize)'!$D$15:$E$17,2,FALSE))/3412</f>
        <v>5.1725649402110196</v>
      </c>
      <c r="K150" s="292">
        <f>INDEX(Calibration!$A$4:$L$13,MATCH($D150&amp;$E150,Calibration!$A$4:$A$13,0),MATCH(K$4,Calibration!$A$4:$L$4,0))</f>
        <v>0.2</v>
      </c>
      <c r="L150" s="292">
        <f>INDEX(Calibration!$A$4:$L$13,MATCH($D150&amp;$E150,Calibration!$A$4:$A$13,0),MATCH(L$4,Calibration!$A$4:$L$4,0))</f>
        <v>1.3869915874526988</v>
      </c>
      <c r="M150" s="292">
        <f>INDEX(Calibration!$A$4:$L$13,MATCH($D150&amp;$E150,Calibration!$A$4:$A$13,0),MATCH(M$4,Calibration!$A$4:$L$4,0))</f>
        <v>-2.2641144651923684</v>
      </c>
      <c r="N150" s="292">
        <f>INDEX(Calibration!$A$4:$L$13,MATCH($D150&amp;$E150,Calibration!$A$4:$A$13,0),MATCH(N$4,Calibration!$A$4:$L$4,0))</f>
        <v>1.5001973107123172</v>
      </c>
      <c r="O150" s="292">
        <f>INDEX(Calibration!$A$4:$L$13,MATCH($D150&amp;$E150,Calibration!$A$4:$A$13,0),MATCH(O$4,Calibration!$A$4:$L$4,0))</f>
        <v>-4.5282289303847367</v>
      </c>
      <c r="P150" s="292">
        <f>INDEX(Calibration!$A$4:$L$13,MATCH($D150&amp;$E150,Calibration!$A$4:$A$13,0),MATCH(P$4,Calibration!$A$4:$L$4,0))</f>
        <v>1.6700058956017449</v>
      </c>
      <c r="Q150" s="292">
        <f>INDEX(Calibration!$A$4:$L$13,MATCH($D150&amp;$E150,Calibration!$A$4:$A$13,0),MATCH(Q$4,Calibration!$A$4:$L$4,0))</f>
        <v>0.7643601095247976</v>
      </c>
      <c r="R150" s="293">
        <f>IF(C150&lt;Calibration!$F$5,L150,IF(C150&lt;Calibration!$E$5,C150*M150+N150,IF(C150&lt;K150,C150*O150+P150,Q150)))</f>
        <v>1.3148276428227084</v>
      </c>
      <c r="S150" s="286">
        <f t="shared" si="4"/>
        <v>3523.5664293864324</v>
      </c>
      <c r="T150" s="293">
        <f>IF(E150="DHP",VLOOKUP(D150,Calibration!$C$20:$E$22,2,FALSE),IF(D150=1,Calibration!$D$17,Calibration!$D$18))</f>
        <v>0.82813167326562143</v>
      </c>
      <c r="U150" s="286">
        <f t="shared" si="5"/>
        <v>2917.9769630303572</v>
      </c>
      <c r="V150" s="286">
        <f>VLOOKUP(T150,Calibration!$D$17:$E$22,2,FALSE)*S150</f>
        <v>550.74363794555802</v>
      </c>
      <c r="W150" t="s">
        <v>767</v>
      </c>
      <c r="X150">
        <v>495.13447600000001</v>
      </c>
      <c r="Y150">
        <v>1843.627669</v>
      </c>
    </row>
    <row r="151" spans="1:25">
      <c r="A151" s="277" t="str">
        <f>SEEMoutput!A153</f>
        <v>NWHZ1CZ3_1568n_20gshp_des1</v>
      </c>
      <c r="B151" s="286">
        <f>SEEMoutput!O153</f>
        <v>2679.8694479999999</v>
      </c>
      <c r="C151" s="287">
        <v>7.8436461194743332E-2</v>
      </c>
      <c r="D151" s="277">
        <f>IF(SEEMoutput!G153&lt;6000,1,IF(SEEMoutput!G153&lt;7500,2,3))</f>
        <v>1</v>
      </c>
      <c r="E151" s="277" t="str">
        <f>IF(LEFT(SEEMoutput!BE153,1)="F","FUR",IF(LEFT(SEEMoutput!BE153,1)="D","DHP","HP"))</f>
        <v>HP</v>
      </c>
      <c r="F151" s="288">
        <f>SEEMoutput!E153</f>
        <v>339.39983799999999</v>
      </c>
      <c r="G151" s="289">
        <f>F151*(69-30)*SEEMoutput!N153/SEEMoutput!M153</f>
        <v>14859.900917267621</v>
      </c>
      <c r="H151" s="290">
        <f>'(Tons) (Furnsize)'!$F$52+'(Tons) (Furnsize)'!$F$53*'(Tons) (Furnsize)'!$B$15+'(Tons) (Furnsize)'!$F$54*G151</f>
        <v>1.8040553601134532</v>
      </c>
      <c r="I151" s="290">
        <f>H151/'(Tons) (Furnsize)'!$G$7</f>
        <v>1.4953036482686326</v>
      </c>
      <c r="J151" s="291">
        <f>F151*(69-VLOOKUP(D151,'(Tons) (Furnsize)'!$D$15:$E$17,2,FALSE))/3412</f>
        <v>5.1725649402110196</v>
      </c>
      <c r="K151" s="292">
        <f>INDEX(Calibration!$A$4:$L$13,MATCH($D151&amp;$E151,Calibration!$A$4:$A$13,0),MATCH(K$4,Calibration!$A$4:$L$4,0))</f>
        <v>0.2</v>
      </c>
      <c r="L151" s="292">
        <f>INDEX(Calibration!$A$4:$L$13,MATCH($D151&amp;$E151,Calibration!$A$4:$A$13,0),MATCH(L$4,Calibration!$A$4:$L$4,0))</f>
        <v>1.3869915874526988</v>
      </c>
      <c r="M151" s="292">
        <f>INDEX(Calibration!$A$4:$L$13,MATCH($D151&amp;$E151,Calibration!$A$4:$A$13,0),MATCH(M$4,Calibration!$A$4:$L$4,0))</f>
        <v>-2.2641144651923684</v>
      </c>
      <c r="N151" s="292">
        <f>INDEX(Calibration!$A$4:$L$13,MATCH($D151&amp;$E151,Calibration!$A$4:$A$13,0),MATCH(N$4,Calibration!$A$4:$L$4,0))</f>
        <v>1.5001973107123172</v>
      </c>
      <c r="O151" s="292">
        <f>INDEX(Calibration!$A$4:$L$13,MATCH($D151&amp;$E151,Calibration!$A$4:$A$13,0),MATCH(O$4,Calibration!$A$4:$L$4,0))</f>
        <v>-4.5282289303847367</v>
      </c>
      <c r="P151" s="292">
        <f>INDEX(Calibration!$A$4:$L$13,MATCH($D151&amp;$E151,Calibration!$A$4:$A$13,0),MATCH(P$4,Calibration!$A$4:$L$4,0))</f>
        <v>1.6700058956017449</v>
      </c>
      <c r="Q151" s="292">
        <f>INDEX(Calibration!$A$4:$L$13,MATCH($D151&amp;$E151,Calibration!$A$4:$A$13,0),MATCH(Q$4,Calibration!$A$4:$L$4,0))</f>
        <v>0.7643601095247976</v>
      </c>
      <c r="R151" s="293">
        <f>IF(C151&lt;Calibration!$F$5,L151,IF(C151&lt;Calibration!$E$5,C151*M151+N151,IF(C151&lt;K151,C151*O151+P151,Q151)))</f>
        <v>1.3148276428227084</v>
      </c>
      <c r="S151" s="286">
        <f t="shared" si="4"/>
        <v>3523.5664293864324</v>
      </c>
      <c r="T151" s="293">
        <f>IF(E151="DHP",VLOOKUP(D151,Calibration!$C$20:$E$22,2,FALSE),IF(D151=1,Calibration!$D$17,Calibration!$D$18))</f>
        <v>0.82813167326562143</v>
      </c>
      <c r="U151" s="286">
        <f t="shared" si="5"/>
        <v>2917.9769630303572</v>
      </c>
      <c r="V151" s="286">
        <f>VLOOKUP(T151,Calibration!$D$17:$E$22,2,FALSE)*S151</f>
        <v>550.74363794555802</v>
      </c>
      <c r="W151" t="s">
        <v>770</v>
      </c>
      <c r="X151">
        <v>735.77215899999999</v>
      </c>
      <c r="Y151">
        <v>1843.627669</v>
      </c>
    </row>
    <row r="152" spans="1:25">
      <c r="A152" s="277" t="str">
        <f>SEEMoutput!A154</f>
        <v>WxHZ1CZ1_1568e_20gshp_des1</v>
      </c>
      <c r="B152" s="286">
        <f>SEEMoutput!O154</f>
        <v>3110.4661940000001</v>
      </c>
      <c r="C152" s="287">
        <v>8.8631666222025549E-2</v>
      </c>
      <c r="D152" s="277">
        <f>IF(SEEMoutput!G154&lt;6000,1,IF(SEEMoutput!G154&lt;7500,2,3))</f>
        <v>1</v>
      </c>
      <c r="E152" s="277" t="str">
        <f>IF(LEFT(SEEMoutput!BE154,1)="F","FUR",IF(LEFT(SEEMoutput!BE154,1)="D","DHP","HP"))</f>
        <v>HP</v>
      </c>
      <c r="F152" s="288">
        <f>SEEMoutput!E154</f>
        <v>378.43549400000001</v>
      </c>
      <c r="G152" s="289">
        <f>F152*(69-30)*SEEMoutput!N154/SEEMoutput!M154</f>
        <v>16538.987815001419</v>
      </c>
      <c r="H152" s="290">
        <f>'(Tons) (Furnsize)'!$F$52+'(Tons) (Furnsize)'!$F$53*'(Tons) (Furnsize)'!$B$15+'(Tons) (Furnsize)'!$F$54*G152</f>
        <v>2.0011976164355127</v>
      </c>
      <c r="I152" s="290">
        <f>H152/'(Tons) (Furnsize)'!$G$7</f>
        <v>1.6587063584203581</v>
      </c>
      <c r="J152" s="291">
        <f>F152*(69-VLOOKUP(D152,'(Tons) (Furnsize)'!$D$15:$E$17,2,FALSE))/3412</f>
        <v>5.7674811512309496</v>
      </c>
      <c r="K152" s="292">
        <f>INDEX(Calibration!$A$4:$L$13,MATCH($D152&amp;$E152,Calibration!$A$4:$A$13,0),MATCH(K$4,Calibration!$A$4:$L$4,0))</f>
        <v>0.2</v>
      </c>
      <c r="L152" s="292">
        <f>INDEX(Calibration!$A$4:$L$13,MATCH($D152&amp;$E152,Calibration!$A$4:$A$13,0),MATCH(L$4,Calibration!$A$4:$L$4,0))</f>
        <v>1.3869915874526988</v>
      </c>
      <c r="M152" s="292">
        <f>INDEX(Calibration!$A$4:$L$13,MATCH($D152&amp;$E152,Calibration!$A$4:$A$13,0),MATCH(M$4,Calibration!$A$4:$L$4,0))</f>
        <v>-2.2641144651923684</v>
      </c>
      <c r="N152" s="292">
        <f>INDEX(Calibration!$A$4:$L$13,MATCH($D152&amp;$E152,Calibration!$A$4:$A$13,0),MATCH(N$4,Calibration!$A$4:$L$4,0))</f>
        <v>1.5001973107123172</v>
      </c>
      <c r="O152" s="292">
        <f>INDEX(Calibration!$A$4:$L$13,MATCH($D152&amp;$E152,Calibration!$A$4:$A$13,0),MATCH(O$4,Calibration!$A$4:$L$4,0))</f>
        <v>-4.5282289303847367</v>
      </c>
      <c r="P152" s="292">
        <f>INDEX(Calibration!$A$4:$L$13,MATCH($D152&amp;$E152,Calibration!$A$4:$A$13,0),MATCH(P$4,Calibration!$A$4:$L$4,0))</f>
        <v>1.6700058956017449</v>
      </c>
      <c r="Q152" s="292">
        <f>INDEX(Calibration!$A$4:$L$13,MATCH($D152&amp;$E152,Calibration!$A$4:$A$13,0),MATCH(Q$4,Calibration!$A$4:$L$4,0))</f>
        <v>0.7643601095247976</v>
      </c>
      <c r="R152" s="293">
        <f>IF(C152&lt;Calibration!$F$5,L152,IF(C152&lt;Calibration!$E$5,C152*M152+N152,IF(C152&lt;K152,C152*O152+P152,Q152)))</f>
        <v>1.2686614204669651</v>
      </c>
      <c r="S152" s="286">
        <f t="shared" si="4"/>
        <v>3946.1284599945147</v>
      </c>
      <c r="T152" s="293">
        <f>IF(E152="DHP",VLOOKUP(D152,Calibration!$C$20:$E$22,2,FALSE),IF(D152=1,Calibration!$D$17,Calibration!$D$18))</f>
        <v>0.82813167326562143</v>
      </c>
      <c r="U152" s="286">
        <f t="shared" si="5"/>
        <v>3267.9139644963475</v>
      </c>
      <c r="V152" s="286">
        <f>VLOOKUP(T152,Calibration!$D$17:$E$22,2,FALSE)*S152</f>
        <v>616.79130716327222</v>
      </c>
      <c r="W152" t="s">
        <v>764</v>
      </c>
      <c r="X152">
        <v>266.89881100000002</v>
      </c>
      <c r="Y152">
        <v>2075.1822280000001</v>
      </c>
    </row>
    <row r="153" spans="1:25">
      <c r="A153" s="277" t="str">
        <f>SEEMoutput!A155</f>
        <v>WxHZ1CZ2_1568e_20gshp_des1</v>
      </c>
      <c r="B153" s="286">
        <f>SEEMoutput!O155</f>
        <v>3110.4661940000001</v>
      </c>
      <c r="C153" s="287">
        <v>8.8631666222025549E-2</v>
      </c>
      <c r="D153" s="277">
        <f>IF(SEEMoutput!G155&lt;6000,1,IF(SEEMoutput!G155&lt;7500,2,3))</f>
        <v>1</v>
      </c>
      <c r="E153" s="277" t="str">
        <f>IF(LEFT(SEEMoutput!BE155,1)="F","FUR",IF(LEFT(SEEMoutput!BE155,1)="D","DHP","HP"))</f>
        <v>HP</v>
      </c>
      <c r="F153" s="288">
        <f>SEEMoutput!E155</f>
        <v>378.43549400000001</v>
      </c>
      <c r="G153" s="289">
        <f>F153*(69-30)*SEEMoutput!N155/SEEMoutput!M155</f>
        <v>16538.987815001419</v>
      </c>
      <c r="H153" s="290">
        <f>'(Tons) (Furnsize)'!$F$52+'(Tons) (Furnsize)'!$F$53*'(Tons) (Furnsize)'!$B$15+'(Tons) (Furnsize)'!$F$54*G153</f>
        <v>2.0011976164355127</v>
      </c>
      <c r="I153" s="290">
        <f>H153/'(Tons) (Furnsize)'!$G$7</f>
        <v>1.6587063584203581</v>
      </c>
      <c r="J153" s="291">
        <f>F153*(69-VLOOKUP(D153,'(Tons) (Furnsize)'!$D$15:$E$17,2,FALSE))/3412</f>
        <v>5.7674811512309496</v>
      </c>
      <c r="K153" s="292">
        <f>INDEX(Calibration!$A$4:$L$13,MATCH($D153&amp;$E153,Calibration!$A$4:$A$13,0),MATCH(K$4,Calibration!$A$4:$L$4,0))</f>
        <v>0.2</v>
      </c>
      <c r="L153" s="292">
        <f>INDEX(Calibration!$A$4:$L$13,MATCH($D153&amp;$E153,Calibration!$A$4:$A$13,0),MATCH(L$4,Calibration!$A$4:$L$4,0))</f>
        <v>1.3869915874526988</v>
      </c>
      <c r="M153" s="292">
        <f>INDEX(Calibration!$A$4:$L$13,MATCH($D153&amp;$E153,Calibration!$A$4:$A$13,0),MATCH(M$4,Calibration!$A$4:$L$4,0))</f>
        <v>-2.2641144651923684</v>
      </c>
      <c r="N153" s="292">
        <f>INDEX(Calibration!$A$4:$L$13,MATCH($D153&amp;$E153,Calibration!$A$4:$A$13,0),MATCH(N$4,Calibration!$A$4:$L$4,0))</f>
        <v>1.5001973107123172</v>
      </c>
      <c r="O153" s="292">
        <f>INDEX(Calibration!$A$4:$L$13,MATCH($D153&amp;$E153,Calibration!$A$4:$A$13,0),MATCH(O$4,Calibration!$A$4:$L$4,0))</f>
        <v>-4.5282289303847367</v>
      </c>
      <c r="P153" s="292">
        <f>INDEX(Calibration!$A$4:$L$13,MATCH($D153&amp;$E153,Calibration!$A$4:$A$13,0),MATCH(P$4,Calibration!$A$4:$L$4,0))</f>
        <v>1.6700058956017449</v>
      </c>
      <c r="Q153" s="292">
        <f>INDEX(Calibration!$A$4:$L$13,MATCH($D153&amp;$E153,Calibration!$A$4:$A$13,0),MATCH(Q$4,Calibration!$A$4:$L$4,0))</f>
        <v>0.7643601095247976</v>
      </c>
      <c r="R153" s="293">
        <f>IF(C153&lt;Calibration!$F$5,L153,IF(C153&lt;Calibration!$E$5,C153*M153+N153,IF(C153&lt;K153,C153*O153+P153,Q153)))</f>
        <v>1.2686614204669651</v>
      </c>
      <c r="S153" s="286">
        <f t="shared" si="4"/>
        <v>3946.1284599945147</v>
      </c>
      <c r="T153" s="293">
        <f>IF(E153="DHP",VLOOKUP(D153,Calibration!$C$20:$E$22,2,FALSE),IF(D153=1,Calibration!$D$17,Calibration!$D$18))</f>
        <v>0.82813167326562143</v>
      </c>
      <c r="U153" s="286">
        <f t="shared" si="5"/>
        <v>3267.9139644963475</v>
      </c>
      <c r="V153" s="286">
        <f>VLOOKUP(T153,Calibration!$D$17:$E$22,2,FALSE)*S153</f>
        <v>616.79130716327222</v>
      </c>
      <c r="W153" t="s">
        <v>767</v>
      </c>
      <c r="X153">
        <v>478.64828899999998</v>
      </c>
      <c r="Y153">
        <v>2075.1822280000001</v>
      </c>
    </row>
    <row r="154" spans="1:25">
      <c r="A154" s="277" t="str">
        <f>SEEMoutput!A156</f>
        <v>WxHZ1CZ3_1568e_20gshp_des1</v>
      </c>
      <c r="B154" s="286">
        <f>SEEMoutput!O156</f>
        <v>3110.4661940000001</v>
      </c>
      <c r="C154" s="287">
        <v>8.8631666222025549E-2</v>
      </c>
      <c r="D154" s="277">
        <f>IF(SEEMoutput!G156&lt;6000,1,IF(SEEMoutput!G156&lt;7500,2,3))</f>
        <v>1</v>
      </c>
      <c r="E154" s="277" t="str">
        <f>IF(LEFT(SEEMoutput!BE156,1)="F","FUR",IF(LEFT(SEEMoutput!BE156,1)="D","DHP","HP"))</f>
        <v>HP</v>
      </c>
      <c r="F154" s="288">
        <f>SEEMoutput!E156</f>
        <v>378.43549400000001</v>
      </c>
      <c r="G154" s="289">
        <f>F154*(69-30)*SEEMoutput!N156/SEEMoutput!M156</f>
        <v>16538.987815001419</v>
      </c>
      <c r="H154" s="290">
        <f>'(Tons) (Furnsize)'!$F$52+'(Tons) (Furnsize)'!$F$53*'(Tons) (Furnsize)'!$B$15+'(Tons) (Furnsize)'!$F$54*G154</f>
        <v>2.0011976164355127</v>
      </c>
      <c r="I154" s="290">
        <f>H154/'(Tons) (Furnsize)'!$G$7</f>
        <v>1.6587063584203581</v>
      </c>
      <c r="J154" s="291">
        <f>F154*(69-VLOOKUP(D154,'(Tons) (Furnsize)'!$D$15:$E$17,2,FALSE))/3412</f>
        <v>5.7674811512309496</v>
      </c>
      <c r="K154" s="292">
        <f>INDEX(Calibration!$A$4:$L$13,MATCH($D154&amp;$E154,Calibration!$A$4:$A$13,0),MATCH(K$4,Calibration!$A$4:$L$4,0))</f>
        <v>0.2</v>
      </c>
      <c r="L154" s="292">
        <f>INDEX(Calibration!$A$4:$L$13,MATCH($D154&amp;$E154,Calibration!$A$4:$A$13,0),MATCH(L$4,Calibration!$A$4:$L$4,0))</f>
        <v>1.3869915874526988</v>
      </c>
      <c r="M154" s="292">
        <f>INDEX(Calibration!$A$4:$L$13,MATCH($D154&amp;$E154,Calibration!$A$4:$A$13,0),MATCH(M$4,Calibration!$A$4:$L$4,0))</f>
        <v>-2.2641144651923684</v>
      </c>
      <c r="N154" s="292">
        <f>INDEX(Calibration!$A$4:$L$13,MATCH($D154&amp;$E154,Calibration!$A$4:$A$13,0),MATCH(N$4,Calibration!$A$4:$L$4,0))</f>
        <v>1.5001973107123172</v>
      </c>
      <c r="O154" s="292">
        <f>INDEX(Calibration!$A$4:$L$13,MATCH($D154&amp;$E154,Calibration!$A$4:$A$13,0),MATCH(O$4,Calibration!$A$4:$L$4,0))</f>
        <v>-4.5282289303847367</v>
      </c>
      <c r="P154" s="292">
        <f>INDEX(Calibration!$A$4:$L$13,MATCH($D154&amp;$E154,Calibration!$A$4:$A$13,0),MATCH(P$4,Calibration!$A$4:$L$4,0))</f>
        <v>1.6700058956017449</v>
      </c>
      <c r="Q154" s="292">
        <f>INDEX(Calibration!$A$4:$L$13,MATCH($D154&amp;$E154,Calibration!$A$4:$A$13,0),MATCH(Q$4,Calibration!$A$4:$L$4,0))</f>
        <v>0.7643601095247976</v>
      </c>
      <c r="R154" s="293">
        <f>IF(C154&lt;Calibration!$F$5,L154,IF(C154&lt;Calibration!$E$5,C154*M154+N154,IF(C154&lt;K154,C154*O154+P154,Q154)))</f>
        <v>1.2686614204669651</v>
      </c>
      <c r="S154" s="286">
        <f t="shared" si="4"/>
        <v>3946.1284599945147</v>
      </c>
      <c r="T154" s="293">
        <f>IF(E154="DHP",VLOOKUP(D154,Calibration!$C$20:$E$22,2,FALSE),IF(D154=1,Calibration!$D$17,Calibration!$D$18))</f>
        <v>0.82813167326562143</v>
      </c>
      <c r="U154" s="286">
        <f t="shared" si="5"/>
        <v>3267.9139644963475</v>
      </c>
      <c r="V154" s="286">
        <f>VLOOKUP(T154,Calibration!$D$17:$E$22,2,FALSE)*S154</f>
        <v>616.79130716327222</v>
      </c>
      <c r="W154" t="s">
        <v>770</v>
      </c>
      <c r="X154">
        <v>730.41414699999996</v>
      </c>
      <c r="Y154">
        <v>2075.1822280000001</v>
      </c>
    </row>
    <row r="155" spans="1:25">
      <c r="A155" s="277" t="str">
        <f>SEEMoutput!A157</f>
        <v>NWHZ2CZ1_1568n_20gshp_des1</v>
      </c>
      <c r="B155" s="286">
        <f>SEEMoutput!O157</f>
        <v>3987.217733</v>
      </c>
      <c r="C155" s="287">
        <v>7.9812806110773862E-2</v>
      </c>
      <c r="D155" s="277">
        <f>IF(SEEMoutput!G157&lt;6000,1,IF(SEEMoutput!G157&lt;7500,2,3))</f>
        <v>2</v>
      </c>
      <c r="E155" s="277" t="str">
        <f>IF(LEFT(SEEMoutput!BE157,1)="F","FUR",IF(LEFT(SEEMoutput!BE157,1)="D","DHP","HP"))</f>
        <v>HP</v>
      </c>
      <c r="F155" s="288">
        <f>SEEMoutput!E157</f>
        <v>341.996756</v>
      </c>
      <c r="G155" s="289">
        <f>F155*(69-30)*SEEMoutput!N157/SEEMoutput!M157</f>
        <v>15094.893368810455</v>
      </c>
      <c r="H155" s="290">
        <f>'(Tons) (Furnsize)'!$F$52+'(Tons) (Furnsize)'!$F$53*'(Tons) (Furnsize)'!$B$15+'(Tons) (Furnsize)'!$F$54*G155</f>
        <v>1.8316459167298689</v>
      </c>
      <c r="I155" s="290">
        <f>H155/'(Tons) (Furnsize)'!$G$7</f>
        <v>1.5181722701958964</v>
      </c>
      <c r="J155" s="291">
        <f>F155*(69-VLOOKUP(D155,'(Tons) (Furnsize)'!$D$15:$E$17,2,FALSE))/3412</f>
        <v>6.9161125920281359</v>
      </c>
      <c r="K155" s="292">
        <f>INDEX(Calibration!$A$4:$L$13,MATCH($D155&amp;$E155,Calibration!$A$4:$A$13,0),MATCH(K$4,Calibration!$A$4:$L$4,0))</f>
        <v>0.17499999999999999</v>
      </c>
      <c r="L155" s="292">
        <f>INDEX(Calibration!$A$4:$L$13,MATCH($D155&amp;$E155,Calibration!$A$4:$A$13,0),MATCH(L$4,Calibration!$A$4:$L$4,0))</f>
        <v>1.1965160377936901</v>
      </c>
      <c r="M155" s="292">
        <f>INDEX(Calibration!$A$4:$L$13,MATCH($D155&amp;$E155,Calibration!$A$4:$A$13,0),MATCH(M$4,Calibration!$A$4:$L$4,0))</f>
        <v>-2.050167690250368</v>
      </c>
      <c r="N155" s="292">
        <f>INDEX(Calibration!$A$4:$L$13,MATCH($D155&amp;$E155,Calibration!$A$4:$A$13,0),MATCH(N$4,Calibration!$A$4:$L$4,0))</f>
        <v>1.2990244223062084</v>
      </c>
      <c r="O155" s="292">
        <f>INDEX(Calibration!$A$4:$L$13,MATCH($D155&amp;$E155,Calibration!$A$4:$A$13,0),MATCH(O$4,Calibration!$A$4:$L$4,0))</f>
        <v>-4.1003353805007361</v>
      </c>
      <c r="P155" s="292">
        <f>INDEX(Calibration!$A$4:$L$13,MATCH($D155&amp;$E155,Calibration!$A$4:$A$13,0),MATCH(P$4,Calibration!$A$4:$L$4,0))</f>
        <v>1.452786999074986</v>
      </c>
      <c r="Q155" s="292">
        <f>INDEX(Calibration!$A$4:$L$13,MATCH($D155&amp;$E155,Calibration!$A$4:$A$13,0),MATCH(Q$4,Calibration!$A$4:$L$4,0))</f>
        <v>0.73522830748735724</v>
      </c>
      <c r="R155" s="293">
        <f>IF(C155&lt;Calibration!$F$5,L155,IF(C155&lt;Calibration!$E$5,C155*M155+N155,IF(C155&lt;K155,C155*O155+P155,Q155)))</f>
        <v>1.1255277263619345</v>
      </c>
      <c r="S155" s="286">
        <f t="shared" si="4"/>
        <v>4487.7241095334766</v>
      </c>
      <c r="T155" s="293">
        <f>IF(E155="DHP",VLOOKUP(D155,Calibration!$C$20:$E$22,2,FALSE),IF(D155=1,Calibration!$D$17,Calibration!$D$18))</f>
        <v>0.85917762533929642</v>
      </c>
      <c r="U155" s="286">
        <f t="shared" si="5"/>
        <v>3855.752143606881</v>
      </c>
      <c r="V155" s="286">
        <f>VLOOKUP(T155,Calibration!$D$17:$E$22,2,FALSE)*S155</f>
        <v>554.53867575148456</v>
      </c>
      <c r="W155" t="s">
        <v>779</v>
      </c>
      <c r="X155">
        <v>290.641097</v>
      </c>
      <c r="Y155">
        <v>2578.0656220000001</v>
      </c>
    </row>
    <row r="156" spans="1:25">
      <c r="A156" s="277" t="str">
        <f>SEEMoutput!A158</f>
        <v>NWHZ2CZ2_1568n_20gshp_des1</v>
      </c>
      <c r="B156" s="286">
        <f>SEEMoutput!O158</f>
        <v>3987.217733</v>
      </c>
      <c r="C156" s="287">
        <v>7.9812806110773862E-2</v>
      </c>
      <c r="D156" s="277">
        <f>IF(SEEMoutput!G158&lt;6000,1,IF(SEEMoutput!G158&lt;7500,2,3))</f>
        <v>2</v>
      </c>
      <c r="E156" s="277" t="str">
        <f>IF(LEFT(SEEMoutput!BE158,1)="F","FUR",IF(LEFT(SEEMoutput!BE158,1)="D","DHP","HP"))</f>
        <v>HP</v>
      </c>
      <c r="F156" s="288">
        <f>SEEMoutput!E158</f>
        <v>341.996756</v>
      </c>
      <c r="G156" s="289">
        <f>F156*(69-30)*SEEMoutput!N158/SEEMoutput!M158</f>
        <v>15094.893368810455</v>
      </c>
      <c r="H156" s="290">
        <f>'(Tons) (Furnsize)'!$F$52+'(Tons) (Furnsize)'!$F$53*'(Tons) (Furnsize)'!$B$15+'(Tons) (Furnsize)'!$F$54*G156</f>
        <v>1.8316459167298689</v>
      </c>
      <c r="I156" s="290">
        <f>H156/'(Tons) (Furnsize)'!$G$7</f>
        <v>1.5181722701958964</v>
      </c>
      <c r="J156" s="291">
        <f>F156*(69-VLOOKUP(D156,'(Tons) (Furnsize)'!$D$15:$E$17,2,FALSE))/3412</f>
        <v>6.9161125920281359</v>
      </c>
      <c r="K156" s="292">
        <f>INDEX(Calibration!$A$4:$L$13,MATCH($D156&amp;$E156,Calibration!$A$4:$A$13,0),MATCH(K$4,Calibration!$A$4:$L$4,0))</f>
        <v>0.17499999999999999</v>
      </c>
      <c r="L156" s="292">
        <f>INDEX(Calibration!$A$4:$L$13,MATCH($D156&amp;$E156,Calibration!$A$4:$A$13,0),MATCH(L$4,Calibration!$A$4:$L$4,0))</f>
        <v>1.1965160377936901</v>
      </c>
      <c r="M156" s="292">
        <f>INDEX(Calibration!$A$4:$L$13,MATCH($D156&amp;$E156,Calibration!$A$4:$A$13,0),MATCH(M$4,Calibration!$A$4:$L$4,0))</f>
        <v>-2.050167690250368</v>
      </c>
      <c r="N156" s="292">
        <f>INDEX(Calibration!$A$4:$L$13,MATCH($D156&amp;$E156,Calibration!$A$4:$A$13,0),MATCH(N$4,Calibration!$A$4:$L$4,0))</f>
        <v>1.2990244223062084</v>
      </c>
      <c r="O156" s="292">
        <f>INDEX(Calibration!$A$4:$L$13,MATCH($D156&amp;$E156,Calibration!$A$4:$A$13,0),MATCH(O$4,Calibration!$A$4:$L$4,0))</f>
        <v>-4.1003353805007361</v>
      </c>
      <c r="P156" s="292">
        <f>INDEX(Calibration!$A$4:$L$13,MATCH($D156&amp;$E156,Calibration!$A$4:$A$13,0),MATCH(P$4,Calibration!$A$4:$L$4,0))</f>
        <v>1.452786999074986</v>
      </c>
      <c r="Q156" s="292">
        <f>INDEX(Calibration!$A$4:$L$13,MATCH($D156&amp;$E156,Calibration!$A$4:$A$13,0),MATCH(Q$4,Calibration!$A$4:$L$4,0))</f>
        <v>0.73522830748735724</v>
      </c>
      <c r="R156" s="293">
        <f>IF(C156&lt;Calibration!$F$5,L156,IF(C156&lt;Calibration!$E$5,C156*M156+N156,IF(C156&lt;K156,C156*O156+P156,Q156)))</f>
        <v>1.1255277263619345</v>
      </c>
      <c r="S156" s="286">
        <f t="shared" si="4"/>
        <v>4487.7241095334766</v>
      </c>
      <c r="T156" s="293">
        <f>IF(E156="DHP",VLOOKUP(D156,Calibration!$C$20:$E$22,2,FALSE),IF(D156=1,Calibration!$D$17,Calibration!$D$18))</f>
        <v>0.85917762533929642</v>
      </c>
      <c r="U156" s="286">
        <f t="shared" si="5"/>
        <v>3855.752143606881</v>
      </c>
      <c r="V156" s="286">
        <f>VLOOKUP(T156,Calibration!$D$17:$E$22,2,FALSE)*S156</f>
        <v>554.53867575148456</v>
      </c>
      <c r="W156" t="s">
        <v>782</v>
      </c>
      <c r="X156">
        <v>495.13447600000001</v>
      </c>
      <c r="Y156">
        <v>2578.0656220000001</v>
      </c>
    </row>
    <row r="157" spans="1:25">
      <c r="A157" s="277" t="str">
        <f>SEEMoutput!A159</f>
        <v>NWHZ2CZ3_1568n_20gshp_des1</v>
      </c>
      <c r="B157" s="286">
        <f>SEEMoutput!O159</f>
        <v>3987.217733</v>
      </c>
      <c r="C157" s="287">
        <v>7.9812806110773862E-2</v>
      </c>
      <c r="D157" s="277">
        <f>IF(SEEMoutput!G159&lt;6000,1,IF(SEEMoutput!G159&lt;7500,2,3))</f>
        <v>2</v>
      </c>
      <c r="E157" s="277" t="str">
        <f>IF(LEFT(SEEMoutput!BE159,1)="F","FUR",IF(LEFT(SEEMoutput!BE159,1)="D","DHP","HP"))</f>
        <v>HP</v>
      </c>
      <c r="F157" s="288">
        <f>SEEMoutput!E159</f>
        <v>341.996756</v>
      </c>
      <c r="G157" s="289">
        <f>F157*(69-30)*SEEMoutput!N159/SEEMoutput!M159</f>
        <v>15094.893368810455</v>
      </c>
      <c r="H157" s="290">
        <f>'(Tons) (Furnsize)'!$F$52+'(Tons) (Furnsize)'!$F$53*'(Tons) (Furnsize)'!$B$15+'(Tons) (Furnsize)'!$F$54*G157</f>
        <v>1.8316459167298689</v>
      </c>
      <c r="I157" s="290">
        <f>H157/'(Tons) (Furnsize)'!$G$7</f>
        <v>1.5181722701958964</v>
      </c>
      <c r="J157" s="291">
        <f>F157*(69-VLOOKUP(D157,'(Tons) (Furnsize)'!$D$15:$E$17,2,FALSE))/3412</f>
        <v>6.9161125920281359</v>
      </c>
      <c r="K157" s="292">
        <f>INDEX(Calibration!$A$4:$L$13,MATCH($D157&amp;$E157,Calibration!$A$4:$A$13,0),MATCH(K$4,Calibration!$A$4:$L$4,0))</f>
        <v>0.17499999999999999</v>
      </c>
      <c r="L157" s="292">
        <f>INDEX(Calibration!$A$4:$L$13,MATCH($D157&amp;$E157,Calibration!$A$4:$A$13,0),MATCH(L$4,Calibration!$A$4:$L$4,0))</f>
        <v>1.1965160377936901</v>
      </c>
      <c r="M157" s="292">
        <f>INDEX(Calibration!$A$4:$L$13,MATCH($D157&amp;$E157,Calibration!$A$4:$A$13,0),MATCH(M$4,Calibration!$A$4:$L$4,0))</f>
        <v>-2.050167690250368</v>
      </c>
      <c r="N157" s="292">
        <f>INDEX(Calibration!$A$4:$L$13,MATCH($D157&amp;$E157,Calibration!$A$4:$A$13,0),MATCH(N$4,Calibration!$A$4:$L$4,0))</f>
        <v>1.2990244223062084</v>
      </c>
      <c r="O157" s="292">
        <f>INDEX(Calibration!$A$4:$L$13,MATCH($D157&amp;$E157,Calibration!$A$4:$A$13,0),MATCH(O$4,Calibration!$A$4:$L$4,0))</f>
        <v>-4.1003353805007361</v>
      </c>
      <c r="P157" s="292">
        <f>INDEX(Calibration!$A$4:$L$13,MATCH($D157&amp;$E157,Calibration!$A$4:$A$13,0),MATCH(P$4,Calibration!$A$4:$L$4,0))</f>
        <v>1.452786999074986</v>
      </c>
      <c r="Q157" s="292">
        <f>INDEX(Calibration!$A$4:$L$13,MATCH($D157&amp;$E157,Calibration!$A$4:$A$13,0),MATCH(Q$4,Calibration!$A$4:$L$4,0))</f>
        <v>0.73522830748735724</v>
      </c>
      <c r="R157" s="293">
        <f>IF(C157&lt;Calibration!$F$5,L157,IF(C157&lt;Calibration!$E$5,C157*M157+N157,IF(C157&lt;K157,C157*O157+P157,Q157)))</f>
        <v>1.1255277263619345</v>
      </c>
      <c r="S157" s="286">
        <f t="shared" si="4"/>
        <v>4487.7241095334766</v>
      </c>
      <c r="T157" s="293">
        <f>IF(E157="DHP",VLOOKUP(D157,Calibration!$C$20:$E$22,2,FALSE),IF(D157=1,Calibration!$D$17,Calibration!$D$18))</f>
        <v>0.85917762533929642</v>
      </c>
      <c r="U157" s="286">
        <f t="shared" si="5"/>
        <v>3855.752143606881</v>
      </c>
      <c r="V157" s="286">
        <f>VLOOKUP(T157,Calibration!$D$17:$E$22,2,FALSE)*S157</f>
        <v>554.53867575148456</v>
      </c>
      <c r="W157" t="s">
        <v>785</v>
      </c>
      <c r="X157">
        <v>735.77215899999999</v>
      </c>
      <c r="Y157">
        <v>2578.0656220000001</v>
      </c>
    </row>
    <row r="158" spans="1:25">
      <c r="A158" s="277" t="str">
        <f>SEEMoutput!A160</f>
        <v>WxHZ2CZ1_1568e_20gshp_des1</v>
      </c>
      <c r="B158" s="286">
        <f>SEEMoutput!O160</f>
        <v>4593.0154030000003</v>
      </c>
      <c r="C158" s="287">
        <v>9.0060676786911043E-2</v>
      </c>
      <c r="D158" s="277">
        <f>IF(SEEMoutput!G160&lt;6000,1,IF(SEEMoutput!G160&lt;7500,2,3))</f>
        <v>2</v>
      </c>
      <c r="E158" s="277" t="str">
        <f>IF(LEFT(SEEMoutput!BE160,1)="F","FUR",IF(LEFT(SEEMoutput!BE160,1)="D","DHP","HP"))</f>
        <v>HP</v>
      </c>
      <c r="F158" s="288">
        <f>SEEMoutput!E160</f>
        <v>381.17033400000003</v>
      </c>
      <c r="G158" s="289">
        <f>F158*(69-30)*SEEMoutput!N160/SEEMoutput!M160</f>
        <v>16786.052026345475</v>
      </c>
      <c r="H158" s="290">
        <f>'(Tons) (Furnsize)'!$F$52+'(Tons) (Furnsize)'!$F$53*'(Tons) (Furnsize)'!$B$15+'(Tons) (Furnsize)'!$F$54*G158</f>
        <v>2.0302055231415532</v>
      </c>
      <c r="I158" s="290">
        <f>H158/'(Tons) (Furnsize)'!$G$7</f>
        <v>1.6827497606823878</v>
      </c>
      <c r="J158" s="291">
        <f>F158*(69-VLOOKUP(D158,'(Tons) (Furnsize)'!$D$15:$E$17,2,FALSE))/3412</f>
        <v>7.7083098024618995</v>
      </c>
      <c r="K158" s="292">
        <f>INDEX(Calibration!$A$4:$L$13,MATCH($D158&amp;$E158,Calibration!$A$4:$A$13,0),MATCH(K$4,Calibration!$A$4:$L$4,0))</f>
        <v>0.17499999999999999</v>
      </c>
      <c r="L158" s="292">
        <f>INDEX(Calibration!$A$4:$L$13,MATCH($D158&amp;$E158,Calibration!$A$4:$A$13,0),MATCH(L$4,Calibration!$A$4:$L$4,0))</f>
        <v>1.1965160377936901</v>
      </c>
      <c r="M158" s="292">
        <f>INDEX(Calibration!$A$4:$L$13,MATCH($D158&amp;$E158,Calibration!$A$4:$A$13,0),MATCH(M$4,Calibration!$A$4:$L$4,0))</f>
        <v>-2.050167690250368</v>
      </c>
      <c r="N158" s="292">
        <f>INDEX(Calibration!$A$4:$L$13,MATCH($D158&amp;$E158,Calibration!$A$4:$A$13,0),MATCH(N$4,Calibration!$A$4:$L$4,0))</f>
        <v>1.2990244223062084</v>
      </c>
      <c r="O158" s="292">
        <f>INDEX(Calibration!$A$4:$L$13,MATCH($D158&amp;$E158,Calibration!$A$4:$A$13,0),MATCH(O$4,Calibration!$A$4:$L$4,0))</f>
        <v>-4.1003353805007361</v>
      </c>
      <c r="P158" s="292">
        <f>INDEX(Calibration!$A$4:$L$13,MATCH($D158&amp;$E158,Calibration!$A$4:$A$13,0),MATCH(P$4,Calibration!$A$4:$L$4,0))</f>
        <v>1.452786999074986</v>
      </c>
      <c r="Q158" s="292">
        <f>INDEX(Calibration!$A$4:$L$13,MATCH($D158&amp;$E158,Calibration!$A$4:$A$13,0),MATCH(Q$4,Calibration!$A$4:$L$4,0))</f>
        <v>0.73522830748735724</v>
      </c>
      <c r="R158" s="293">
        <f>IF(C158&lt;Calibration!$F$5,L158,IF(C158&lt;Calibration!$E$5,C158*M158+N158,IF(C158&lt;K158,C158*O158+P158,Q158)))</f>
        <v>1.0835080196537734</v>
      </c>
      <c r="S158" s="286">
        <f t="shared" si="4"/>
        <v>4976.5690235438087</v>
      </c>
      <c r="T158" s="293">
        <f>IF(E158="DHP",VLOOKUP(D158,Calibration!$C$20:$E$22,2,FALSE),IF(D158=1,Calibration!$D$17,Calibration!$D$18))</f>
        <v>0.85917762533929642</v>
      </c>
      <c r="U158" s="286">
        <f t="shared" si="5"/>
        <v>4275.7567559854706</v>
      </c>
      <c r="V158" s="286">
        <f>VLOOKUP(T158,Calibration!$D$17:$E$22,2,FALSE)*S158</f>
        <v>614.94421866069843</v>
      </c>
      <c r="W158" t="s">
        <v>779</v>
      </c>
      <c r="X158">
        <v>266.89881100000002</v>
      </c>
      <c r="Y158">
        <v>2868.4571940000001</v>
      </c>
    </row>
    <row r="159" spans="1:25">
      <c r="A159" s="277" t="str">
        <f>SEEMoutput!A161</f>
        <v>WxHZ2CZ2_1568e_20gshp_des1</v>
      </c>
      <c r="B159" s="286">
        <f>SEEMoutput!O161</f>
        <v>4593.0154030000003</v>
      </c>
      <c r="C159" s="287">
        <v>9.0060676786911043E-2</v>
      </c>
      <c r="D159" s="277">
        <f>IF(SEEMoutput!G161&lt;6000,1,IF(SEEMoutput!G161&lt;7500,2,3))</f>
        <v>2</v>
      </c>
      <c r="E159" s="277" t="str">
        <f>IF(LEFT(SEEMoutput!BE161,1)="F","FUR",IF(LEFT(SEEMoutput!BE161,1)="D","DHP","HP"))</f>
        <v>HP</v>
      </c>
      <c r="F159" s="288">
        <f>SEEMoutput!E161</f>
        <v>381.17033400000003</v>
      </c>
      <c r="G159" s="289">
        <f>F159*(69-30)*SEEMoutput!N161/SEEMoutput!M161</f>
        <v>16786.052026345475</v>
      </c>
      <c r="H159" s="290">
        <f>'(Tons) (Furnsize)'!$F$52+'(Tons) (Furnsize)'!$F$53*'(Tons) (Furnsize)'!$B$15+'(Tons) (Furnsize)'!$F$54*G159</f>
        <v>2.0302055231415532</v>
      </c>
      <c r="I159" s="290">
        <f>H159/'(Tons) (Furnsize)'!$G$7</f>
        <v>1.6827497606823878</v>
      </c>
      <c r="J159" s="291">
        <f>F159*(69-VLOOKUP(D159,'(Tons) (Furnsize)'!$D$15:$E$17,2,FALSE))/3412</f>
        <v>7.7083098024618995</v>
      </c>
      <c r="K159" s="292">
        <f>INDEX(Calibration!$A$4:$L$13,MATCH($D159&amp;$E159,Calibration!$A$4:$A$13,0),MATCH(K$4,Calibration!$A$4:$L$4,0))</f>
        <v>0.17499999999999999</v>
      </c>
      <c r="L159" s="292">
        <f>INDEX(Calibration!$A$4:$L$13,MATCH($D159&amp;$E159,Calibration!$A$4:$A$13,0),MATCH(L$4,Calibration!$A$4:$L$4,0))</f>
        <v>1.1965160377936901</v>
      </c>
      <c r="M159" s="292">
        <f>INDEX(Calibration!$A$4:$L$13,MATCH($D159&amp;$E159,Calibration!$A$4:$A$13,0),MATCH(M$4,Calibration!$A$4:$L$4,0))</f>
        <v>-2.050167690250368</v>
      </c>
      <c r="N159" s="292">
        <f>INDEX(Calibration!$A$4:$L$13,MATCH($D159&amp;$E159,Calibration!$A$4:$A$13,0),MATCH(N$4,Calibration!$A$4:$L$4,0))</f>
        <v>1.2990244223062084</v>
      </c>
      <c r="O159" s="292">
        <f>INDEX(Calibration!$A$4:$L$13,MATCH($D159&amp;$E159,Calibration!$A$4:$A$13,0),MATCH(O$4,Calibration!$A$4:$L$4,0))</f>
        <v>-4.1003353805007361</v>
      </c>
      <c r="P159" s="292">
        <f>INDEX(Calibration!$A$4:$L$13,MATCH($D159&amp;$E159,Calibration!$A$4:$A$13,0),MATCH(P$4,Calibration!$A$4:$L$4,0))</f>
        <v>1.452786999074986</v>
      </c>
      <c r="Q159" s="292">
        <f>INDEX(Calibration!$A$4:$L$13,MATCH($D159&amp;$E159,Calibration!$A$4:$A$13,0),MATCH(Q$4,Calibration!$A$4:$L$4,0))</f>
        <v>0.73522830748735724</v>
      </c>
      <c r="R159" s="293">
        <f>IF(C159&lt;Calibration!$F$5,L159,IF(C159&lt;Calibration!$E$5,C159*M159+N159,IF(C159&lt;K159,C159*O159+P159,Q159)))</f>
        <v>1.0835080196537734</v>
      </c>
      <c r="S159" s="286">
        <f t="shared" si="4"/>
        <v>4976.5690235438087</v>
      </c>
      <c r="T159" s="293">
        <f>IF(E159="DHP",VLOOKUP(D159,Calibration!$C$20:$E$22,2,FALSE),IF(D159=1,Calibration!$D$17,Calibration!$D$18))</f>
        <v>0.85917762533929642</v>
      </c>
      <c r="U159" s="286">
        <f t="shared" si="5"/>
        <v>4275.7567559854706</v>
      </c>
      <c r="V159" s="286">
        <f>VLOOKUP(T159,Calibration!$D$17:$E$22,2,FALSE)*S159</f>
        <v>614.94421866069843</v>
      </c>
      <c r="W159" t="s">
        <v>782</v>
      </c>
      <c r="X159">
        <v>478.64828899999998</v>
      </c>
      <c r="Y159">
        <v>2868.4571940000001</v>
      </c>
    </row>
    <row r="160" spans="1:25">
      <c r="A160" s="277" t="str">
        <f>SEEMoutput!A162</f>
        <v>WxHZ2CZ3_1568e_20gshp_des1</v>
      </c>
      <c r="B160" s="286">
        <f>SEEMoutput!O162</f>
        <v>4593.0154030000003</v>
      </c>
      <c r="C160" s="287">
        <v>9.0060676786911043E-2</v>
      </c>
      <c r="D160" s="277">
        <f>IF(SEEMoutput!G162&lt;6000,1,IF(SEEMoutput!G162&lt;7500,2,3))</f>
        <v>2</v>
      </c>
      <c r="E160" s="277" t="str">
        <f>IF(LEFT(SEEMoutput!BE162,1)="F","FUR",IF(LEFT(SEEMoutput!BE162,1)="D","DHP","HP"))</f>
        <v>HP</v>
      </c>
      <c r="F160" s="288">
        <f>SEEMoutput!E162</f>
        <v>381.17033400000003</v>
      </c>
      <c r="G160" s="289">
        <f>F160*(69-30)*SEEMoutput!N162/SEEMoutput!M162</f>
        <v>16786.052026345475</v>
      </c>
      <c r="H160" s="290">
        <f>'(Tons) (Furnsize)'!$F$52+'(Tons) (Furnsize)'!$F$53*'(Tons) (Furnsize)'!$B$15+'(Tons) (Furnsize)'!$F$54*G160</f>
        <v>2.0302055231415532</v>
      </c>
      <c r="I160" s="290">
        <f>H160/'(Tons) (Furnsize)'!$G$7</f>
        <v>1.6827497606823878</v>
      </c>
      <c r="J160" s="291">
        <f>F160*(69-VLOOKUP(D160,'(Tons) (Furnsize)'!$D$15:$E$17,2,FALSE))/3412</f>
        <v>7.7083098024618995</v>
      </c>
      <c r="K160" s="292">
        <f>INDEX(Calibration!$A$4:$L$13,MATCH($D160&amp;$E160,Calibration!$A$4:$A$13,0),MATCH(K$4,Calibration!$A$4:$L$4,0))</f>
        <v>0.17499999999999999</v>
      </c>
      <c r="L160" s="292">
        <f>INDEX(Calibration!$A$4:$L$13,MATCH($D160&amp;$E160,Calibration!$A$4:$A$13,0),MATCH(L$4,Calibration!$A$4:$L$4,0))</f>
        <v>1.1965160377936901</v>
      </c>
      <c r="M160" s="292">
        <f>INDEX(Calibration!$A$4:$L$13,MATCH($D160&amp;$E160,Calibration!$A$4:$A$13,0),MATCH(M$4,Calibration!$A$4:$L$4,0))</f>
        <v>-2.050167690250368</v>
      </c>
      <c r="N160" s="292">
        <f>INDEX(Calibration!$A$4:$L$13,MATCH($D160&amp;$E160,Calibration!$A$4:$A$13,0),MATCH(N$4,Calibration!$A$4:$L$4,0))</f>
        <v>1.2990244223062084</v>
      </c>
      <c r="O160" s="292">
        <f>INDEX(Calibration!$A$4:$L$13,MATCH($D160&amp;$E160,Calibration!$A$4:$A$13,0),MATCH(O$4,Calibration!$A$4:$L$4,0))</f>
        <v>-4.1003353805007361</v>
      </c>
      <c r="P160" s="292">
        <f>INDEX(Calibration!$A$4:$L$13,MATCH($D160&amp;$E160,Calibration!$A$4:$A$13,0),MATCH(P$4,Calibration!$A$4:$L$4,0))</f>
        <v>1.452786999074986</v>
      </c>
      <c r="Q160" s="292">
        <f>INDEX(Calibration!$A$4:$L$13,MATCH($D160&amp;$E160,Calibration!$A$4:$A$13,0),MATCH(Q$4,Calibration!$A$4:$L$4,0))</f>
        <v>0.73522830748735724</v>
      </c>
      <c r="R160" s="293">
        <f>IF(C160&lt;Calibration!$F$5,L160,IF(C160&lt;Calibration!$E$5,C160*M160+N160,IF(C160&lt;K160,C160*O160+P160,Q160)))</f>
        <v>1.0835080196537734</v>
      </c>
      <c r="S160" s="286">
        <f t="shared" si="4"/>
        <v>4976.5690235438087</v>
      </c>
      <c r="T160" s="293">
        <f>IF(E160="DHP",VLOOKUP(D160,Calibration!$C$20:$E$22,2,FALSE),IF(D160=1,Calibration!$D$17,Calibration!$D$18))</f>
        <v>0.85917762533929642</v>
      </c>
      <c r="U160" s="286">
        <f t="shared" si="5"/>
        <v>4275.7567559854706</v>
      </c>
      <c r="V160" s="286">
        <f>VLOOKUP(T160,Calibration!$D$17:$E$22,2,FALSE)*S160</f>
        <v>614.94421866069843</v>
      </c>
      <c r="W160" t="s">
        <v>785</v>
      </c>
      <c r="X160">
        <v>730.41414699999996</v>
      </c>
      <c r="Y160">
        <v>2868.4571940000001</v>
      </c>
    </row>
    <row r="161" spans="1:25">
      <c r="A161" s="277" t="str">
        <f>SEEMoutput!A163</f>
        <v>NWHZ3CZ1_1568n_20gshp_des1</v>
      </c>
      <c r="B161" s="286">
        <f>SEEMoutput!O163</f>
        <v>5059.6412609999998</v>
      </c>
      <c r="C161" s="287">
        <v>7.9547610629857823E-2</v>
      </c>
      <c r="D161" s="277">
        <f>IF(SEEMoutput!G163&lt;6000,1,IF(SEEMoutput!G163&lt;7500,2,3))</f>
        <v>3</v>
      </c>
      <c r="E161" s="277" t="str">
        <f>IF(LEFT(SEEMoutput!BE163,1)="F","FUR",IF(LEFT(SEEMoutput!BE163,1)="D","DHP","HP"))</f>
        <v>HP</v>
      </c>
      <c r="F161" s="288">
        <f>SEEMoutput!E163</f>
        <v>339.59240499999999</v>
      </c>
      <c r="G161" s="289">
        <f>F161*(69-30)*SEEMoutput!N163/SEEMoutput!M163</f>
        <v>15077.339726281742</v>
      </c>
      <c r="H161" s="290">
        <f>'(Tons) (Furnsize)'!$F$52+'(Tons) (Furnsize)'!$F$53*'(Tons) (Furnsize)'!$B$15+'(Tons) (Furnsize)'!$F$54*G161</f>
        <v>1.8295849366224952</v>
      </c>
      <c r="I161" s="290">
        <f>H161/'(Tons) (Furnsize)'!$G$7</f>
        <v>1.5164640127101776</v>
      </c>
      <c r="J161" s="291">
        <f>F161*(69-VLOOKUP(D161,'(Tons) (Furnsize)'!$D$15:$E$17,2,FALSE))/3412</f>
        <v>9.3557110404454864</v>
      </c>
      <c r="K161" s="292">
        <f>INDEX(Calibration!$A$4:$L$13,MATCH($D161&amp;$E161,Calibration!$A$4:$A$13,0),MATCH(K$4,Calibration!$A$4:$L$4,0))</f>
        <v>0.15</v>
      </c>
      <c r="L161" s="292">
        <f>INDEX(Calibration!$A$4:$L$13,MATCH($D161&amp;$E161,Calibration!$A$4:$A$13,0),MATCH(L$4,Calibration!$A$4:$L$4,0))</f>
        <v>1.0259371368886356</v>
      </c>
      <c r="M161" s="292">
        <f>INDEX(Calibration!$A$4:$L$13,MATCH($D161&amp;$E161,Calibration!$A$4:$A$13,0),MATCH(M$4,Calibration!$A$4:$L$4,0))</f>
        <v>-1.8551508104013119</v>
      </c>
      <c r="N161" s="292">
        <f>INDEX(Calibration!$A$4:$L$13,MATCH($D161&amp;$E161,Calibration!$A$4:$A$13,0),MATCH(N$4,Calibration!$A$4:$L$4,0))</f>
        <v>1.1186946774087012</v>
      </c>
      <c r="O161" s="292">
        <f>INDEX(Calibration!$A$4:$L$13,MATCH($D161&amp;$E161,Calibration!$A$4:$A$13,0),MATCH(O$4,Calibration!$A$4:$L$4,0))</f>
        <v>-3.7103016208026238</v>
      </c>
      <c r="P161" s="292">
        <f>INDEX(Calibration!$A$4:$L$13,MATCH($D161&amp;$E161,Calibration!$A$4:$A$13,0),MATCH(P$4,Calibration!$A$4:$L$4,0))</f>
        <v>1.2578309881887995</v>
      </c>
      <c r="Q161" s="292">
        <f>INDEX(Calibration!$A$4:$L$13,MATCH($D161&amp;$E161,Calibration!$A$4:$A$13,0),MATCH(Q$4,Calibration!$A$4:$L$4,0))</f>
        <v>0.7012857450684058</v>
      </c>
      <c r="R161" s="293">
        <f>IF(C161&lt;Calibration!$F$5,L161,IF(C161&lt;Calibration!$E$5,C161*M161+N161,IF(C161&lt;K161,C161*O161+P161,Q161)))</f>
        <v>0.96268535953786194</v>
      </c>
      <c r="S161" s="286">
        <f t="shared" si="4"/>
        <v>4870.8425664783863</v>
      </c>
      <c r="T161" s="293">
        <f>IF(E161="DHP",VLOOKUP(D161,Calibration!$C$20:$E$22,2,FALSE),IF(D161=1,Calibration!$D$17,Calibration!$D$18))</f>
        <v>0.85917762533929642</v>
      </c>
      <c r="U161" s="286">
        <f t="shared" si="5"/>
        <v>4184.9189496684639</v>
      </c>
      <c r="V161" s="286">
        <f>VLOOKUP(T161,Calibration!$D$17:$E$22,2,FALSE)*S161</f>
        <v>601.87982163851825</v>
      </c>
      <c r="W161" t="s">
        <v>794</v>
      </c>
      <c r="X161">
        <v>290.641097</v>
      </c>
      <c r="Y161">
        <v>2978.545811</v>
      </c>
    </row>
    <row r="162" spans="1:25">
      <c r="A162" s="277" t="str">
        <f>SEEMoutput!A164</f>
        <v>NWHZ3CZ2_1568n_20gshp_des1</v>
      </c>
      <c r="B162" s="286">
        <f>SEEMoutput!O164</f>
        <v>5059.6412609999998</v>
      </c>
      <c r="C162" s="287">
        <v>7.9547610629857823E-2</v>
      </c>
      <c r="D162" s="277">
        <f>IF(SEEMoutput!G164&lt;6000,1,IF(SEEMoutput!G164&lt;7500,2,3))</f>
        <v>3</v>
      </c>
      <c r="E162" s="277" t="str">
        <f>IF(LEFT(SEEMoutput!BE164,1)="F","FUR",IF(LEFT(SEEMoutput!BE164,1)="D","DHP","HP"))</f>
        <v>HP</v>
      </c>
      <c r="F162" s="288">
        <f>SEEMoutput!E164</f>
        <v>339.59240499999999</v>
      </c>
      <c r="G162" s="289">
        <f>F162*(69-30)*SEEMoutput!N164/SEEMoutput!M164</f>
        <v>15077.339726281742</v>
      </c>
      <c r="H162" s="290">
        <f>'(Tons) (Furnsize)'!$F$52+'(Tons) (Furnsize)'!$F$53*'(Tons) (Furnsize)'!$B$15+'(Tons) (Furnsize)'!$F$54*G162</f>
        <v>1.8295849366224952</v>
      </c>
      <c r="I162" s="290">
        <f>H162/'(Tons) (Furnsize)'!$G$7</f>
        <v>1.5164640127101776</v>
      </c>
      <c r="J162" s="291">
        <f>F162*(69-VLOOKUP(D162,'(Tons) (Furnsize)'!$D$15:$E$17,2,FALSE))/3412</f>
        <v>9.3557110404454864</v>
      </c>
      <c r="K162" s="292">
        <f>INDEX(Calibration!$A$4:$L$13,MATCH($D162&amp;$E162,Calibration!$A$4:$A$13,0),MATCH(K$4,Calibration!$A$4:$L$4,0))</f>
        <v>0.15</v>
      </c>
      <c r="L162" s="292">
        <f>INDEX(Calibration!$A$4:$L$13,MATCH($D162&amp;$E162,Calibration!$A$4:$A$13,0),MATCH(L$4,Calibration!$A$4:$L$4,0))</f>
        <v>1.0259371368886356</v>
      </c>
      <c r="M162" s="292">
        <f>INDEX(Calibration!$A$4:$L$13,MATCH($D162&amp;$E162,Calibration!$A$4:$A$13,0),MATCH(M$4,Calibration!$A$4:$L$4,0))</f>
        <v>-1.8551508104013119</v>
      </c>
      <c r="N162" s="292">
        <f>INDEX(Calibration!$A$4:$L$13,MATCH($D162&amp;$E162,Calibration!$A$4:$A$13,0),MATCH(N$4,Calibration!$A$4:$L$4,0))</f>
        <v>1.1186946774087012</v>
      </c>
      <c r="O162" s="292">
        <f>INDEX(Calibration!$A$4:$L$13,MATCH($D162&amp;$E162,Calibration!$A$4:$A$13,0),MATCH(O$4,Calibration!$A$4:$L$4,0))</f>
        <v>-3.7103016208026238</v>
      </c>
      <c r="P162" s="292">
        <f>INDEX(Calibration!$A$4:$L$13,MATCH($D162&amp;$E162,Calibration!$A$4:$A$13,0),MATCH(P$4,Calibration!$A$4:$L$4,0))</f>
        <v>1.2578309881887995</v>
      </c>
      <c r="Q162" s="292">
        <f>INDEX(Calibration!$A$4:$L$13,MATCH($D162&amp;$E162,Calibration!$A$4:$A$13,0),MATCH(Q$4,Calibration!$A$4:$L$4,0))</f>
        <v>0.7012857450684058</v>
      </c>
      <c r="R162" s="293">
        <f>IF(C162&lt;Calibration!$F$5,L162,IF(C162&lt;Calibration!$E$5,C162*M162+N162,IF(C162&lt;K162,C162*O162+P162,Q162)))</f>
        <v>0.96268535953786194</v>
      </c>
      <c r="S162" s="286">
        <f t="shared" si="4"/>
        <v>4870.8425664783863</v>
      </c>
      <c r="T162" s="293">
        <f>IF(E162="DHP",VLOOKUP(D162,Calibration!$C$20:$E$22,2,FALSE),IF(D162=1,Calibration!$D$17,Calibration!$D$18))</f>
        <v>0.85917762533929642</v>
      </c>
      <c r="U162" s="286">
        <f t="shared" si="5"/>
        <v>4184.9189496684639</v>
      </c>
      <c r="V162" s="286">
        <f>VLOOKUP(T162,Calibration!$D$17:$E$22,2,FALSE)*S162</f>
        <v>601.87982163851825</v>
      </c>
      <c r="W162" t="s">
        <v>797</v>
      </c>
      <c r="X162">
        <v>495.13447600000001</v>
      </c>
      <c r="Y162">
        <v>2978.545811</v>
      </c>
    </row>
    <row r="163" spans="1:25">
      <c r="A163" s="277" t="str">
        <f>SEEMoutput!A165</f>
        <v>NWHZ3CZ3_1568n_20gshp_des1</v>
      </c>
      <c r="B163" s="286">
        <f>SEEMoutput!O165</f>
        <v>5059.6412609999998</v>
      </c>
      <c r="C163" s="287">
        <v>7.9547610629857823E-2</v>
      </c>
      <c r="D163" s="277">
        <f>IF(SEEMoutput!G165&lt;6000,1,IF(SEEMoutput!G165&lt;7500,2,3))</f>
        <v>3</v>
      </c>
      <c r="E163" s="277" t="str">
        <f>IF(LEFT(SEEMoutput!BE165,1)="F","FUR",IF(LEFT(SEEMoutput!BE165,1)="D","DHP","HP"))</f>
        <v>HP</v>
      </c>
      <c r="F163" s="288">
        <f>SEEMoutput!E165</f>
        <v>339.59240499999999</v>
      </c>
      <c r="G163" s="289">
        <f>F163*(69-30)*SEEMoutput!N165/SEEMoutput!M165</f>
        <v>15077.339726281742</v>
      </c>
      <c r="H163" s="290">
        <f>'(Tons) (Furnsize)'!$F$52+'(Tons) (Furnsize)'!$F$53*'(Tons) (Furnsize)'!$B$15+'(Tons) (Furnsize)'!$F$54*G163</f>
        <v>1.8295849366224952</v>
      </c>
      <c r="I163" s="290">
        <f>H163/'(Tons) (Furnsize)'!$G$7</f>
        <v>1.5164640127101776</v>
      </c>
      <c r="J163" s="291">
        <f>F163*(69-VLOOKUP(D163,'(Tons) (Furnsize)'!$D$15:$E$17,2,FALSE))/3412</f>
        <v>9.3557110404454864</v>
      </c>
      <c r="K163" s="292">
        <f>INDEX(Calibration!$A$4:$L$13,MATCH($D163&amp;$E163,Calibration!$A$4:$A$13,0),MATCH(K$4,Calibration!$A$4:$L$4,0))</f>
        <v>0.15</v>
      </c>
      <c r="L163" s="292">
        <f>INDEX(Calibration!$A$4:$L$13,MATCH($D163&amp;$E163,Calibration!$A$4:$A$13,0),MATCH(L$4,Calibration!$A$4:$L$4,0))</f>
        <v>1.0259371368886356</v>
      </c>
      <c r="M163" s="292">
        <f>INDEX(Calibration!$A$4:$L$13,MATCH($D163&amp;$E163,Calibration!$A$4:$A$13,0),MATCH(M$4,Calibration!$A$4:$L$4,0))</f>
        <v>-1.8551508104013119</v>
      </c>
      <c r="N163" s="292">
        <f>INDEX(Calibration!$A$4:$L$13,MATCH($D163&amp;$E163,Calibration!$A$4:$A$13,0),MATCH(N$4,Calibration!$A$4:$L$4,0))</f>
        <v>1.1186946774087012</v>
      </c>
      <c r="O163" s="292">
        <f>INDEX(Calibration!$A$4:$L$13,MATCH($D163&amp;$E163,Calibration!$A$4:$A$13,0),MATCH(O$4,Calibration!$A$4:$L$4,0))</f>
        <v>-3.7103016208026238</v>
      </c>
      <c r="P163" s="292">
        <f>INDEX(Calibration!$A$4:$L$13,MATCH($D163&amp;$E163,Calibration!$A$4:$A$13,0),MATCH(P$4,Calibration!$A$4:$L$4,0))</f>
        <v>1.2578309881887995</v>
      </c>
      <c r="Q163" s="292">
        <f>INDEX(Calibration!$A$4:$L$13,MATCH($D163&amp;$E163,Calibration!$A$4:$A$13,0),MATCH(Q$4,Calibration!$A$4:$L$4,0))</f>
        <v>0.7012857450684058</v>
      </c>
      <c r="R163" s="293">
        <f>IF(C163&lt;Calibration!$F$5,L163,IF(C163&lt;Calibration!$E$5,C163*M163+N163,IF(C163&lt;K163,C163*O163+P163,Q163)))</f>
        <v>0.96268535953786194</v>
      </c>
      <c r="S163" s="286">
        <f t="shared" si="4"/>
        <v>4870.8425664783863</v>
      </c>
      <c r="T163" s="293">
        <f>IF(E163="DHP",VLOOKUP(D163,Calibration!$C$20:$E$22,2,FALSE),IF(D163=1,Calibration!$D$17,Calibration!$D$18))</f>
        <v>0.85917762533929642</v>
      </c>
      <c r="U163" s="286">
        <f t="shared" si="5"/>
        <v>4184.9189496684639</v>
      </c>
      <c r="V163" s="286">
        <f>VLOOKUP(T163,Calibration!$D$17:$E$22,2,FALSE)*S163</f>
        <v>601.87982163851825</v>
      </c>
      <c r="W163" t="s">
        <v>800</v>
      </c>
      <c r="X163">
        <v>735.77215899999999</v>
      </c>
      <c r="Y163">
        <v>2978.545811</v>
      </c>
    </row>
    <row r="164" spans="1:25">
      <c r="A164" s="277" t="str">
        <f>SEEMoutput!A166</f>
        <v>WxHZ3CZ1_1568e_20gshp_des1</v>
      </c>
      <c r="B164" s="286">
        <f>SEEMoutput!O166</f>
        <v>5846.6454089999997</v>
      </c>
      <c r="C164" s="287">
        <v>8.9783751229659134E-2</v>
      </c>
      <c r="D164" s="277">
        <f>IF(SEEMoutput!G166&lt;6000,1,IF(SEEMoutput!G166&lt;7500,2,3))</f>
        <v>3</v>
      </c>
      <c r="E164" s="277" t="str">
        <f>IF(LEFT(SEEMoutput!BE166,1)="F","FUR",IF(LEFT(SEEMoutput!BE166,1)="D","DHP","HP"))</f>
        <v>HP</v>
      </c>
      <c r="F164" s="288">
        <f>SEEMoutput!E166</f>
        <v>378.67873600000001</v>
      </c>
      <c r="G164" s="289">
        <f>F164*(69-30)*SEEMoutput!N166/SEEMoutput!M166</f>
        <v>16765.582746861473</v>
      </c>
      <c r="H164" s="290">
        <f>'(Tons) (Furnsize)'!$F$52+'(Tons) (Furnsize)'!$F$53*'(Tons) (Furnsize)'!$B$15+'(Tons) (Furnsize)'!$F$54*G164</f>
        <v>2.0278022169468537</v>
      </c>
      <c r="I164" s="290">
        <f>H164/'(Tons) (Furnsize)'!$G$7</f>
        <v>1.6807577638732571</v>
      </c>
      <c r="J164" s="291">
        <f>F164*(69-VLOOKUP(D164,'(Tons) (Furnsize)'!$D$15:$E$17,2,FALSE))/3412</f>
        <v>10.432532586166472</v>
      </c>
      <c r="K164" s="292">
        <f>INDEX(Calibration!$A$4:$L$13,MATCH($D164&amp;$E164,Calibration!$A$4:$A$13,0),MATCH(K$4,Calibration!$A$4:$L$4,0))</f>
        <v>0.15</v>
      </c>
      <c r="L164" s="292">
        <f>INDEX(Calibration!$A$4:$L$13,MATCH($D164&amp;$E164,Calibration!$A$4:$A$13,0),MATCH(L$4,Calibration!$A$4:$L$4,0))</f>
        <v>1.0259371368886356</v>
      </c>
      <c r="M164" s="292">
        <f>INDEX(Calibration!$A$4:$L$13,MATCH($D164&amp;$E164,Calibration!$A$4:$A$13,0),MATCH(M$4,Calibration!$A$4:$L$4,0))</f>
        <v>-1.8551508104013119</v>
      </c>
      <c r="N164" s="292">
        <f>INDEX(Calibration!$A$4:$L$13,MATCH($D164&amp;$E164,Calibration!$A$4:$A$13,0),MATCH(N$4,Calibration!$A$4:$L$4,0))</f>
        <v>1.1186946774087012</v>
      </c>
      <c r="O164" s="292">
        <f>INDEX(Calibration!$A$4:$L$13,MATCH($D164&amp;$E164,Calibration!$A$4:$A$13,0),MATCH(O$4,Calibration!$A$4:$L$4,0))</f>
        <v>-3.7103016208026238</v>
      </c>
      <c r="P164" s="292">
        <f>INDEX(Calibration!$A$4:$L$13,MATCH($D164&amp;$E164,Calibration!$A$4:$A$13,0),MATCH(P$4,Calibration!$A$4:$L$4,0))</f>
        <v>1.2578309881887995</v>
      </c>
      <c r="Q164" s="292">
        <f>INDEX(Calibration!$A$4:$L$13,MATCH($D164&amp;$E164,Calibration!$A$4:$A$13,0),MATCH(Q$4,Calibration!$A$4:$L$4,0))</f>
        <v>0.7012857450684058</v>
      </c>
      <c r="R164" s="293">
        <f>IF(C164&lt;Calibration!$F$5,L164,IF(C164&lt;Calibration!$E$5,C164*M164+N164,IF(C164&lt;K164,C164*O164+P164,Q164)))</f>
        <v>0.92470619047965563</v>
      </c>
      <c r="S164" s="286">
        <f t="shared" si="4"/>
        <v>5406.4292032417579</v>
      </c>
      <c r="T164" s="293">
        <f>IF(E164="DHP",VLOOKUP(D164,Calibration!$C$20:$E$22,2,FALSE),IF(D164=1,Calibration!$D$17,Calibration!$D$18))</f>
        <v>0.85917762533929642</v>
      </c>
      <c r="U164" s="286">
        <f t="shared" si="5"/>
        <v>4645.0830044062777</v>
      </c>
      <c r="V164" s="286">
        <f>VLOOKUP(T164,Calibration!$D$17:$E$22,2,FALSE)*S164</f>
        <v>668.0611414014719</v>
      </c>
      <c r="W164" t="s">
        <v>794</v>
      </c>
      <c r="X164">
        <v>266.89881100000002</v>
      </c>
      <c r="Y164">
        <v>3304.0826280000001</v>
      </c>
    </row>
    <row r="165" spans="1:25">
      <c r="A165" s="277" t="str">
        <f>SEEMoutput!A167</f>
        <v>WxHZ3CZ2_1568e_20gshp_des1</v>
      </c>
      <c r="B165" s="286">
        <f>SEEMoutput!O167</f>
        <v>5846.6454089999997</v>
      </c>
      <c r="C165" s="287">
        <v>8.9783751229659134E-2</v>
      </c>
      <c r="D165" s="277">
        <f>IF(SEEMoutput!G167&lt;6000,1,IF(SEEMoutput!G167&lt;7500,2,3))</f>
        <v>3</v>
      </c>
      <c r="E165" s="277" t="str">
        <f>IF(LEFT(SEEMoutput!BE167,1)="F","FUR",IF(LEFT(SEEMoutput!BE167,1)="D","DHP","HP"))</f>
        <v>HP</v>
      </c>
      <c r="F165" s="288">
        <f>SEEMoutput!E167</f>
        <v>378.67873600000001</v>
      </c>
      <c r="G165" s="289">
        <f>F165*(69-30)*SEEMoutput!N167/SEEMoutput!M167</f>
        <v>16765.582746861473</v>
      </c>
      <c r="H165" s="290">
        <f>'(Tons) (Furnsize)'!$F$52+'(Tons) (Furnsize)'!$F$53*'(Tons) (Furnsize)'!$B$15+'(Tons) (Furnsize)'!$F$54*G165</f>
        <v>2.0278022169468537</v>
      </c>
      <c r="I165" s="290">
        <f>H165/'(Tons) (Furnsize)'!$G$7</f>
        <v>1.6807577638732571</v>
      </c>
      <c r="J165" s="291">
        <f>F165*(69-VLOOKUP(D165,'(Tons) (Furnsize)'!$D$15:$E$17,2,FALSE))/3412</f>
        <v>10.432532586166472</v>
      </c>
      <c r="K165" s="292">
        <f>INDEX(Calibration!$A$4:$L$13,MATCH($D165&amp;$E165,Calibration!$A$4:$A$13,0),MATCH(K$4,Calibration!$A$4:$L$4,0))</f>
        <v>0.15</v>
      </c>
      <c r="L165" s="292">
        <f>INDEX(Calibration!$A$4:$L$13,MATCH($D165&amp;$E165,Calibration!$A$4:$A$13,0),MATCH(L$4,Calibration!$A$4:$L$4,0))</f>
        <v>1.0259371368886356</v>
      </c>
      <c r="M165" s="292">
        <f>INDEX(Calibration!$A$4:$L$13,MATCH($D165&amp;$E165,Calibration!$A$4:$A$13,0),MATCH(M$4,Calibration!$A$4:$L$4,0))</f>
        <v>-1.8551508104013119</v>
      </c>
      <c r="N165" s="292">
        <f>INDEX(Calibration!$A$4:$L$13,MATCH($D165&amp;$E165,Calibration!$A$4:$A$13,0),MATCH(N$4,Calibration!$A$4:$L$4,0))</f>
        <v>1.1186946774087012</v>
      </c>
      <c r="O165" s="292">
        <f>INDEX(Calibration!$A$4:$L$13,MATCH($D165&amp;$E165,Calibration!$A$4:$A$13,0),MATCH(O$4,Calibration!$A$4:$L$4,0))</f>
        <v>-3.7103016208026238</v>
      </c>
      <c r="P165" s="292">
        <f>INDEX(Calibration!$A$4:$L$13,MATCH($D165&amp;$E165,Calibration!$A$4:$A$13,0),MATCH(P$4,Calibration!$A$4:$L$4,0))</f>
        <v>1.2578309881887995</v>
      </c>
      <c r="Q165" s="292">
        <f>INDEX(Calibration!$A$4:$L$13,MATCH($D165&amp;$E165,Calibration!$A$4:$A$13,0),MATCH(Q$4,Calibration!$A$4:$L$4,0))</f>
        <v>0.7012857450684058</v>
      </c>
      <c r="R165" s="293">
        <f>IF(C165&lt;Calibration!$F$5,L165,IF(C165&lt;Calibration!$E$5,C165*M165+N165,IF(C165&lt;K165,C165*O165+P165,Q165)))</f>
        <v>0.92470619047965563</v>
      </c>
      <c r="S165" s="286">
        <f t="shared" si="4"/>
        <v>5406.4292032417579</v>
      </c>
      <c r="T165" s="293">
        <f>IF(E165="DHP",VLOOKUP(D165,Calibration!$C$20:$E$22,2,FALSE),IF(D165=1,Calibration!$D$17,Calibration!$D$18))</f>
        <v>0.85917762533929642</v>
      </c>
      <c r="U165" s="286">
        <f t="shared" si="5"/>
        <v>4645.0830044062777</v>
      </c>
      <c r="V165" s="286">
        <f>VLOOKUP(T165,Calibration!$D$17:$E$22,2,FALSE)*S165</f>
        <v>668.0611414014719</v>
      </c>
      <c r="W165" t="s">
        <v>797</v>
      </c>
      <c r="X165">
        <v>478.64828899999998</v>
      </c>
      <c r="Y165">
        <v>3304.0826280000001</v>
      </c>
    </row>
    <row r="166" spans="1:25">
      <c r="A166" s="277" t="str">
        <f>SEEMoutput!A168</f>
        <v>WxHZ3CZ3_1568e_20gshp_des1</v>
      </c>
      <c r="B166" s="286">
        <f>SEEMoutput!O168</f>
        <v>5846.6454089999997</v>
      </c>
      <c r="C166" s="287">
        <v>8.9783751229659134E-2</v>
      </c>
      <c r="D166" s="277">
        <f>IF(SEEMoutput!G168&lt;6000,1,IF(SEEMoutput!G168&lt;7500,2,3))</f>
        <v>3</v>
      </c>
      <c r="E166" s="277" t="str">
        <f>IF(LEFT(SEEMoutput!BE168,1)="F","FUR",IF(LEFT(SEEMoutput!BE168,1)="D","DHP","HP"))</f>
        <v>HP</v>
      </c>
      <c r="F166" s="288">
        <f>SEEMoutput!E168</f>
        <v>378.67873600000001</v>
      </c>
      <c r="G166" s="289">
        <f>F166*(69-30)*SEEMoutput!N168/SEEMoutput!M168</f>
        <v>16765.582746861473</v>
      </c>
      <c r="H166" s="290">
        <f>'(Tons) (Furnsize)'!$F$52+'(Tons) (Furnsize)'!$F$53*'(Tons) (Furnsize)'!$B$15+'(Tons) (Furnsize)'!$F$54*G166</f>
        <v>2.0278022169468537</v>
      </c>
      <c r="I166" s="290">
        <f>H166/'(Tons) (Furnsize)'!$G$7</f>
        <v>1.6807577638732571</v>
      </c>
      <c r="J166" s="291">
        <f>F166*(69-VLOOKUP(D166,'(Tons) (Furnsize)'!$D$15:$E$17,2,FALSE))/3412</f>
        <v>10.432532586166472</v>
      </c>
      <c r="K166" s="292">
        <f>INDEX(Calibration!$A$4:$L$13,MATCH($D166&amp;$E166,Calibration!$A$4:$A$13,0),MATCH(K$4,Calibration!$A$4:$L$4,0))</f>
        <v>0.15</v>
      </c>
      <c r="L166" s="292">
        <f>INDEX(Calibration!$A$4:$L$13,MATCH($D166&amp;$E166,Calibration!$A$4:$A$13,0),MATCH(L$4,Calibration!$A$4:$L$4,0))</f>
        <v>1.0259371368886356</v>
      </c>
      <c r="M166" s="292">
        <f>INDEX(Calibration!$A$4:$L$13,MATCH($D166&amp;$E166,Calibration!$A$4:$A$13,0),MATCH(M$4,Calibration!$A$4:$L$4,0))</f>
        <v>-1.8551508104013119</v>
      </c>
      <c r="N166" s="292">
        <f>INDEX(Calibration!$A$4:$L$13,MATCH($D166&amp;$E166,Calibration!$A$4:$A$13,0),MATCH(N$4,Calibration!$A$4:$L$4,0))</f>
        <v>1.1186946774087012</v>
      </c>
      <c r="O166" s="292">
        <f>INDEX(Calibration!$A$4:$L$13,MATCH($D166&amp;$E166,Calibration!$A$4:$A$13,0),MATCH(O$4,Calibration!$A$4:$L$4,0))</f>
        <v>-3.7103016208026238</v>
      </c>
      <c r="P166" s="292">
        <f>INDEX(Calibration!$A$4:$L$13,MATCH($D166&amp;$E166,Calibration!$A$4:$A$13,0),MATCH(P$4,Calibration!$A$4:$L$4,0))</f>
        <v>1.2578309881887995</v>
      </c>
      <c r="Q166" s="292">
        <f>INDEX(Calibration!$A$4:$L$13,MATCH($D166&amp;$E166,Calibration!$A$4:$A$13,0),MATCH(Q$4,Calibration!$A$4:$L$4,0))</f>
        <v>0.7012857450684058</v>
      </c>
      <c r="R166" s="293">
        <f>IF(C166&lt;Calibration!$F$5,L166,IF(C166&lt;Calibration!$E$5,C166*M166+N166,IF(C166&lt;K166,C166*O166+P166,Q166)))</f>
        <v>0.92470619047965563</v>
      </c>
      <c r="S166" s="286">
        <f t="shared" si="4"/>
        <v>5406.4292032417579</v>
      </c>
      <c r="T166" s="293">
        <f>IF(E166="DHP",VLOOKUP(D166,Calibration!$C$20:$E$22,2,FALSE),IF(D166=1,Calibration!$D$17,Calibration!$D$18))</f>
        <v>0.85917762533929642</v>
      </c>
      <c r="U166" s="286">
        <f t="shared" si="5"/>
        <v>4645.0830044062777</v>
      </c>
      <c r="V166" s="286">
        <f>VLOOKUP(T166,Calibration!$D$17:$E$22,2,FALSE)*S166</f>
        <v>668.0611414014719</v>
      </c>
      <c r="W166" t="s">
        <v>800</v>
      </c>
      <c r="X166">
        <v>730.41414699999996</v>
      </c>
      <c r="Y166">
        <v>3304.0826280000001</v>
      </c>
    </row>
    <row r="167" spans="1:25">
      <c r="A167" s="277" t="str">
        <f>SEEMoutput!A169</f>
        <v>NWHZ1CZ1_2200n_25gshp_des1</v>
      </c>
      <c r="B167" s="286">
        <f>SEEMoutput!O169</f>
        <v>3600.2654299999999</v>
      </c>
      <c r="C167" s="287">
        <v>7.3176286641200919E-2</v>
      </c>
      <c r="D167" s="277">
        <f>IF(SEEMoutput!G169&lt;6000,1,IF(SEEMoutput!G169&lt;7500,2,3))</f>
        <v>1</v>
      </c>
      <c r="E167" s="277" t="str">
        <f>IF(LEFT(SEEMoutput!BE169,1)="F","FUR",IF(LEFT(SEEMoutput!BE169,1)="D","DHP","HP"))</f>
        <v>HP</v>
      </c>
      <c r="F167" s="288">
        <f>SEEMoutput!E169</f>
        <v>420.37597399999999</v>
      </c>
      <c r="G167" s="289">
        <f>F167*(69-30)*SEEMoutput!N169/SEEMoutput!M169</f>
        <v>20483.461493347506</v>
      </c>
      <c r="H167" s="290">
        <f>'(Tons) (Furnsize)'!$F$52+'(Tons) (Furnsize)'!$F$53*'(Tons) (Furnsize)'!$B$15+'(Tons) (Furnsize)'!$F$54*G167</f>
        <v>2.4643198300634377</v>
      </c>
      <c r="I167" s="290">
        <f>H167/'(Tons) (Furnsize)'!$G$7</f>
        <v>2.0425683789231717</v>
      </c>
      <c r="J167" s="291">
        <f>F167*(69-VLOOKUP(D167,'(Tons) (Furnsize)'!$D$15:$E$17,2,FALSE))/3412</f>
        <v>6.4066678335287222</v>
      </c>
      <c r="K167" s="292">
        <f>INDEX(Calibration!$A$4:$L$13,MATCH($D167&amp;$E167,Calibration!$A$4:$A$13,0),MATCH(K$4,Calibration!$A$4:$L$4,0))</f>
        <v>0.2</v>
      </c>
      <c r="L167" s="292">
        <f>INDEX(Calibration!$A$4:$L$13,MATCH($D167&amp;$E167,Calibration!$A$4:$A$13,0),MATCH(L$4,Calibration!$A$4:$L$4,0))</f>
        <v>1.3869915874526988</v>
      </c>
      <c r="M167" s="292">
        <f>INDEX(Calibration!$A$4:$L$13,MATCH($D167&amp;$E167,Calibration!$A$4:$A$13,0),MATCH(M$4,Calibration!$A$4:$L$4,0))</f>
        <v>-2.2641144651923684</v>
      </c>
      <c r="N167" s="292">
        <f>INDEX(Calibration!$A$4:$L$13,MATCH($D167&amp;$E167,Calibration!$A$4:$A$13,0),MATCH(N$4,Calibration!$A$4:$L$4,0))</f>
        <v>1.5001973107123172</v>
      </c>
      <c r="O167" s="292">
        <f>INDEX(Calibration!$A$4:$L$13,MATCH($D167&amp;$E167,Calibration!$A$4:$A$13,0),MATCH(O$4,Calibration!$A$4:$L$4,0))</f>
        <v>-4.5282289303847367</v>
      </c>
      <c r="P167" s="292">
        <f>INDEX(Calibration!$A$4:$L$13,MATCH($D167&amp;$E167,Calibration!$A$4:$A$13,0),MATCH(P$4,Calibration!$A$4:$L$4,0))</f>
        <v>1.6700058956017449</v>
      </c>
      <c r="Q167" s="292">
        <f>INDEX(Calibration!$A$4:$L$13,MATCH($D167&amp;$E167,Calibration!$A$4:$A$13,0),MATCH(Q$4,Calibration!$A$4:$L$4,0))</f>
        <v>0.7643601095247976</v>
      </c>
      <c r="R167" s="293">
        <f>IF(C167&lt;Calibration!$F$5,L167,IF(C167&lt;Calibration!$E$5,C167*M167+N167,IF(C167&lt;K167,C167*O167+P167,Q167)))</f>
        <v>1.3345178216189111</v>
      </c>
      <c r="S167" s="286">
        <f t="shared" si="4"/>
        <v>4804.6183788934723</v>
      </c>
      <c r="T167" s="293">
        <f>IF(E167="DHP",VLOOKUP(D167,Calibration!$C$20:$E$22,2,FALSE),IF(D167=1,Calibration!$D$17,Calibration!$D$18))</f>
        <v>0.82813167326562143</v>
      </c>
      <c r="U167" s="286">
        <f t="shared" si="5"/>
        <v>3978.8566575158088</v>
      </c>
      <c r="V167" s="286">
        <f>VLOOKUP(T167,Calibration!$D$17:$E$22,2,FALSE)*S167</f>
        <v>750.97576786501929</v>
      </c>
      <c r="W167" t="s">
        <v>764</v>
      </c>
      <c r="X167">
        <v>408.99017700000002</v>
      </c>
      <c r="Y167">
        <v>1927.945436</v>
      </c>
    </row>
    <row r="168" spans="1:25">
      <c r="A168" s="277" t="str">
        <f>SEEMoutput!A170</f>
        <v>NWHZ1CZ2_2200n_25gshp_des1</v>
      </c>
      <c r="B168" s="286">
        <f>SEEMoutput!O170</f>
        <v>3600.2654299999999</v>
      </c>
      <c r="C168" s="287">
        <v>7.3176286641200919E-2</v>
      </c>
      <c r="D168" s="277">
        <f>IF(SEEMoutput!G170&lt;6000,1,IF(SEEMoutput!G170&lt;7500,2,3))</f>
        <v>1</v>
      </c>
      <c r="E168" s="277" t="str">
        <f>IF(LEFT(SEEMoutput!BE170,1)="F","FUR",IF(LEFT(SEEMoutput!BE170,1)="D","DHP","HP"))</f>
        <v>HP</v>
      </c>
      <c r="F168" s="288">
        <f>SEEMoutput!E170</f>
        <v>420.37597399999999</v>
      </c>
      <c r="G168" s="289">
        <f>F168*(69-30)*SEEMoutput!N170/SEEMoutput!M170</f>
        <v>20483.461493347506</v>
      </c>
      <c r="H168" s="290">
        <f>'(Tons) (Furnsize)'!$F$52+'(Tons) (Furnsize)'!$F$53*'(Tons) (Furnsize)'!$B$15+'(Tons) (Furnsize)'!$F$54*G168</f>
        <v>2.4643198300634377</v>
      </c>
      <c r="I168" s="290">
        <f>H168/'(Tons) (Furnsize)'!$G$7</f>
        <v>2.0425683789231717</v>
      </c>
      <c r="J168" s="291">
        <f>F168*(69-VLOOKUP(D168,'(Tons) (Furnsize)'!$D$15:$E$17,2,FALSE))/3412</f>
        <v>6.4066678335287222</v>
      </c>
      <c r="K168" s="292">
        <f>INDEX(Calibration!$A$4:$L$13,MATCH($D168&amp;$E168,Calibration!$A$4:$A$13,0),MATCH(K$4,Calibration!$A$4:$L$4,0))</f>
        <v>0.2</v>
      </c>
      <c r="L168" s="292">
        <f>INDEX(Calibration!$A$4:$L$13,MATCH($D168&amp;$E168,Calibration!$A$4:$A$13,0),MATCH(L$4,Calibration!$A$4:$L$4,0))</f>
        <v>1.3869915874526988</v>
      </c>
      <c r="M168" s="292">
        <f>INDEX(Calibration!$A$4:$L$13,MATCH($D168&amp;$E168,Calibration!$A$4:$A$13,0),MATCH(M$4,Calibration!$A$4:$L$4,0))</f>
        <v>-2.2641144651923684</v>
      </c>
      <c r="N168" s="292">
        <f>INDEX(Calibration!$A$4:$L$13,MATCH($D168&amp;$E168,Calibration!$A$4:$A$13,0),MATCH(N$4,Calibration!$A$4:$L$4,0))</f>
        <v>1.5001973107123172</v>
      </c>
      <c r="O168" s="292">
        <f>INDEX(Calibration!$A$4:$L$13,MATCH($D168&amp;$E168,Calibration!$A$4:$A$13,0),MATCH(O$4,Calibration!$A$4:$L$4,0))</f>
        <v>-4.5282289303847367</v>
      </c>
      <c r="P168" s="292">
        <f>INDEX(Calibration!$A$4:$L$13,MATCH($D168&amp;$E168,Calibration!$A$4:$A$13,0),MATCH(P$4,Calibration!$A$4:$L$4,0))</f>
        <v>1.6700058956017449</v>
      </c>
      <c r="Q168" s="292">
        <f>INDEX(Calibration!$A$4:$L$13,MATCH($D168&amp;$E168,Calibration!$A$4:$A$13,0),MATCH(Q$4,Calibration!$A$4:$L$4,0))</f>
        <v>0.7643601095247976</v>
      </c>
      <c r="R168" s="293">
        <f>IF(C168&lt;Calibration!$F$5,L168,IF(C168&lt;Calibration!$E$5,C168*M168+N168,IF(C168&lt;K168,C168*O168+P168,Q168)))</f>
        <v>1.3345178216189111</v>
      </c>
      <c r="S168" s="286">
        <f t="shared" si="4"/>
        <v>4804.6183788934723</v>
      </c>
      <c r="T168" s="293">
        <f>IF(E168="DHP",VLOOKUP(D168,Calibration!$C$20:$E$22,2,FALSE),IF(D168=1,Calibration!$D$17,Calibration!$D$18))</f>
        <v>0.82813167326562143</v>
      </c>
      <c r="U168" s="286">
        <f t="shared" si="5"/>
        <v>3978.8566575158088</v>
      </c>
      <c r="V168" s="286">
        <f>VLOOKUP(T168,Calibration!$D$17:$E$22,2,FALSE)*S168</f>
        <v>750.97576786501929</v>
      </c>
      <c r="W168" t="s">
        <v>767</v>
      </c>
      <c r="X168">
        <v>701.89637300000004</v>
      </c>
      <c r="Y168">
        <v>1927.945436</v>
      </c>
    </row>
    <row r="169" spans="1:25">
      <c r="A169" s="277" t="str">
        <f>SEEMoutput!A171</f>
        <v>NWHZ1CZ3_2200n_25gshp_des1</v>
      </c>
      <c r="B169" s="286">
        <f>SEEMoutput!O171</f>
        <v>3600.2654299999999</v>
      </c>
      <c r="C169" s="287">
        <v>7.3176286641200919E-2</v>
      </c>
      <c r="D169" s="277">
        <f>IF(SEEMoutput!G171&lt;6000,1,IF(SEEMoutput!G171&lt;7500,2,3))</f>
        <v>1</v>
      </c>
      <c r="E169" s="277" t="str">
        <f>IF(LEFT(SEEMoutput!BE171,1)="F","FUR",IF(LEFT(SEEMoutput!BE171,1)="D","DHP","HP"))</f>
        <v>HP</v>
      </c>
      <c r="F169" s="288">
        <f>SEEMoutput!E171</f>
        <v>420.37597399999999</v>
      </c>
      <c r="G169" s="289">
        <f>F169*(69-30)*SEEMoutput!N171/SEEMoutput!M171</f>
        <v>20483.461493347506</v>
      </c>
      <c r="H169" s="290">
        <f>'(Tons) (Furnsize)'!$F$52+'(Tons) (Furnsize)'!$F$53*'(Tons) (Furnsize)'!$B$15+'(Tons) (Furnsize)'!$F$54*G169</f>
        <v>2.4643198300634377</v>
      </c>
      <c r="I169" s="290">
        <f>H169/'(Tons) (Furnsize)'!$G$7</f>
        <v>2.0425683789231717</v>
      </c>
      <c r="J169" s="291">
        <f>F169*(69-VLOOKUP(D169,'(Tons) (Furnsize)'!$D$15:$E$17,2,FALSE))/3412</f>
        <v>6.4066678335287222</v>
      </c>
      <c r="K169" s="292">
        <f>INDEX(Calibration!$A$4:$L$13,MATCH($D169&amp;$E169,Calibration!$A$4:$A$13,0),MATCH(K$4,Calibration!$A$4:$L$4,0))</f>
        <v>0.2</v>
      </c>
      <c r="L169" s="292">
        <f>INDEX(Calibration!$A$4:$L$13,MATCH($D169&amp;$E169,Calibration!$A$4:$A$13,0),MATCH(L$4,Calibration!$A$4:$L$4,0))</f>
        <v>1.3869915874526988</v>
      </c>
      <c r="M169" s="292">
        <f>INDEX(Calibration!$A$4:$L$13,MATCH($D169&amp;$E169,Calibration!$A$4:$A$13,0),MATCH(M$4,Calibration!$A$4:$L$4,0))</f>
        <v>-2.2641144651923684</v>
      </c>
      <c r="N169" s="292">
        <f>INDEX(Calibration!$A$4:$L$13,MATCH($D169&amp;$E169,Calibration!$A$4:$A$13,0),MATCH(N$4,Calibration!$A$4:$L$4,0))</f>
        <v>1.5001973107123172</v>
      </c>
      <c r="O169" s="292">
        <f>INDEX(Calibration!$A$4:$L$13,MATCH($D169&amp;$E169,Calibration!$A$4:$A$13,0),MATCH(O$4,Calibration!$A$4:$L$4,0))</f>
        <v>-4.5282289303847367</v>
      </c>
      <c r="P169" s="292">
        <f>INDEX(Calibration!$A$4:$L$13,MATCH($D169&amp;$E169,Calibration!$A$4:$A$13,0),MATCH(P$4,Calibration!$A$4:$L$4,0))</f>
        <v>1.6700058956017449</v>
      </c>
      <c r="Q169" s="292">
        <f>INDEX(Calibration!$A$4:$L$13,MATCH($D169&amp;$E169,Calibration!$A$4:$A$13,0),MATCH(Q$4,Calibration!$A$4:$L$4,0))</f>
        <v>0.7643601095247976</v>
      </c>
      <c r="R169" s="293">
        <f>IF(C169&lt;Calibration!$F$5,L169,IF(C169&lt;Calibration!$E$5,C169*M169+N169,IF(C169&lt;K169,C169*O169+P169,Q169)))</f>
        <v>1.3345178216189111</v>
      </c>
      <c r="S169" s="286">
        <f t="shared" si="4"/>
        <v>4804.6183788934723</v>
      </c>
      <c r="T169" s="293">
        <f>IF(E169="DHP",VLOOKUP(D169,Calibration!$C$20:$E$22,2,FALSE),IF(D169=1,Calibration!$D$17,Calibration!$D$18))</f>
        <v>0.82813167326562143</v>
      </c>
      <c r="U169" s="286">
        <f t="shared" si="5"/>
        <v>3978.8566575158088</v>
      </c>
      <c r="V169" s="286">
        <f>VLOOKUP(T169,Calibration!$D$17:$E$22,2,FALSE)*S169</f>
        <v>750.97576786501929</v>
      </c>
      <c r="W169" t="s">
        <v>770</v>
      </c>
      <c r="X169">
        <v>1048.3913150000001</v>
      </c>
      <c r="Y169">
        <v>1927.945436</v>
      </c>
    </row>
    <row r="170" spans="1:25">
      <c r="A170" s="277" t="str">
        <f>SEEMoutput!A172</f>
        <v>WxHZ1CZ1_2200e_30gshp_des1</v>
      </c>
      <c r="B170" s="286">
        <f>SEEMoutput!O172</f>
        <v>4255.7805559999997</v>
      </c>
      <c r="C170" s="287">
        <v>8.6024735178476225E-2</v>
      </c>
      <c r="D170" s="277">
        <f>IF(SEEMoutput!G172&lt;6000,1,IF(SEEMoutput!G172&lt;7500,2,3))</f>
        <v>1</v>
      </c>
      <c r="E170" s="277" t="str">
        <f>IF(LEFT(SEEMoutput!BE172,1)="F","FUR",IF(LEFT(SEEMoutput!BE172,1)="D","DHP","HP"))</f>
        <v>HP</v>
      </c>
      <c r="F170" s="288">
        <f>SEEMoutput!E172</f>
        <v>486.02175299999999</v>
      </c>
      <c r="G170" s="289">
        <f>F170*(69-30)*SEEMoutput!N172/SEEMoutput!M172</f>
        <v>23792.236576710056</v>
      </c>
      <c r="H170" s="290">
        <f>'(Tons) (Furnsize)'!$F$52+'(Tons) (Furnsize)'!$F$53*'(Tons) (Furnsize)'!$B$15+'(Tons) (Furnsize)'!$F$54*G170</f>
        <v>2.8528044203944618</v>
      </c>
      <c r="I170" s="290">
        <f>H170/'(Tons) (Furnsize)'!$G$7</f>
        <v>2.3645664938710378</v>
      </c>
      <c r="J170" s="291">
        <f>F170*(69-VLOOKUP(D170,'(Tons) (Furnsize)'!$D$15:$E$17,2,FALSE))/3412</f>
        <v>7.4071310539273156</v>
      </c>
      <c r="K170" s="292">
        <f>INDEX(Calibration!$A$4:$L$13,MATCH($D170&amp;$E170,Calibration!$A$4:$A$13,0),MATCH(K$4,Calibration!$A$4:$L$4,0))</f>
        <v>0.2</v>
      </c>
      <c r="L170" s="292">
        <f>INDEX(Calibration!$A$4:$L$13,MATCH($D170&amp;$E170,Calibration!$A$4:$A$13,0),MATCH(L$4,Calibration!$A$4:$L$4,0))</f>
        <v>1.3869915874526988</v>
      </c>
      <c r="M170" s="292">
        <f>INDEX(Calibration!$A$4:$L$13,MATCH($D170&amp;$E170,Calibration!$A$4:$A$13,0),MATCH(M$4,Calibration!$A$4:$L$4,0))</f>
        <v>-2.2641144651923684</v>
      </c>
      <c r="N170" s="292">
        <f>INDEX(Calibration!$A$4:$L$13,MATCH($D170&amp;$E170,Calibration!$A$4:$A$13,0),MATCH(N$4,Calibration!$A$4:$L$4,0))</f>
        <v>1.5001973107123172</v>
      </c>
      <c r="O170" s="292">
        <f>INDEX(Calibration!$A$4:$L$13,MATCH($D170&amp;$E170,Calibration!$A$4:$A$13,0),MATCH(O$4,Calibration!$A$4:$L$4,0))</f>
        <v>-4.5282289303847367</v>
      </c>
      <c r="P170" s="292">
        <f>INDEX(Calibration!$A$4:$L$13,MATCH($D170&amp;$E170,Calibration!$A$4:$A$13,0),MATCH(P$4,Calibration!$A$4:$L$4,0))</f>
        <v>1.6700058956017449</v>
      </c>
      <c r="Q170" s="292">
        <f>INDEX(Calibration!$A$4:$L$13,MATCH($D170&amp;$E170,Calibration!$A$4:$A$13,0),MATCH(Q$4,Calibration!$A$4:$L$4,0))</f>
        <v>0.7643601095247976</v>
      </c>
      <c r="R170" s="293">
        <f>IF(C170&lt;Calibration!$F$5,L170,IF(C170&lt;Calibration!$E$5,C170*M170+N170,IF(C170&lt;K170,C170*O170+P170,Q170)))</f>
        <v>1.2804662010378833</v>
      </c>
      <c r="S170" s="286">
        <f t="shared" si="4"/>
        <v>5449.3831609922108</v>
      </c>
      <c r="T170" s="293">
        <f>IF(E170="DHP",VLOOKUP(D170,Calibration!$C$20:$E$22,2,FALSE),IF(D170=1,Calibration!$D$17,Calibration!$D$18))</f>
        <v>0.82813167326562143</v>
      </c>
      <c r="U170" s="286">
        <f t="shared" si="5"/>
        <v>4512.806795377981</v>
      </c>
      <c r="V170" s="286">
        <f>VLOOKUP(T170,Calibration!$D$17:$E$22,2,FALSE)*S170</f>
        <v>851.75437068933695</v>
      </c>
      <c r="W170" t="s">
        <v>764</v>
      </c>
      <c r="X170">
        <v>398.39023700000001</v>
      </c>
      <c r="Y170">
        <v>1909.7454729999999</v>
      </c>
    </row>
    <row r="171" spans="1:25">
      <c r="A171" s="277" t="str">
        <f>SEEMoutput!A173</f>
        <v>WxHZ1CZ2_2200e_30gshp_des1</v>
      </c>
      <c r="B171" s="286">
        <f>SEEMoutput!O173</f>
        <v>4255.7805559999997</v>
      </c>
      <c r="C171" s="287">
        <v>8.6024735178476225E-2</v>
      </c>
      <c r="D171" s="277">
        <f>IF(SEEMoutput!G173&lt;6000,1,IF(SEEMoutput!G173&lt;7500,2,3))</f>
        <v>1</v>
      </c>
      <c r="E171" s="277" t="str">
        <f>IF(LEFT(SEEMoutput!BE173,1)="F","FUR",IF(LEFT(SEEMoutput!BE173,1)="D","DHP","HP"))</f>
        <v>HP</v>
      </c>
      <c r="F171" s="288">
        <f>SEEMoutput!E173</f>
        <v>486.02175299999999</v>
      </c>
      <c r="G171" s="289">
        <f>F171*(69-30)*SEEMoutput!N173/SEEMoutput!M173</f>
        <v>23792.236576710056</v>
      </c>
      <c r="H171" s="290">
        <f>'(Tons) (Furnsize)'!$F$52+'(Tons) (Furnsize)'!$F$53*'(Tons) (Furnsize)'!$B$15+'(Tons) (Furnsize)'!$F$54*G171</f>
        <v>2.8528044203944618</v>
      </c>
      <c r="I171" s="290">
        <f>H171/'(Tons) (Furnsize)'!$G$7</f>
        <v>2.3645664938710378</v>
      </c>
      <c r="J171" s="291">
        <f>F171*(69-VLOOKUP(D171,'(Tons) (Furnsize)'!$D$15:$E$17,2,FALSE))/3412</f>
        <v>7.4071310539273156</v>
      </c>
      <c r="K171" s="292">
        <f>INDEX(Calibration!$A$4:$L$13,MATCH($D171&amp;$E171,Calibration!$A$4:$A$13,0),MATCH(K$4,Calibration!$A$4:$L$4,0))</f>
        <v>0.2</v>
      </c>
      <c r="L171" s="292">
        <f>INDEX(Calibration!$A$4:$L$13,MATCH($D171&amp;$E171,Calibration!$A$4:$A$13,0),MATCH(L$4,Calibration!$A$4:$L$4,0))</f>
        <v>1.3869915874526988</v>
      </c>
      <c r="M171" s="292">
        <f>INDEX(Calibration!$A$4:$L$13,MATCH($D171&amp;$E171,Calibration!$A$4:$A$13,0),MATCH(M$4,Calibration!$A$4:$L$4,0))</f>
        <v>-2.2641144651923684</v>
      </c>
      <c r="N171" s="292">
        <f>INDEX(Calibration!$A$4:$L$13,MATCH($D171&amp;$E171,Calibration!$A$4:$A$13,0),MATCH(N$4,Calibration!$A$4:$L$4,0))</f>
        <v>1.5001973107123172</v>
      </c>
      <c r="O171" s="292">
        <f>INDEX(Calibration!$A$4:$L$13,MATCH($D171&amp;$E171,Calibration!$A$4:$A$13,0),MATCH(O$4,Calibration!$A$4:$L$4,0))</f>
        <v>-4.5282289303847367</v>
      </c>
      <c r="P171" s="292">
        <f>INDEX(Calibration!$A$4:$L$13,MATCH($D171&amp;$E171,Calibration!$A$4:$A$13,0),MATCH(P$4,Calibration!$A$4:$L$4,0))</f>
        <v>1.6700058956017449</v>
      </c>
      <c r="Q171" s="292">
        <f>INDEX(Calibration!$A$4:$L$13,MATCH($D171&amp;$E171,Calibration!$A$4:$A$13,0),MATCH(Q$4,Calibration!$A$4:$L$4,0))</f>
        <v>0.7643601095247976</v>
      </c>
      <c r="R171" s="293">
        <f>IF(C171&lt;Calibration!$F$5,L171,IF(C171&lt;Calibration!$E$5,C171*M171+N171,IF(C171&lt;K171,C171*O171+P171,Q171)))</f>
        <v>1.2804662010378833</v>
      </c>
      <c r="S171" s="286">
        <f t="shared" si="4"/>
        <v>5449.3831609922108</v>
      </c>
      <c r="T171" s="293">
        <f>IF(E171="DHP",VLOOKUP(D171,Calibration!$C$20:$E$22,2,FALSE),IF(D171=1,Calibration!$D$17,Calibration!$D$18))</f>
        <v>0.82813167326562143</v>
      </c>
      <c r="U171" s="286">
        <f t="shared" si="5"/>
        <v>4512.806795377981</v>
      </c>
      <c r="V171" s="286">
        <f>VLOOKUP(T171,Calibration!$D$17:$E$22,2,FALSE)*S171</f>
        <v>851.75437068933695</v>
      </c>
      <c r="W171" t="s">
        <v>767</v>
      </c>
      <c r="X171">
        <v>715.96745099999998</v>
      </c>
      <c r="Y171">
        <v>1909.7454729999999</v>
      </c>
    </row>
    <row r="172" spans="1:25">
      <c r="A172" s="277" t="str">
        <f>SEEMoutput!A174</f>
        <v>WxHZ1CZ3_2200e_30gshp_des1</v>
      </c>
      <c r="B172" s="286">
        <f>SEEMoutput!O174</f>
        <v>4255.7805559999997</v>
      </c>
      <c r="C172" s="287">
        <v>8.6024735178476225E-2</v>
      </c>
      <c r="D172" s="277">
        <f>IF(SEEMoutput!G174&lt;6000,1,IF(SEEMoutput!G174&lt;7500,2,3))</f>
        <v>1</v>
      </c>
      <c r="E172" s="277" t="str">
        <f>IF(LEFT(SEEMoutput!BE174,1)="F","FUR",IF(LEFT(SEEMoutput!BE174,1)="D","DHP","HP"))</f>
        <v>HP</v>
      </c>
      <c r="F172" s="288">
        <f>SEEMoutput!E174</f>
        <v>486.02175299999999</v>
      </c>
      <c r="G172" s="289">
        <f>F172*(69-30)*SEEMoutput!N174/SEEMoutput!M174</f>
        <v>23792.236576710056</v>
      </c>
      <c r="H172" s="290">
        <f>'(Tons) (Furnsize)'!$F$52+'(Tons) (Furnsize)'!$F$53*'(Tons) (Furnsize)'!$B$15+'(Tons) (Furnsize)'!$F$54*G172</f>
        <v>2.8528044203944618</v>
      </c>
      <c r="I172" s="290">
        <f>H172/'(Tons) (Furnsize)'!$G$7</f>
        <v>2.3645664938710378</v>
      </c>
      <c r="J172" s="291">
        <f>F172*(69-VLOOKUP(D172,'(Tons) (Furnsize)'!$D$15:$E$17,2,FALSE))/3412</f>
        <v>7.4071310539273156</v>
      </c>
      <c r="K172" s="292">
        <f>INDEX(Calibration!$A$4:$L$13,MATCH($D172&amp;$E172,Calibration!$A$4:$A$13,0),MATCH(K$4,Calibration!$A$4:$L$4,0))</f>
        <v>0.2</v>
      </c>
      <c r="L172" s="292">
        <f>INDEX(Calibration!$A$4:$L$13,MATCH($D172&amp;$E172,Calibration!$A$4:$A$13,0),MATCH(L$4,Calibration!$A$4:$L$4,0))</f>
        <v>1.3869915874526988</v>
      </c>
      <c r="M172" s="292">
        <f>INDEX(Calibration!$A$4:$L$13,MATCH($D172&amp;$E172,Calibration!$A$4:$A$13,0),MATCH(M$4,Calibration!$A$4:$L$4,0))</f>
        <v>-2.2641144651923684</v>
      </c>
      <c r="N172" s="292">
        <f>INDEX(Calibration!$A$4:$L$13,MATCH($D172&amp;$E172,Calibration!$A$4:$A$13,0),MATCH(N$4,Calibration!$A$4:$L$4,0))</f>
        <v>1.5001973107123172</v>
      </c>
      <c r="O172" s="292">
        <f>INDEX(Calibration!$A$4:$L$13,MATCH($D172&amp;$E172,Calibration!$A$4:$A$13,0),MATCH(O$4,Calibration!$A$4:$L$4,0))</f>
        <v>-4.5282289303847367</v>
      </c>
      <c r="P172" s="292">
        <f>INDEX(Calibration!$A$4:$L$13,MATCH($D172&amp;$E172,Calibration!$A$4:$A$13,0),MATCH(P$4,Calibration!$A$4:$L$4,0))</f>
        <v>1.6700058956017449</v>
      </c>
      <c r="Q172" s="292">
        <f>INDEX(Calibration!$A$4:$L$13,MATCH($D172&amp;$E172,Calibration!$A$4:$A$13,0),MATCH(Q$4,Calibration!$A$4:$L$4,0))</f>
        <v>0.7643601095247976</v>
      </c>
      <c r="R172" s="293">
        <f>IF(C172&lt;Calibration!$F$5,L172,IF(C172&lt;Calibration!$E$5,C172*M172+N172,IF(C172&lt;K172,C172*O172+P172,Q172)))</f>
        <v>1.2804662010378833</v>
      </c>
      <c r="S172" s="286">
        <f t="shared" si="4"/>
        <v>5449.3831609922108</v>
      </c>
      <c r="T172" s="293">
        <f>IF(E172="DHP",VLOOKUP(D172,Calibration!$C$20:$E$22,2,FALSE),IF(D172=1,Calibration!$D$17,Calibration!$D$18))</f>
        <v>0.82813167326562143</v>
      </c>
      <c r="U172" s="286">
        <f t="shared" si="5"/>
        <v>4512.806795377981</v>
      </c>
      <c r="V172" s="286">
        <f>VLOOKUP(T172,Calibration!$D$17:$E$22,2,FALSE)*S172</f>
        <v>851.75437068933695</v>
      </c>
      <c r="W172" t="s">
        <v>770</v>
      </c>
      <c r="X172">
        <v>1093.6780409999999</v>
      </c>
      <c r="Y172">
        <v>1909.7454729999999</v>
      </c>
    </row>
    <row r="173" spans="1:25">
      <c r="A173" s="277" t="str">
        <f>SEEMoutput!A175</f>
        <v>NWHZ2CZ1_2200n_25gshp_des1</v>
      </c>
      <c r="B173" s="286">
        <f>SEEMoutput!O175</f>
        <v>5491.6375260000004</v>
      </c>
      <c r="C173" s="287">
        <v>7.5391193046894858E-2</v>
      </c>
      <c r="D173" s="277">
        <f>IF(SEEMoutput!G175&lt;6000,1,IF(SEEMoutput!G175&lt;7500,2,3))</f>
        <v>2</v>
      </c>
      <c r="E173" s="277" t="str">
        <f>IF(LEFT(SEEMoutput!BE175,1)="F","FUR",IF(LEFT(SEEMoutput!BE175,1)="D","DHP","HP"))</f>
        <v>HP</v>
      </c>
      <c r="F173" s="288">
        <f>SEEMoutput!E175</f>
        <v>427.61718200000001</v>
      </c>
      <c r="G173" s="289">
        <f>F173*(69-30)*SEEMoutput!N175/SEEMoutput!M175</f>
        <v>21229.20186382352</v>
      </c>
      <c r="H173" s="290">
        <f>'(Tons) (Furnsize)'!$F$52+'(Tons) (Furnsize)'!$F$53*'(Tons) (Furnsize)'!$B$15+'(Tons) (Furnsize)'!$F$54*G173</f>
        <v>2.5518775017149249</v>
      </c>
      <c r="I173" s="290">
        <f>H173/'(Tons) (Furnsize)'!$G$7</f>
        <v>2.1151411550968153</v>
      </c>
      <c r="J173" s="291">
        <f>F173*(69-VLOOKUP(D173,'(Tons) (Furnsize)'!$D$15:$E$17,2,FALSE))/3412</f>
        <v>8.6475924847596719</v>
      </c>
      <c r="K173" s="292">
        <f>INDEX(Calibration!$A$4:$L$13,MATCH($D173&amp;$E173,Calibration!$A$4:$A$13,0),MATCH(K$4,Calibration!$A$4:$L$4,0))</f>
        <v>0.17499999999999999</v>
      </c>
      <c r="L173" s="292">
        <f>INDEX(Calibration!$A$4:$L$13,MATCH($D173&amp;$E173,Calibration!$A$4:$A$13,0),MATCH(L$4,Calibration!$A$4:$L$4,0))</f>
        <v>1.1965160377936901</v>
      </c>
      <c r="M173" s="292">
        <f>INDEX(Calibration!$A$4:$L$13,MATCH($D173&amp;$E173,Calibration!$A$4:$A$13,0),MATCH(M$4,Calibration!$A$4:$L$4,0))</f>
        <v>-2.050167690250368</v>
      </c>
      <c r="N173" s="292">
        <f>INDEX(Calibration!$A$4:$L$13,MATCH($D173&amp;$E173,Calibration!$A$4:$A$13,0),MATCH(N$4,Calibration!$A$4:$L$4,0))</f>
        <v>1.2990244223062084</v>
      </c>
      <c r="O173" s="292">
        <f>INDEX(Calibration!$A$4:$L$13,MATCH($D173&amp;$E173,Calibration!$A$4:$A$13,0),MATCH(O$4,Calibration!$A$4:$L$4,0))</f>
        <v>-4.1003353805007361</v>
      </c>
      <c r="P173" s="292">
        <f>INDEX(Calibration!$A$4:$L$13,MATCH($D173&amp;$E173,Calibration!$A$4:$A$13,0),MATCH(P$4,Calibration!$A$4:$L$4,0))</f>
        <v>1.452786999074986</v>
      </c>
      <c r="Q173" s="292">
        <f>INDEX(Calibration!$A$4:$L$13,MATCH($D173&amp;$E173,Calibration!$A$4:$A$13,0),MATCH(Q$4,Calibration!$A$4:$L$4,0))</f>
        <v>0.73522830748735724</v>
      </c>
      <c r="R173" s="293">
        <f>IF(C173&lt;Calibration!$F$5,L173,IF(C173&lt;Calibration!$E$5,C173*M173+N173,IF(C173&lt;K173,C173*O173+P173,Q173)))</f>
        <v>1.1436578228466419</v>
      </c>
      <c r="S173" s="286">
        <f t="shared" si="4"/>
        <v>6280.5542168480788</v>
      </c>
      <c r="T173" s="293">
        <f>IF(E173="DHP",VLOOKUP(D173,Calibration!$C$20:$E$22,2,FALSE),IF(D173=1,Calibration!$D$17,Calibration!$D$18))</f>
        <v>0.85917762533929642</v>
      </c>
      <c r="U173" s="286">
        <f t="shared" si="5"/>
        <v>5396.111657846237</v>
      </c>
      <c r="V173" s="286">
        <f>VLOOKUP(T173,Calibration!$D$17:$E$22,2,FALSE)*S173</f>
        <v>776.07493985596034</v>
      </c>
      <c r="W173" t="s">
        <v>779</v>
      </c>
      <c r="X173">
        <v>408.99017700000002</v>
      </c>
      <c r="Y173">
        <v>2675.1120820000001</v>
      </c>
    </row>
    <row r="174" spans="1:25">
      <c r="A174" s="277" t="str">
        <f>SEEMoutput!A176</f>
        <v>NWHZ2CZ2_2200n_25gshp_des1</v>
      </c>
      <c r="B174" s="286">
        <f>SEEMoutput!O176</f>
        <v>5491.6375260000004</v>
      </c>
      <c r="C174" s="287">
        <v>7.5391193046894858E-2</v>
      </c>
      <c r="D174" s="277">
        <f>IF(SEEMoutput!G176&lt;6000,1,IF(SEEMoutput!G176&lt;7500,2,3))</f>
        <v>2</v>
      </c>
      <c r="E174" s="277" t="str">
        <f>IF(LEFT(SEEMoutput!BE176,1)="F","FUR",IF(LEFT(SEEMoutput!BE176,1)="D","DHP","HP"))</f>
        <v>HP</v>
      </c>
      <c r="F174" s="288">
        <f>SEEMoutput!E176</f>
        <v>427.61718200000001</v>
      </c>
      <c r="G174" s="289">
        <f>F174*(69-30)*SEEMoutput!N176/SEEMoutput!M176</f>
        <v>21229.20186382352</v>
      </c>
      <c r="H174" s="290">
        <f>'(Tons) (Furnsize)'!$F$52+'(Tons) (Furnsize)'!$F$53*'(Tons) (Furnsize)'!$B$15+'(Tons) (Furnsize)'!$F$54*G174</f>
        <v>2.5518775017149249</v>
      </c>
      <c r="I174" s="290">
        <f>H174/'(Tons) (Furnsize)'!$G$7</f>
        <v>2.1151411550968153</v>
      </c>
      <c r="J174" s="291">
        <f>F174*(69-VLOOKUP(D174,'(Tons) (Furnsize)'!$D$15:$E$17,2,FALSE))/3412</f>
        <v>8.6475924847596719</v>
      </c>
      <c r="K174" s="292">
        <f>INDEX(Calibration!$A$4:$L$13,MATCH($D174&amp;$E174,Calibration!$A$4:$A$13,0),MATCH(K$4,Calibration!$A$4:$L$4,0))</f>
        <v>0.17499999999999999</v>
      </c>
      <c r="L174" s="292">
        <f>INDEX(Calibration!$A$4:$L$13,MATCH($D174&amp;$E174,Calibration!$A$4:$A$13,0),MATCH(L$4,Calibration!$A$4:$L$4,0))</f>
        <v>1.1965160377936901</v>
      </c>
      <c r="M174" s="292">
        <f>INDEX(Calibration!$A$4:$L$13,MATCH($D174&amp;$E174,Calibration!$A$4:$A$13,0),MATCH(M$4,Calibration!$A$4:$L$4,0))</f>
        <v>-2.050167690250368</v>
      </c>
      <c r="N174" s="292">
        <f>INDEX(Calibration!$A$4:$L$13,MATCH($D174&amp;$E174,Calibration!$A$4:$A$13,0),MATCH(N$4,Calibration!$A$4:$L$4,0))</f>
        <v>1.2990244223062084</v>
      </c>
      <c r="O174" s="292">
        <f>INDEX(Calibration!$A$4:$L$13,MATCH($D174&amp;$E174,Calibration!$A$4:$A$13,0),MATCH(O$4,Calibration!$A$4:$L$4,0))</f>
        <v>-4.1003353805007361</v>
      </c>
      <c r="P174" s="292">
        <f>INDEX(Calibration!$A$4:$L$13,MATCH($D174&amp;$E174,Calibration!$A$4:$A$13,0),MATCH(P$4,Calibration!$A$4:$L$4,0))</f>
        <v>1.452786999074986</v>
      </c>
      <c r="Q174" s="292">
        <f>INDEX(Calibration!$A$4:$L$13,MATCH($D174&amp;$E174,Calibration!$A$4:$A$13,0),MATCH(Q$4,Calibration!$A$4:$L$4,0))</f>
        <v>0.73522830748735724</v>
      </c>
      <c r="R174" s="293">
        <f>IF(C174&lt;Calibration!$F$5,L174,IF(C174&lt;Calibration!$E$5,C174*M174+N174,IF(C174&lt;K174,C174*O174+P174,Q174)))</f>
        <v>1.1436578228466419</v>
      </c>
      <c r="S174" s="286">
        <f t="shared" si="4"/>
        <v>6280.5542168480788</v>
      </c>
      <c r="T174" s="293">
        <f>IF(E174="DHP",VLOOKUP(D174,Calibration!$C$20:$E$22,2,FALSE),IF(D174=1,Calibration!$D$17,Calibration!$D$18))</f>
        <v>0.85917762533929642</v>
      </c>
      <c r="U174" s="286">
        <f t="shared" si="5"/>
        <v>5396.111657846237</v>
      </c>
      <c r="V174" s="286">
        <f>VLOOKUP(T174,Calibration!$D$17:$E$22,2,FALSE)*S174</f>
        <v>776.07493985596034</v>
      </c>
      <c r="W174" t="s">
        <v>782</v>
      </c>
      <c r="X174">
        <v>701.89637300000004</v>
      </c>
      <c r="Y174">
        <v>2675.1120820000001</v>
      </c>
    </row>
    <row r="175" spans="1:25">
      <c r="A175" s="277" t="str">
        <f>SEEMoutput!A177</f>
        <v>NWHZ2CZ3_2200n_25gshp_des1</v>
      </c>
      <c r="B175" s="286">
        <f>SEEMoutput!O177</f>
        <v>5491.6375260000004</v>
      </c>
      <c r="C175" s="287">
        <v>7.5391193046894858E-2</v>
      </c>
      <c r="D175" s="277">
        <f>IF(SEEMoutput!G177&lt;6000,1,IF(SEEMoutput!G177&lt;7500,2,3))</f>
        <v>2</v>
      </c>
      <c r="E175" s="277" t="str">
        <f>IF(LEFT(SEEMoutput!BE177,1)="F","FUR",IF(LEFT(SEEMoutput!BE177,1)="D","DHP","HP"))</f>
        <v>HP</v>
      </c>
      <c r="F175" s="288">
        <f>SEEMoutput!E177</f>
        <v>427.61718200000001</v>
      </c>
      <c r="G175" s="289">
        <f>F175*(69-30)*SEEMoutput!N177/SEEMoutput!M177</f>
        <v>21229.20186382352</v>
      </c>
      <c r="H175" s="290">
        <f>'(Tons) (Furnsize)'!$F$52+'(Tons) (Furnsize)'!$F$53*'(Tons) (Furnsize)'!$B$15+'(Tons) (Furnsize)'!$F$54*G175</f>
        <v>2.5518775017149249</v>
      </c>
      <c r="I175" s="290">
        <f>H175/'(Tons) (Furnsize)'!$G$7</f>
        <v>2.1151411550968153</v>
      </c>
      <c r="J175" s="291">
        <f>F175*(69-VLOOKUP(D175,'(Tons) (Furnsize)'!$D$15:$E$17,2,FALSE))/3412</f>
        <v>8.6475924847596719</v>
      </c>
      <c r="K175" s="292">
        <f>INDEX(Calibration!$A$4:$L$13,MATCH($D175&amp;$E175,Calibration!$A$4:$A$13,0),MATCH(K$4,Calibration!$A$4:$L$4,0))</f>
        <v>0.17499999999999999</v>
      </c>
      <c r="L175" s="292">
        <f>INDEX(Calibration!$A$4:$L$13,MATCH($D175&amp;$E175,Calibration!$A$4:$A$13,0),MATCH(L$4,Calibration!$A$4:$L$4,0))</f>
        <v>1.1965160377936901</v>
      </c>
      <c r="M175" s="292">
        <f>INDEX(Calibration!$A$4:$L$13,MATCH($D175&amp;$E175,Calibration!$A$4:$A$13,0),MATCH(M$4,Calibration!$A$4:$L$4,0))</f>
        <v>-2.050167690250368</v>
      </c>
      <c r="N175" s="292">
        <f>INDEX(Calibration!$A$4:$L$13,MATCH($D175&amp;$E175,Calibration!$A$4:$A$13,0),MATCH(N$4,Calibration!$A$4:$L$4,0))</f>
        <v>1.2990244223062084</v>
      </c>
      <c r="O175" s="292">
        <f>INDEX(Calibration!$A$4:$L$13,MATCH($D175&amp;$E175,Calibration!$A$4:$A$13,0),MATCH(O$4,Calibration!$A$4:$L$4,0))</f>
        <v>-4.1003353805007361</v>
      </c>
      <c r="P175" s="292">
        <f>INDEX(Calibration!$A$4:$L$13,MATCH($D175&amp;$E175,Calibration!$A$4:$A$13,0),MATCH(P$4,Calibration!$A$4:$L$4,0))</f>
        <v>1.452786999074986</v>
      </c>
      <c r="Q175" s="292">
        <f>INDEX(Calibration!$A$4:$L$13,MATCH($D175&amp;$E175,Calibration!$A$4:$A$13,0),MATCH(Q$4,Calibration!$A$4:$L$4,0))</f>
        <v>0.73522830748735724</v>
      </c>
      <c r="R175" s="293">
        <f>IF(C175&lt;Calibration!$F$5,L175,IF(C175&lt;Calibration!$E$5,C175*M175+N175,IF(C175&lt;K175,C175*O175+P175,Q175)))</f>
        <v>1.1436578228466419</v>
      </c>
      <c r="S175" s="286">
        <f t="shared" si="4"/>
        <v>6280.5542168480788</v>
      </c>
      <c r="T175" s="293">
        <f>IF(E175="DHP",VLOOKUP(D175,Calibration!$C$20:$E$22,2,FALSE),IF(D175=1,Calibration!$D$17,Calibration!$D$18))</f>
        <v>0.85917762533929642</v>
      </c>
      <c r="U175" s="286">
        <f t="shared" si="5"/>
        <v>5396.111657846237</v>
      </c>
      <c r="V175" s="286">
        <f>VLOOKUP(T175,Calibration!$D$17:$E$22,2,FALSE)*S175</f>
        <v>776.07493985596034</v>
      </c>
      <c r="W175" t="s">
        <v>785</v>
      </c>
      <c r="X175">
        <v>1048.3913150000001</v>
      </c>
      <c r="Y175">
        <v>2675.1120820000001</v>
      </c>
    </row>
    <row r="176" spans="1:25">
      <c r="A176" s="277" t="str">
        <f>SEEMoutput!A178</f>
        <v>WxHZ2CZ1_2200e_30gshp_des1</v>
      </c>
      <c r="B176" s="286">
        <f>SEEMoutput!O178</f>
        <v>6298.9215059999997</v>
      </c>
      <c r="C176" s="287">
        <v>8.8282274680255582E-2</v>
      </c>
      <c r="D176" s="277">
        <f>IF(SEEMoutput!G178&lt;6000,1,IF(SEEMoutput!G178&lt;7500,2,3))</f>
        <v>2</v>
      </c>
      <c r="E176" s="277" t="str">
        <f>IF(LEFT(SEEMoutput!BE178,1)="F","FUR",IF(LEFT(SEEMoutput!BE178,1)="D","DHP","HP"))</f>
        <v>HP</v>
      </c>
      <c r="F176" s="288">
        <f>SEEMoutput!E178</f>
        <v>493.49480499999999</v>
      </c>
      <c r="G176" s="289">
        <f>F176*(69-30)*SEEMoutput!N178/SEEMoutput!M178</f>
        <v>24654.094174656486</v>
      </c>
      <c r="H176" s="290">
        <f>'(Tons) (Furnsize)'!$F$52+'(Tons) (Furnsize)'!$F$53*'(Tons) (Furnsize)'!$B$15+'(Tons) (Furnsize)'!$F$54*G176</f>
        <v>2.9539954616185873</v>
      </c>
      <c r="I176" s="290">
        <f>H176/'(Tons) (Furnsize)'!$G$7</f>
        <v>2.4484393818432899</v>
      </c>
      <c r="J176" s="291">
        <f>F176*(69-VLOOKUP(D176,'(Tons) (Furnsize)'!$D$15:$E$17,2,FALSE))/3412</f>
        <v>9.9798187412075023</v>
      </c>
      <c r="K176" s="292">
        <f>INDEX(Calibration!$A$4:$L$13,MATCH($D176&amp;$E176,Calibration!$A$4:$A$13,0),MATCH(K$4,Calibration!$A$4:$L$4,0))</f>
        <v>0.17499999999999999</v>
      </c>
      <c r="L176" s="292">
        <f>INDEX(Calibration!$A$4:$L$13,MATCH($D176&amp;$E176,Calibration!$A$4:$A$13,0),MATCH(L$4,Calibration!$A$4:$L$4,0))</f>
        <v>1.1965160377936901</v>
      </c>
      <c r="M176" s="292">
        <f>INDEX(Calibration!$A$4:$L$13,MATCH($D176&amp;$E176,Calibration!$A$4:$A$13,0),MATCH(M$4,Calibration!$A$4:$L$4,0))</f>
        <v>-2.050167690250368</v>
      </c>
      <c r="N176" s="292">
        <f>INDEX(Calibration!$A$4:$L$13,MATCH($D176&amp;$E176,Calibration!$A$4:$A$13,0),MATCH(N$4,Calibration!$A$4:$L$4,0))</f>
        <v>1.2990244223062084</v>
      </c>
      <c r="O176" s="292">
        <f>INDEX(Calibration!$A$4:$L$13,MATCH($D176&amp;$E176,Calibration!$A$4:$A$13,0),MATCH(O$4,Calibration!$A$4:$L$4,0))</f>
        <v>-4.1003353805007361</v>
      </c>
      <c r="P176" s="292">
        <f>INDEX(Calibration!$A$4:$L$13,MATCH($D176&amp;$E176,Calibration!$A$4:$A$13,0),MATCH(P$4,Calibration!$A$4:$L$4,0))</f>
        <v>1.452786999074986</v>
      </c>
      <c r="Q176" s="292">
        <f>INDEX(Calibration!$A$4:$L$13,MATCH($D176&amp;$E176,Calibration!$A$4:$A$13,0),MATCH(Q$4,Calibration!$A$4:$L$4,0))</f>
        <v>0.73522830748735724</v>
      </c>
      <c r="R176" s="293">
        <f>IF(C176&lt;Calibration!$F$5,L176,IF(C176&lt;Calibration!$E$5,C176*M176+N176,IF(C176&lt;K176,C176*O176+P176,Q176)))</f>
        <v>1.0908000647324498</v>
      </c>
      <c r="S176" s="286">
        <f t="shared" si="4"/>
        <v>6870.8639864894203</v>
      </c>
      <c r="T176" s="293">
        <f>IF(E176="DHP",VLOOKUP(D176,Calibration!$C$20:$E$22,2,FALSE),IF(D176=1,Calibration!$D$17,Calibration!$D$18))</f>
        <v>0.85917762533929642</v>
      </c>
      <c r="U176" s="286">
        <f t="shared" si="5"/>
        <v>5903.2926039412714</v>
      </c>
      <c r="V176" s="286">
        <f>VLOOKUP(T176,Calibration!$D$17:$E$22,2,FALSE)*S176</f>
        <v>849.01828261731009</v>
      </c>
      <c r="W176" t="s">
        <v>779</v>
      </c>
      <c r="X176">
        <v>398.39023700000001</v>
      </c>
      <c r="Y176">
        <v>2642.8490259999999</v>
      </c>
    </row>
    <row r="177" spans="1:25">
      <c r="A177" s="277" t="str">
        <f>SEEMoutput!A179</f>
        <v>WxHZ2CZ2_2200e_30gshp_des1</v>
      </c>
      <c r="B177" s="286">
        <f>SEEMoutput!O179</f>
        <v>6298.9215059999997</v>
      </c>
      <c r="C177" s="287">
        <v>8.8282274680255582E-2</v>
      </c>
      <c r="D177" s="277">
        <f>IF(SEEMoutput!G179&lt;6000,1,IF(SEEMoutput!G179&lt;7500,2,3))</f>
        <v>2</v>
      </c>
      <c r="E177" s="277" t="str">
        <f>IF(LEFT(SEEMoutput!BE179,1)="F","FUR",IF(LEFT(SEEMoutput!BE179,1)="D","DHP","HP"))</f>
        <v>HP</v>
      </c>
      <c r="F177" s="288">
        <f>SEEMoutput!E179</f>
        <v>493.49480499999999</v>
      </c>
      <c r="G177" s="289">
        <f>F177*(69-30)*SEEMoutput!N179/SEEMoutput!M179</f>
        <v>24654.094174656486</v>
      </c>
      <c r="H177" s="290">
        <f>'(Tons) (Furnsize)'!$F$52+'(Tons) (Furnsize)'!$F$53*'(Tons) (Furnsize)'!$B$15+'(Tons) (Furnsize)'!$F$54*G177</f>
        <v>2.9539954616185873</v>
      </c>
      <c r="I177" s="290">
        <f>H177/'(Tons) (Furnsize)'!$G$7</f>
        <v>2.4484393818432899</v>
      </c>
      <c r="J177" s="291">
        <f>F177*(69-VLOOKUP(D177,'(Tons) (Furnsize)'!$D$15:$E$17,2,FALSE))/3412</f>
        <v>9.9798187412075023</v>
      </c>
      <c r="K177" s="292">
        <f>INDEX(Calibration!$A$4:$L$13,MATCH($D177&amp;$E177,Calibration!$A$4:$A$13,0),MATCH(K$4,Calibration!$A$4:$L$4,0))</f>
        <v>0.17499999999999999</v>
      </c>
      <c r="L177" s="292">
        <f>INDEX(Calibration!$A$4:$L$13,MATCH($D177&amp;$E177,Calibration!$A$4:$A$13,0),MATCH(L$4,Calibration!$A$4:$L$4,0))</f>
        <v>1.1965160377936901</v>
      </c>
      <c r="M177" s="292">
        <f>INDEX(Calibration!$A$4:$L$13,MATCH($D177&amp;$E177,Calibration!$A$4:$A$13,0),MATCH(M$4,Calibration!$A$4:$L$4,0))</f>
        <v>-2.050167690250368</v>
      </c>
      <c r="N177" s="292">
        <f>INDEX(Calibration!$A$4:$L$13,MATCH($D177&amp;$E177,Calibration!$A$4:$A$13,0),MATCH(N$4,Calibration!$A$4:$L$4,0))</f>
        <v>1.2990244223062084</v>
      </c>
      <c r="O177" s="292">
        <f>INDEX(Calibration!$A$4:$L$13,MATCH($D177&amp;$E177,Calibration!$A$4:$A$13,0),MATCH(O$4,Calibration!$A$4:$L$4,0))</f>
        <v>-4.1003353805007361</v>
      </c>
      <c r="P177" s="292">
        <f>INDEX(Calibration!$A$4:$L$13,MATCH($D177&amp;$E177,Calibration!$A$4:$A$13,0),MATCH(P$4,Calibration!$A$4:$L$4,0))</f>
        <v>1.452786999074986</v>
      </c>
      <c r="Q177" s="292">
        <f>INDEX(Calibration!$A$4:$L$13,MATCH($D177&amp;$E177,Calibration!$A$4:$A$13,0),MATCH(Q$4,Calibration!$A$4:$L$4,0))</f>
        <v>0.73522830748735724</v>
      </c>
      <c r="R177" s="293">
        <f>IF(C177&lt;Calibration!$F$5,L177,IF(C177&lt;Calibration!$E$5,C177*M177+N177,IF(C177&lt;K177,C177*O177+P177,Q177)))</f>
        <v>1.0908000647324498</v>
      </c>
      <c r="S177" s="286">
        <f t="shared" si="4"/>
        <v>6870.8639864894203</v>
      </c>
      <c r="T177" s="293">
        <f>IF(E177="DHP",VLOOKUP(D177,Calibration!$C$20:$E$22,2,FALSE),IF(D177=1,Calibration!$D$17,Calibration!$D$18))</f>
        <v>0.85917762533929642</v>
      </c>
      <c r="U177" s="286">
        <f t="shared" si="5"/>
        <v>5903.2926039412714</v>
      </c>
      <c r="V177" s="286">
        <f>VLOOKUP(T177,Calibration!$D$17:$E$22,2,FALSE)*S177</f>
        <v>849.01828261731009</v>
      </c>
      <c r="W177" t="s">
        <v>782</v>
      </c>
      <c r="X177">
        <v>715.96745099999998</v>
      </c>
      <c r="Y177">
        <v>2642.8490259999999</v>
      </c>
    </row>
    <row r="178" spans="1:25">
      <c r="A178" s="277" t="str">
        <f>SEEMoutput!A180</f>
        <v>WxHZ2CZ3_2200e_30gshp_des1</v>
      </c>
      <c r="B178" s="286">
        <f>SEEMoutput!O180</f>
        <v>6298.9215059999997</v>
      </c>
      <c r="C178" s="287">
        <v>8.8282274680255582E-2</v>
      </c>
      <c r="D178" s="277">
        <f>IF(SEEMoutput!G180&lt;6000,1,IF(SEEMoutput!G180&lt;7500,2,3))</f>
        <v>2</v>
      </c>
      <c r="E178" s="277" t="str">
        <f>IF(LEFT(SEEMoutput!BE180,1)="F","FUR",IF(LEFT(SEEMoutput!BE180,1)="D","DHP","HP"))</f>
        <v>HP</v>
      </c>
      <c r="F178" s="288">
        <f>SEEMoutput!E180</f>
        <v>493.49480499999999</v>
      </c>
      <c r="G178" s="289">
        <f>F178*(69-30)*SEEMoutput!N180/SEEMoutput!M180</f>
        <v>24654.094174656486</v>
      </c>
      <c r="H178" s="290">
        <f>'(Tons) (Furnsize)'!$F$52+'(Tons) (Furnsize)'!$F$53*'(Tons) (Furnsize)'!$B$15+'(Tons) (Furnsize)'!$F$54*G178</f>
        <v>2.9539954616185873</v>
      </c>
      <c r="I178" s="290">
        <f>H178/'(Tons) (Furnsize)'!$G$7</f>
        <v>2.4484393818432899</v>
      </c>
      <c r="J178" s="291">
        <f>F178*(69-VLOOKUP(D178,'(Tons) (Furnsize)'!$D$15:$E$17,2,FALSE))/3412</f>
        <v>9.9798187412075023</v>
      </c>
      <c r="K178" s="292">
        <f>INDEX(Calibration!$A$4:$L$13,MATCH($D178&amp;$E178,Calibration!$A$4:$A$13,0),MATCH(K$4,Calibration!$A$4:$L$4,0))</f>
        <v>0.17499999999999999</v>
      </c>
      <c r="L178" s="292">
        <f>INDEX(Calibration!$A$4:$L$13,MATCH($D178&amp;$E178,Calibration!$A$4:$A$13,0),MATCH(L$4,Calibration!$A$4:$L$4,0))</f>
        <v>1.1965160377936901</v>
      </c>
      <c r="M178" s="292">
        <f>INDEX(Calibration!$A$4:$L$13,MATCH($D178&amp;$E178,Calibration!$A$4:$A$13,0),MATCH(M$4,Calibration!$A$4:$L$4,0))</f>
        <v>-2.050167690250368</v>
      </c>
      <c r="N178" s="292">
        <f>INDEX(Calibration!$A$4:$L$13,MATCH($D178&amp;$E178,Calibration!$A$4:$A$13,0),MATCH(N$4,Calibration!$A$4:$L$4,0))</f>
        <v>1.2990244223062084</v>
      </c>
      <c r="O178" s="292">
        <f>INDEX(Calibration!$A$4:$L$13,MATCH($D178&amp;$E178,Calibration!$A$4:$A$13,0),MATCH(O$4,Calibration!$A$4:$L$4,0))</f>
        <v>-4.1003353805007361</v>
      </c>
      <c r="P178" s="292">
        <f>INDEX(Calibration!$A$4:$L$13,MATCH($D178&amp;$E178,Calibration!$A$4:$A$13,0),MATCH(P$4,Calibration!$A$4:$L$4,0))</f>
        <v>1.452786999074986</v>
      </c>
      <c r="Q178" s="292">
        <f>INDEX(Calibration!$A$4:$L$13,MATCH($D178&amp;$E178,Calibration!$A$4:$A$13,0),MATCH(Q$4,Calibration!$A$4:$L$4,0))</f>
        <v>0.73522830748735724</v>
      </c>
      <c r="R178" s="293">
        <f>IF(C178&lt;Calibration!$F$5,L178,IF(C178&lt;Calibration!$E$5,C178*M178+N178,IF(C178&lt;K178,C178*O178+P178,Q178)))</f>
        <v>1.0908000647324498</v>
      </c>
      <c r="S178" s="286">
        <f t="shared" si="4"/>
        <v>6870.8639864894203</v>
      </c>
      <c r="T178" s="293">
        <f>IF(E178="DHP",VLOOKUP(D178,Calibration!$C$20:$E$22,2,FALSE),IF(D178=1,Calibration!$D$17,Calibration!$D$18))</f>
        <v>0.85917762533929642</v>
      </c>
      <c r="U178" s="286">
        <f t="shared" si="5"/>
        <v>5903.2926039412714</v>
      </c>
      <c r="V178" s="286">
        <f>VLOOKUP(T178,Calibration!$D$17:$E$22,2,FALSE)*S178</f>
        <v>849.01828261731009</v>
      </c>
      <c r="W178" t="s">
        <v>785</v>
      </c>
      <c r="X178">
        <v>1093.6780409999999</v>
      </c>
      <c r="Y178">
        <v>2642.8490259999999</v>
      </c>
    </row>
    <row r="179" spans="1:25">
      <c r="A179" s="277" t="str">
        <f>SEEMoutput!A181</f>
        <v>NWHZ3CZ1_2200n_25gshp_des1</v>
      </c>
      <c r="B179" s="286">
        <f>SEEMoutput!O181</f>
        <v>7030.4961999999996</v>
      </c>
      <c r="C179" s="287">
        <v>7.5104576676788104E-2</v>
      </c>
      <c r="D179" s="277">
        <f>IF(SEEMoutput!G181&lt;6000,1,IF(SEEMoutput!G181&lt;7500,2,3))</f>
        <v>3</v>
      </c>
      <c r="E179" s="277" t="str">
        <f>IF(LEFT(SEEMoutput!BE181,1)="F","FUR",IF(LEFT(SEEMoutput!BE181,1)="D","DHP","HP"))</f>
        <v>HP</v>
      </c>
      <c r="F179" s="288">
        <f>SEEMoutput!E181</f>
        <v>423.91852599999999</v>
      </c>
      <c r="G179" s="289">
        <f>F179*(69-30)*SEEMoutput!N181/SEEMoutput!M181</f>
        <v>21250.447051885145</v>
      </c>
      <c r="H179" s="290">
        <f>'(Tons) (Furnsize)'!$F$52+'(Tons) (Furnsize)'!$F$53*'(Tons) (Furnsize)'!$B$15+'(Tons) (Furnsize)'!$F$54*G179</f>
        <v>2.5543719076424014</v>
      </c>
      <c r="I179" s="290">
        <f>H179/'(Tons) (Furnsize)'!$G$7</f>
        <v>2.1172086605437568</v>
      </c>
      <c r="J179" s="291">
        <f>F179*(69-VLOOKUP(D179,'(Tons) (Furnsize)'!$D$15:$E$17,2,FALSE))/3412</f>
        <v>11.678880845252051</v>
      </c>
      <c r="K179" s="292">
        <f>INDEX(Calibration!$A$4:$L$13,MATCH($D179&amp;$E179,Calibration!$A$4:$A$13,0),MATCH(K$4,Calibration!$A$4:$L$4,0))</f>
        <v>0.15</v>
      </c>
      <c r="L179" s="292">
        <f>INDEX(Calibration!$A$4:$L$13,MATCH($D179&amp;$E179,Calibration!$A$4:$A$13,0),MATCH(L$4,Calibration!$A$4:$L$4,0))</f>
        <v>1.0259371368886356</v>
      </c>
      <c r="M179" s="292">
        <f>INDEX(Calibration!$A$4:$L$13,MATCH($D179&amp;$E179,Calibration!$A$4:$A$13,0),MATCH(M$4,Calibration!$A$4:$L$4,0))</f>
        <v>-1.8551508104013119</v>
      </c>
      <c r="N179" s="292">
        <f>INDEX(Calibration!$A$4:$L$13,MATCH($D179&amp;$E179,Calibration!$A$4:$A$13,0),MATCH(N$4,Calibration!$A$4:$L$4,0))</f>
        <v>1.1186946774087012</v>
      </c>
      <c r="O179" s="292">
        <f>INDEX(Calibration!$A$4:$L$13,MATCH($D179&amp;$E179,Calibration!$A$4:$A$13,0),MATCH(O$4,Calibration!$A$4:$L$4,0))</f>
        <v>-3.7103016208026238</v>
      </c>
      <c r="P179" s="292">
        <f>INDEX(Calibration!$A$4:$L$13,MATCH($D179&amp;$E179,Calibration!$A$4:$A$13,0),MATCH(P$4,Calibration!$A$4:$L$4,0))</f>
        <v>1.2578309881887995</v>
      </c>
      <c r="Q179" s="292">
        <f>INDEX(Calibration!$A$4:$L$13,MATCH($D179&amp;$E179,Calibration!$A$4:$A$13,0),MATCH(Q$4,Calibration!$A$4:$L$4,0))</f>
        <v>0.7012857450684058</v>
      </c>
      <c r="R179" s="293">
        <f>IF(C179&lt;Calibration!$F$5,L179,IF(C179&lt;Calibration!$E$5,C179*M179+N179,IF(C179&lt;K179,C179*O179+P179,Q179)))</f>
        <v>0.97917035561521759</v>
      </c>
      <c r="S179" s="286">
        <f t="shared" si="4"/>
        <v>6884.0534643054352</v>
      </c>
      <c r="T179" s="293">
        <f>IF(E179="DHP",VLOOKUP(D179,Calibration!$C$20:$E$22,2,FALSE),IF(D179=1,Calibration!$D$17,Calibration!$D$18))</f>
        <v>0.85917762533929642</v>
      </c>
      <c r="U179" s="286">
        <f t="shared" si="5"/>
        <v>5914.6247081707006</v>
      </c>
      <c r="V179" s="286">
        <f>VLOOKUP(T179,Calibration!$D$17:$E$22,2,FALSE)*S179</f>
        <v>850.64807878646604</v>
      </c>
      <c r="W179" t="s">
        <v>794</v>
      </c>
      <c r="X179">
        <v>408.99017700000002</v>
      </c>
      <c r="Y179">
        <v>3051.6689569999999</v>
      </c>
    </row>
    <row r="180" spans="1:25">
      <c r="A180" s="277" t="str">
        <f>SEEMoutput!A182</f>
        <v>NWHZ3CZ2_2200n_25gshp_des1</v>
      </c>
      <c r="B180" s="286">
        <f>SEEMoutput!O182</f>
        <v>7030.4961999999996</v>
      </c>
      <c r="C180" s="287">
        <v>7.5104576676788104E-2</v>
      </c>
      <c r="D180" s="277">
        <f>IF(SEEMoutput!G182&lt;6000,1,IF(SEEMoutput!G182&lt;7500,2,3))</f>
        <v>3</v>
      </c>
      <c r="E180" s="277" t="str">
        <f>IF(LEFT(SEEMoutput!BE182,1)="F","FUR",IF(LEFT(SEEMoutput!BE182,1)="D","DHP","HP"))</f>
        <v>HP</v>
      </c>
      <c r="F180" s="288">
        <f>SEEMoutput!E182</f>
        <v>423.91852599999999</v>
      </c>
      <c r="G180" s="289">
        <f>F180*(69-30)*SEEMoutput!N182/SEEMoutput!M182</f>
        <v>21250.447051885145</v>
      </c>
      <c r="H180" s="290">
        <f>'(Tons) (Furnsize)'!$F$52+'(Tons) (Furnsize)'!$F$53*'(Tons) (Furnsize)'!$B$15+'(Tons) (Furnsize)'!$F$54*G180</f>
        <v>2.5543719076424014</v>
      </c>
      <c r="I180" s="290">
        <f>H180/'(Tons) (Furnsize)'!$G$7</f>
        <v>2.1172086605437568</v>
      </c>
      <c r="J180" s="291">
        <f>F180*(69-VLOOKUP(D180,'(Tons) (Furnsize)'!$D$15:$E$17,2,FALSE))/3412</f>
        <v>11.678880845252051</v>
      </c>
      <c r="K180" s="292">
        <f>INDEX(Calibration!$A$4:$L$13,MATCH($D180&amp;$E180,Calibration!$A$4:$A$13,0),MATCH(K$4,Calibration!$A$4:$L$4,0))</f>
        <v>0.15</v>
      </c>
      <c r="L180" s="292">
        <f>INDEX(Calibration!$A$4:$L$13,MATCH($D180&amp;$E180,Calibration!$A$4:$A$13,0),MATCH(L$4,Calibration!$A$4:$L$4,0))</f>
        <v>1.0259371368886356</v>
      </c>
      <c r="M180" s="292">
        <f>INDEX(Calibration!$A$4:$L$13,MATCH($D180&amp;$E180,Calibration!$A$4:$A$13,0),MATCH(M$4,Calibration!$A$4:$L$4,0))</f>
        <v>-1.8551508104013119</v>
      </c>
      <c r="N180" s="292">
        <f>INDEX(Calibration!$A$4:$L$13,MATCH($D180&amp;$E180,Calibration!$A$4:$A$13,0),MATCH(N$4,Calibration!$A$4:$L$4,0))</f>
        <v>1.1186946774087012</v>
      </c>
      <c r="O180" s="292">
        <f>INDEX(Calibration!$A$4:$L$13,MATCH($D180&amp;$E180,Calibration!$A$4:$A$13,0),MATCH(O$4,Calibration!$A$4:$L$4,0))</f>
        <v>-3.7103016208026238</v>
      </c>
      <c r="P180" s="292">
        <f>INDEX(Calibration!$A$4:$L$13,MATCH($D180&amp;$E180,Calibration!$A$4:$A$13,0),MATCH(P$4,Calibration!$A$4:$L$4,0))</f>
        <v>1.2578309881887995</v>
      </c>
      <c r="Q180" s="292">
        <f>INDEX(Calibration!$A$4:$L$13,MATCH($D180&amp;$E180,Calibration!$A$4:$A$13,0),MATCH(Q$4,Calibration!$A$4:$L$4,0))</f>
        <v>0.7012857450684058</v>
      </c>
      <c r="R180" s="293">
        <f>IF(C180&lt;Calibration!$F$5,L180,IF(C180&lt;Calibration!$E$5,C180*M180+N180,IF(C180&lt;K180,C180*O180+P180,Q180)))</f>
        <v>0.97917035561521759</v>
      </c>
      <c r="S180" s="286">
        <f t="shared" si="4"/>
        <v>6884.0534643054352</v>
      </c>
      <c r="T180" s="293">
        <f>IF(E180="DHP",VLOOKUP(D180,Calibration!$C$20:$E$22,2,FALSE),IF(D180=1,Calibration!$D$17,Calibration!$D$18))</f>
        <v>0.85917762533929642</v>
      </c>
      <c r="U180" s="286">
        <f t="shared" si="5"/>
        <v>5914.6247081707006</v>
      </c>
      <c r="V180" s="286">
        <f>VLOOKUP(T180,Calibration!$D$17:$E$22,2,FALSE)*S180</f>
        <v>850.64807878646604</v>
      </c>
      <c r="W180" t="s">
        <v>797</v>
      </c>
      <c r="X180">
        <v>701.89637300000004</v>
      </c>
      <c r="Y180">
        <v>3051.6689569999999</v>
      </c>
    </row>
    <row r="181" spans="1:25">
      <c r="A181" s="277" t="str">
        <f>SEEMoutput!A183</f>
        <v>NWHZ3CZ3_2200n_25gshp_des1</v>
      </c>
      <c r="B181" s="286">
        <f>SEEMoutput!O183</f>
        <v>7030.4961999999996</v>
      </c>
      <c r="C181" s="287">
        <v>7.5104576676788104E-2</v>
      </c>
      <c r="D181" s="277">
        <f>IF(SEEMoutput!G183&lt;6000,1,IF(SEEMoutput!G183&lt;7500,2,3))</f>
        <v>3</v>
      </c>
      <c r="E181" s="277" t="str">
        <f>IF(LEFT(SEEMoutput!BE183,1)="F","FUR",IF(LEFT(SEEMoutput!BE183,1)="D","DHP","HP"))</f>
        <v>HP</v>
      </c>
      <c r="F181" s="288">
        <f>SEEMoutput!E183</f>
        <v>423.91852599999999</v>
      </c>
      <c r="G181" s="289">
        <f>F181*(69-30)*SEEMoutput!N183/SEEMoutput!M183</f>
        <v>21250.447051885145</v>
      </c>
      <c r="H181" s="290">
        <f>'(Tons) (Furnsize)'!$F$52+'(Tons) (Furnsize)'!$F$53*'(Tons) (Furnsize)'!$B$15+'(Tons) (Furnsize)'!$F$54*G181</f>
        <v>2.5543719076424014</v>
      </c>
      <c r="I181" s="290">
        <f>H181/'(Tons) (Furnsize)'!$G$7</f>
        <v>2.1172086605437568</v>
      </c>
      <c r="J181" s="291">
        <f>F181*(69-VLOOKUP(D181,'(Tons) (Furnsize)'!$D$15:$E$17,2,FALSE))/3412</f>
        <v>11.678880845252051</v>
      </c>
      <c r="K181" s="292">
        <f>INDEX(Calibration!$A$4:$L$13,MATCH($D181&amp;$E181,Calibration!$A$4:$A$13,0),MATCH(K$4,Calibration!$A$4:$L$4,0))</f>
        <v>0.15</v>
      </c>
      <c r="L181" s="292">
        <f>INDEX(Calibration!$A$4:$L$13,MATCH($D181&amp;$E181,Calibration!$A$4:$A$13,0),MATCH(L$4,Calibration!$A$4:$L$4,0))</f>
        <v>1.0259371368886356</v>
      </c>
      <c r="M181" s="292">
        <f>INDEX(Calibration!$A$4:$L$13,MATCH($D181&amp;$E181,Calibration!$A$4:$A$13,0),MATCH(M$4,Calibration!$A$4:$L$4,0))</f>
        <v>-1.8551508104013119</v>
      </c>
      <c r="N181" s="292">
        <f>INDEX(Calibration!$A$4:$L$13,MATCH($D181&amp;$E181,Calibration!$A$4:$A$13,0),MATCH(N$4,Calibration!$A$4:$L$4,0))</f>
        <v>1.1186946774087012</v>
      </c>
      <c r="O181" s="292">
        <f>INDEX(Calibration!$A$4:$L$13,MATCH($D181&amp;$E181,Calibration!$A$4:$A$13,0),MATCH(O$4,Calibration!$A$4:$L$4,0))</f>
        <v>-3.7103016208026238</v>
      </c>
      <c r="P181" s="292">
        <f>INDEX(Calibration!$A$4:$L$13,MATCH($D181&amp;$E181,Calibration!$A$4:$A$13,0),MATCH(P$4,Calibration!$A$4:$L$4,0))</f>
        <v>1.2578309881887995</v>
      </c>
      <c r="Q181" s="292">
        <f>INDEX(Calibration!$A$4:$L$13,MATCH($D181&amp;$E181,Calibration!$A$4:$A$13,0),MATCH(Q$4,Calibration!$A$4:$L$4,0))</f>
        <v>0.7012857450684058</v>
      </c>
      <c r="R181" s="293">
        <f>IF(C181&lt;Calibration!$F$5,L181,IF(C181&lt;Calibration!$E$5,C181*M181+N181,IF(C181&lt;K181,C181*O181+P181,Q181)))</f>
        <v>0.97917035561521759</v>
      </c>
      <c r="S181" s="286">
        <f t="shared" si="4"/>
        <v>6884.0534643054352</v>
      </c>
      <c r="T181" s="293">
        <f>IF(E181="DHP",VLOOKUP(D181,Calibration!$C$20:$E$22,2,FALSE),IF(D181=1,Calibration!$D$17,Calibration!$D$18))</f>
        <v>0.85917762533929642</v>
      </c>
      <c r="U181" s="286">
        <f t="shared" si="5"/>
        <v>5914.6247081707006</v>
      </c>
      <c r="V181" s="286">
        <f>VLOOKUP(T181,Calibration!$D$17:$E$22,2,FALSE)*S181</f>
        <v>850.64807878646604</v>
      </c>
      <c r="W181" t="s">
        <v>800</v>
      </c>
      <c r="X181">
        <v>1048.3913150000001</v>
      </c>
      <c r="Y181">
        <v>3051.6689569999999</v>
      </c>
    </row>
    <row r="182" spans="1:25">
      <c r="A182" s="277" t="str">
        <f>SEEMoutput!A184</f>
        <v>WxHZ3CZ1_2200e_30gshp_des1</v>
      </c>
      <c r="B182" s="286">
        <f>SEEMoutput!O184</f>
        <v>7980.0219090000001</v>
      </c>
      <c r="C182" s="287">
        <v>8.8107440872426404E-2</v>
      </c>
      <c r="D182" s="277">
        <f>IF(SEEMoutput!G184&lt;6000,1,IF(SEEMoutput!G184&lt;7500,2,3))</f>
        <v>3</v>
      </c>
      <c r="E182" s="277" t="str">
        <f>IF(LEFT(SEEMoutput!BE184,1)="F","FUR",IF(LEFT(SEEMoutput!BE184,1)="D","DHP","HP"))</f>
        <v>HP</v>
      </c>
      <c r="F182" s="288">
        <f>SEEMoutput!E184</f>
        <v>490.40903600000001</v>
      </c>
      <c r="G182" s="289">
        <f>F182*(69-30)*SEEMoutput!N184/SEEMoutput!M184</f>
        <v>24762.941272366872</v>
      </c>
      <c r="H182" s="290">
        <f>'(Tons) (Furnsize)'!$F$52+'(Tons) (Furnsize)'!$F$53*'(Tons) (Furnsize)'!$B$15+'(Tons) (Furnsize)'!$F$54*G182</f>
        <v>2.9667752423825817</v>
      </c>
      <c r="I182" s="290">
        <f>H182/'(Tons) (Furnsize)'!$G$7</f>
        <v>2.4590319907082816</v>
      </c>
      <c r="J182" s="291">
        <f>F182*(69-VLOOKUP(D182,'(Tons) (Furnsize)'!$D$15:$E$17,2,FALSE))/3412</f>
        <v>13.510682703399766</v>
      </c>
      <c r="K182" s="292">
        <f>INDEX(Calibration!$A$4:$L$13,MATCH($D182&amp;$E182,Calibration!$A$4:$A$13,0),MATCH(K$4,Calibration!$A$4:$L$4,0))</f>
        <v>0.15</v>
      </c>
      <c r="L182" s="292">
        <f>INDEX(Calibration!$A$4:$L$13,MATCH($D182&amp;$E182,Calibration!$A$4:$A$13,0),MATCH(L$4,Calibration!$A$4:$L$4,0))</f>
        <v>1.0259371368886356</v>
      </c>
      <c r="M182" s="292">
        <f>INDEX(Calibration!$A$4:$L$13,MATCH($D182&amp;$E182,Calibration!$A$4:$A$13,0),MATCH(M$4,Calibration!$A$4:$L$4,0))</f>
        <v>-1.8551508104013119</v>
      </c>
      <c r="N182" s="292">
        <f>INDEX(Calibration!$A$4:$L$13,MATCH($D182&amp;$E182,Calibration!$A$4:$A$13,0),MATCH(N$4,Calibration!$A$4:$L$4,0))</f>
        <v>1.1186946774087012</v>
      </c>
      <c r="O182" s="292">
        <f>INDEX(Calibration!$A$4:$L$13,MATCH($D182&amp;$E182,Calibration!$A$4:$A$13,0),MATCH(O$4,Calibration!$A$4:$L$4,0))</f>
        <v>-3.7103016208026238</v>
      </c>
      <c r="P182" s="292">
        <f>INDEX(Calibration!$A$4:$L$13,MATCH($D182&amp;$E182,Calibration!$A$4:$A$13,0),MATCH(P$4,Calibration!$A$4:$L$4,0))</f>
        <v>1.2578309881887995</v>
      </c>
      <c r="Q182" s="292">
        <f>INDEX(Calibration!$A$4:$L$13,MATCH($D182&amp;$E182,Calibration!$A$4:$A$13,0),MATCH(Q$4,Calibration!$A$4:$L$4,0))</f>
        <v>0.7012857450684058</v>
      </c>
      <c r="R182" s="293">
        <f>IF(C182&lt;Calibration!$F$5,L182,IF(C182&lt;Calibration!$E$5,C182*M182+N182,IF(C182&lt;K182,C182*O182+P182,Q182)))</f>
        <v>0.93092580751506437</v>
      </c>
      <c r="S182" s="286">
        <f t="shared" si="4"/>
        <v>7428.8083396237307</v>
      </c>
      <c r="T182" s="293">
        <f>IF(E182="DHP",VLOOKUP(D182,Calibration!$C$20:$E$22,2,FALSE),IF(D182=1,Calibration!$D$17,Calibration!$D$18))</f>
        <v>0.85917762533929642</v>
      </c>
      <c r="U182" s="286">
        <f t="shared" si="5"/>
        <v>6382.6659083386785</v>
      </c>
      <c r="V182" s="286">
        <f>VLOOKUP(T182,Calibration!$D$17:$E$22,2,FALSE)*S182</f>
        <v>917.96229859922914</v>
      </c>
      <c r="W182" t="s">
        <v>794</v>
      </c>
      <c r="X182">
        <v>398.39023700000001</v>
      </c>
      <c r="Y182">
        <v>3033.288153</v>
      </c>
    </row>
    <row r="183" spans="1:25">
      <c r="A183" s="277" t="str">
        <f>SEEMoutput!A185</f>
        <v>WxHZ3CZ2_2200e_30gshp_des1</v>
      </c>
      <c r="B183" s="286">
        <f>SEEMoutput!O185</f>
        <v>7980.0219090000001</v>
      </c>
      <c r="C183" s="287">
        <v>8.8107440872426404E-2</v>
      </c>
      <c r="D183" s="277">
        <f>IF(SEEMoutput!G185&lt;6000,1,IF(SEEMoutput!G185&lt;7500,2,3))</f>
        <v>3</v>
      </c>
      <c r="E183" s="277" t="str">
        <f>IF(LEFT(SEEMoutput!BE185,1)="F","FUR",IF(LEFT(SEEMoutput!BE185,1)="D","DHP","HP"))</f>
        <v>HP</v>
      </c>
      <c r="F183" s="288">
        <f>SEEMoutput!E185</f>
        <v>490.40903600000001</v>
      </c>
      <c r="G183" s="289">
        <f>F183*(69-30)*SEEMoutput!N185/SEEMoutput!M185</f>
        <v>24762.941272366872</v>
      </c>
      <c r="H183" s="290">
        <f>'(Tons) (Furnsize)'!$F$52+'(Tons) (Furnsize)'!$F$53*'(Tons) (Furnsize)'!$B$15+'(Tons) (Furnsize)'!$F$54*G183</f>
        <v>2.9667752423825817</v>
      </c>
      <c r="I183" s="290">
        <f>H183/'(Tons) (Furnsize)'!$G$7</f>
        <v>2.4590319907082816</v>
      </c>
      <c r="J183" s="291">
        <f>F183*(69-VLOOKUP(D183,'(Tons) (Furnsize)'!$D$15:$E$17,2,FALSE))/3412</f>
        <v>13.510682703399766</v>
      </c>
      <c r="K183" s="292">
        <f>INDEX(Calibration!$A$4:$L$13,MATCH($D183&amp;$E183,Calibration!$A$4:$A$13,0),MATCH(K$4,Calibration!$A$4:$L$4,0))</f>
        <v>0.15</v>
      </c>
      <c r="L183" s="292">
        <f>INDEX(Calibration!$A$4:$L$13,MATCH($D183&amp;$E183,Calibration!$A$4:$A$13,0),MATCH(L$4,Calibration!$A$4:$L$4,0))</f>
        <v>1.0259371368886356</v>
      </c>
      <c r="M183" s="292">
        <f>INDEX(Calibration!$A$4:$L$13,MATCH($D183&amp;$E183,Calibration!$A$4:$A$13,0),MATCH(M$4,Calibration!$A$4:$L$4,0))</f>
        <v>-1.8551508104013119</v>
      </c>
      <c r="N183" s="292">
        <f>INDEX(Calibration!$A$4:$L$13,MATCH($D183&amp;$E183,Calibration!$A$4:$A$13,0),MATCH(N$4,Calibration!$A$4:$L$4,0))</f>
        <v>1.1186946774087012</v>
      </c>
      <c r="O183" s="292">
        <f>INDEX(Calibration!$A$4:$L$13,MATCH($D183&amp;$E183,Calibration!$A$4:$A$13,0),MATCH(O$4,Calibration!$A$4:$L$4,0))</f>
        <v>-3.7103016208026238</v>
      </c>
      <c r="P183" s="292">
        <f>INDEX(Calibration!$A$4:$L$13,MATCH($D183&amp;$E183,Calibration!$A$4:$A$13,0),MATCH(P$4,Calibration!$A$4:$L$4,0))</f>
        <v>1.2578309881887995</v>
      </c>
      <c r="Q183" s="292">
        <f>INDEX(Calibration!$A$4:$L$13,MATCH($D183&amp;$E183,Calibration!$A$4:$A$13,0),MATCH(Q$4,Calibration!$A$4:$L$4,0))</f>
        <v>0.7012857450684058</v>
      </c>
      <c r="R183" s="293">
        <f>IF(C183&lt;Calibration!$F$5,L183,IF(C183&lt;Calibration!$E$5,C183*M183+N183,IF(C183&lt;K183,C183*O183+P183,Q183)))</f>
        <v>0.93092580751506437</v>
      </c>
      <c r="S183" s="286">
        <f t="shared" si="4"/>
        <v>7428.8083396237307</v>
      </c>
      <c r="T183" s="293">
        <f>IF(E183="DHP",VLOOKUP(D183,Calibration!$C$20:$E$22,2,FALSE),IF(D183=1,Calibration!$D$17,Calibration!$D$18))</f>
        <v>0.85917762533929642</v>
      </c>
      <c r="U183" s="286">
        <f t="shared" si="5"/>
        <v>6382.6659083386785</v>
      </c>
      <c r="V183" s="286">
        <f>VLOOKUP(T183,Calibration!$D$17:$E$22,2,FALSE)*S183</f>
        <v>917.96229859922914</v>
      </c>
      <c r="W183" t="s">
        <v>797</v>
      </c>
      <c r="X183">
        <v>715.96745099999998</v>
      </c>
      <c r="Y183">
        <v>3033.288153</v>
      </c>
    </row>
    <row r="184" spans="1:25">
      <c r="A184" s="277" t="str">
        <f>SEEMoutput!A186</f>
        <v>WxHZ3CZ3_2200e_30gshp_des1</v>
      </c>
      <c r="B184" s="286">
        <f>SEEMoutput!O186</f>
        <v>7980.0219090000001</v>
      </c>
      <c r="C184" s="287">
        <v>8.8107440872426404E-2</v>
      </c>
      <c r="D184" s="277">
        <f>IF(SEEMoutput!G186&lt;6000,1,IF(SEEMoutput!G186&lt;7500,2,3))</f>
        <v>3</v>
      </c>
      <c r="E184" s="277" t="str">
        <f>IF(LEFT(SEEMoutput!BE186,1)="F","FUR",IF(LEFT(SEEMoutput!BE186,1)="D","DHP","HP"))</f>
        <v>HP</v>
      </c>
      <c r="F184" s="288">
        <f>SEEMoutput!E186</f>
        <v>490.40903600000001</v>
      </c>
      <c r="G184" s="289">
        <f>F184*(69-30)*SEEMoutput!N186/SEEMoutput!M186</f>
        <v>24762.941272366872</v>
      </c>
      <c r="H184" s="290">
        <f>'(Tons) (Furnsize)'!$F$52+'(Tons) (Furnsize)'!$F$53*'(Tons) (Furnsize)'!$B$15+'(Tons) (Furnsize)'!$F$54*G184</f>
        <v>2.9667752423825817</v>
      </c>
      <c r="I184" s="290">
        <f>H184/'(Tons) (Furnsize)'!$G$7</f>
        <v>2.4590319907082816</v>
      </c>
      <c r="J184" s="291">
        <f>F184*(69-VLOOKUP(D184,'(Tons) (Furnsize)'!$D$15:$E$17,2,FALSE))/3412</f>
        <v>13.510682703399766</v>
      </c>
      <c r="K184" s="292">
        <f>INDEX(Calibration!$A$4:$L$13,MATCH($D184&amp;$E184,Calibration!$A$4:$A$13,0),MATCH(K$4,Calibration!$A$4:$L$4,0))</f>
        <v>0.15</v>
      </c>
      <c r="L184" s="292">
        <f>INDEX(Calibration!$A$4:$L$13,MATCH($D184&amp;$E184,Calibration!$A$4:$A$13,0),MATCH(L$4,Calibration!$A$4:$L$4,0))</f>
        <v>1.0259371368886356</v>
      </c>
      <c r="M184" s="292">
        <f>INDEX(Calibration!$A$4:$L$13,MATCH($D184&amp;$E184,Calibration!$A$4:$A$13,0),MATCH(M$4,Calibration!$A$4:$L$4,0))</f>
        <v>-1.8551508104013119</v>
      </c>
      <c r="N184" s="292">
        <f>INDEX(Calibration!$A$4:$L$13,MATCH($D184&amp;$E184,Calibration!$A$4:$A$13,0),MATCH(N$4,Calibration!$A$4:$L$4,0))</f>
        <v>1.1186946774087012</v>
      </c>
      <c r="O184" s="292">
        <f>INDEX(Calibration!$A$4:$L$13,MATCH($D184&amp;$E184,Calibration!$A$4:$A$13,0),MATCH(O$4,Calibration!$A$4:$L$4,0))</f>
        <v>-3.7103016208026238</v>
      </c>
      <c r="P184" s="292">
        <f>INDEX(Calibration!$A$4:$L$13,MATCH($D184&amp;$E184,Calibration!$A$4:$A$13,0),MATCH(P$4,Calibration!$A$4:$L$4,0))</f>
        <v>1.2578309881887995</v>
      </c>
      <c r="Q184" s="292">
        <f>INDEX(Calibration!$A$4:$L$13,MATCH($D184&amp;$E184,Calibration!$A$4:$A$13,0),MATCH(Q$4,Calibration!$A$4:$L$4,0))</f>
        <v>0.7012857450684058</v>
      </c>
      <c r="R184" s="293">
        <f>IF(C184&lt;Calibration!$F$5,L184,IF(C184&lt;Calibration!$E$5,C184*M184+N184,IF(C184&lt;K184,C184*O184+P184,Q184)))</f>
        <v>0.93092580751506437</v>
      </c>
      <c r="S184" s="286">
        <f t="shared" si="4"/>
        <v>7428.8083396237307</v>
      </c>
      <c r="T184" s="293">
        <f>IF(E184="DHP",VLOOKUP(D184,Calibration!$C$20:$E$22,2,FALSE),IF(D184=1,Calibration!$D$17,Calibration!$D$18))</f>
        <v>0.85917762533929642</v>
      </c>
      <c r="U184" s="286">
        <f t="shared" si="5"/>
        <v>6382.6659083386785</v>
      </c>
      <c r="V184" s="286">
        <f>VLOOKUP(T184,Calibration!$D$17:$E$22,2,FALSE)*S184</f>
        <v>917.96229859922914</v>
      </c>
      <c r="W184" t="s">
        <v>800</v>
      </c>
      <c r="X184">
        <v>1093.6780409999999</v>
      </c>
      <c r="Y184">
        <v>3033.288153</v>
      </c>
    </row>
    <row r="185" spans="1:25">
      <c r="A185" s="277" t="str">
        <f>SEEMoutput!A187</f>
        <v>NWHZ1CZ1_2688n_25gshp_des1</v>
      </c>
      <c r="B185" s="286">
        <f>SEEMoutput!O187</f>
        <v>3084.3868349999998</v>
      </c>
      <c r="C185" s="287">
        <v>8.2810388167972537E-2</v>
      </c>
      <c r="D185" s="277">
        <f>IF(SEEMoutput!G187&lt;6000,1,IF(SEEMoutput!G187&lt;7500,2,3))</f>
        <v>1</v>
      </c>
      <c r="E185" s="277" t="str">
        <f>IF(LEFT(SEEMoutput!BE187,1)="F","FUR",IF(LEFT(SEEMoutput!BE187,1)="D","DHP","HP"))</f>
        <v>HP</v>
      </c>
      <c r="F185" s="288">
        <f>SEEMoutput!E187</f>
        <v>439.57963699999999</v>
      </c>
      <c r="G185" s="289">
        <f>F185*(69-30)*SEEMoutput!N187/SEEMoutput!M187</f>
        <v>17429.993092840494</v>
      </c>
      <c r="H185" s="290">
        <f>'(Tons) (Furnsize)'!$F$52+'(Tons) (Furnsize)'!$F$53*'(Tons) (Furnsize)'!$B$15+'(Tons) (Furnsize)'!$F$54*G185</f>
        <v>2.1058108982764545</v>
      </c>
      <c r="I185" s="290">
        <f>H185/'(Tons) (Furnsize)'!$G$7</f>
        <v>1.7454157939801833</v>
      </c>
      <c r="J185" s="291">
        <f>F185*(69-VLOOKUP(D185,'(Tons) (Furnsize)'!$D$15:$E$17,2,FALSE))/3412</f>
        <v>6.6993379613130122</v>
      </c>
      <c r="K185" s="292">
        <f>INDEX(Calibration!$A$4:$L$13,MATCH($D185&amp;$E185,Calibration!$A$4:$A$13,0),MATCH(K$4,Calibration!$A$4:$L$4,0))</f>
        <v>0.2</v>
      </c>
      <c r="L185" s="292">
        <f>INDEX(Calibration!$A$4:$L$13,MATCH($D185&amp;$E185,Calibration!$A$4:$A$13,0),MATCH(L$4,Calibration!$A$4:$L$4,0))</f>
        <v>1.3869915874526988</v>
      </c>
      <c r="M185" s="292">
        <f>INDEX(Calibration!$A$4:$L$13,MATCH($D185&amp;$E185,Calibration!$A$4:$A$13,0),MATCH(M$4,Calibration!$A$4:$L$4,0))</f>
        <v>-2.2641144651923684</v>
      </c>
      <c r="N185" s="292">
        <f>INDEX(Calibration!$A$4:$L$13,MATCH($D185&amp;$E185,Calibration!$A$4:$A$13,0),MATCH(N$4,Calibration!$A$4:$L$4,0))</f>
        <v>1.5001973107123172</v>
      </c>
      <c r="O185" s="292">
        <f>INDEX(Calibration!$A$4:$L$13,MATCH($D185&amp;$E185,Calibration!$A$4:$A$13,0),MATCH(O$4,Calibration!$A$4:$L$4,0))</f>
        <v>-4.5282289303847367</v>
      </c>
      <c r="P185" s="292">
        <f>INDEX(Calibration!$A$4:$L$13,MATCH($D185&amp;$E185,Calibration!$A$4:$A$13,0),MATCH(P$4,Calibration!$A$4:$L$4,0))</f>
        <v>1.6700058956017449</v>
      </c>
      <c r="Q185" s="292">
        <f>INDEX(Calibration!$A$4:$L$13,MATCH($D185&amp;$E185,Calibration!$A$4:$A$13,0),MATCH(Q$4,Calibration!$A$4:$L$4,0))</f>
        <v>0.7643601095247976</v>
      </c>
      <c r="R185" s="293">
        <f>IF(C185&lt;Calibration!$F$5,L185,IF(C185&lt;Calibration!$E$5,C185*M185+N185,IF(C185&lt;K185,C185*O185+P185,Q185)))</f>
        <v>1.2950215001631418</v>
      </c>
      <c r="S185" s="286">
        <f t="shared" si="4"/>
        <v>3994.3472661451447</v>
      </c>
      <c r="T185" s="293">
        <f>IF(E185="DHP",VLOOKUP(D185,Calibration!$C$20:$E$22,2,FALSE),IF(D185=1,Calibration!$D$17,Calibration!$D$18))</f>
        <v>0.82813167326562143</v>
      </c>
      <c r="U185" s="286">
        <f t="shared" si="5"/>
        <v>3307.8454851167389</v>
      </c>
      <c r="V185" s="286">
        <f>VLOOKUP(T185,Calibration!$D$17:$E$22,2,FALSE)*S185</f>
        <v>624.32804621700825</v>
      </c>
      <c r="W185" t="s">
        <v>764</v>
      </c>
      <c r="X185">
        <v>254.21410800000001</v>
      </c>
      <c r="Y185">
        <v>1670.3458559999999</v>
      </c>
    </row>
    <row r="186" spans="1:25">
      <c r="A186" s="277" t="str">
        <f>SEEMoutput!A188</f>
        <v>NWHZ1CZ2_2688n_25gshp_des1</v>
      </c>
      <c r="B186" s="286">
        <f>SEEMoutput!O188</f>
        <v>3084.3868349999998</v>
      </c>
      <c r="C186" s="287">
        <v>8.2810388167972537E-2</v>
      </c>
      <c r="D186" s="277">
        <f>IF(SEEMoutput!G188&lt;6000,1,IF(SEEMoutput!G188&lt;7500,2,3))</f>
        <v>1</v>
      </c>
      <c r="E186" s="277" t="str">
        <f>IF(LEFT(SEEMoutput!BE188,1)="F","FUR",IF(LEFT(SEEMoutput!BE188,1)="D","DHP","HP"))</f>
        <v>HP</v>
      </c>
      <c r="F186" s="288">
        <f>SEEMoutput!E188</f>
        <v>439.57963699999999</v>
      </c>
      <c r="G186" s="289">
        <f>F186*(69-30)*SEEMoutput!N188/SEEMoutput!M188</f>
        <v>17429.993092840494</v>
      </c>
      <c r="H186" s="290">
        <f>'(Tons) (Furnsize)'!$F$52+'(Tons) (Furnsize)'!$F$53*'(Tons) (Furnsize)'!$B$15+'(Tons) (Furnsize)'!$F$54*G186</f>
        <v>2.1058108982764545</v>
      </c>
      <c r="I186" s="290">
        <f>H186/'(Tons) (Furnsize)'!$G$7</f>
        <v>1.7454157939801833</v>
      </c>
      <c r="J186" s="291">
        <f>F186*(69-VLOOKUP(D186,'(Tons) (Furnsize)'!$D$15:$E$17,2,FALSE))/3412</f>
        <v>6.6993379613130122</v>
      </c>
      <c r="K186" s="292">
        <f>INDEX(Calibration!$A$4:$L$13,MATCH($D186&amp;$E186,Calibration!$A$4:$A$13,0),MATCH(K$4,Calibration!$A$4:$L$4,0))</f>
        <v>0.2</v>
      </c>
      <c r="L186" s="292">
        <f>INDEX(Calibration!$A$4:$L$13,MATCH($D186&amp;$E186,Calibration!$A$4:$A$13,0),MATCH(L$4,Calibration!$A$4:$L$4,0))</f>
        <v>1.3869915874526988</v>
      </c>
      <c r="M186" s="292">
        <f>INDEX(Calibration!$A$4:$L$13,MATCH($D186&amp;$E186,Calibration!$A$4:$A$13,0),MATCH(M$4,Calibration!$A$4:$L$4,0))</f>
        <v>-2.2641144651923684</v>
      </c>
      <c r="N186" s="292">
        <f>INDEX(Calibration!$A$4:$L$13,MATCH($D186&amp;$E186,Calibration!$A$4:$A$13,0),MATCH(N$4,Calibration!$A$4:$L$4,0))</f>
        <v>1.5001973107123172</v>
      </c>
      <c r="O186" s="292">
        <f>INDEX(Calibration!$A$4:$L$13,MATCH($D186&amp;$E186,Calibration!$A$4:$A$13,0),MATCH(O$4,Calibration!$A$4:$L$4,0))</f>
        <v>-4.5282289303847367</v>
      </c>
      <c r="P186" s="292">
        <f>INDEX(Calibration!$A$4:$L$13,MATCH($D186&amp;$E186,Calibration!$A$4:$A$13,0),MATCH(P$4,Calibration!$A$4:$L$4,0))</f>
        <v>1.6700058956017449</v>
      </c>
      <c r="Q186" s="292">
        <f>INDEX(Calibration!$A$4:$L$13,MATCH($D186&amp;$E186,Calibration!$A$4:$A$13,0),MATCH(Q$4,Calibration!$A$4:$L$4,0))</f>
        <v>0.7643601095247976</v>
      </c>
      <c r="R186" s="293">
        <f>IF(C186&lt;Calibration!$F$5,L186,IF(C186&lt;Calibration!$E$5,C186*M186+N186,IF(C186&lt;K186,C186*O186+P186,Q186)))</f>
        <v>1.2950215001631418</v>
      </c>
      <c r="S186" s="286">
        <f t="shared" si="4"/>
        <v>3994.3472661451447</v>
      </c>
      <c r="T186" s="293">
        <f>IF(E186="DHP",VLOOKUP(D186,Calibration!$C$20:$E$22,2,FALSE),IF(D186=1,Calibration!$D$17,Calibration!$D$18))</f>
        <v>0.82813167326562143</v>
      </c>
      <c r="U186" s="286">
        <f t="shared" si="5"/>
        <v>3307.8454851167389</v>
      </c>
      <c r="V186" s="286">
        <f>VLOOKUP(T186,Calibration!$D$17:$E$22,2,FALSE)*S186</f>
        <v>624.32804621700825</v>
      </c>
      <c r="W186" t="s">
        <v>767</v>
      </c>
      <c r="X186">
        <v>475.19546800000001</v>
      </c>
      <c r="Y186">
        <v>1670.3458559999999</v>
      </c>
    </row>
    <row r="187" spans="1:25">
      <c r="A187" s="277" t="str">
        <f>SEEMoutput!A189</f>
        <v>NWHZ1CZ3_2688n_25gshp_des1</v>
      </c>
      <c r="B187" s="286">
        <f>SEEMoutput!O189</f>
        <v>3084.3868349999998</v>
      </c>
      <c r="C187" s="287">
        <v>8.2810388167972537E-2</v>
      </c>
      <c r="D187" s="277">
        <f>IF(SEEMoutput!G189&lt;6000,1,IF(SEEMoutput!G189&lt;7500,2,3))</f>
        <v>1</v>
      </c>
      <c r="E187" s="277" t="str">
        <f>IF(LEFT(SEEMoutput!BE189,1)="F","FUR",IF(LEFT(SEEMoutput!BE189,1)="D","DHP","HP"))</f>
        <v>HP</v>
      </c>
      <c r="F187" s="288">
        <f>SEEMoutput!E189</f>
        <v>439.57963699999999</v>
      </c>
      <c r="G187" s="289">
        <f>F187*(69-30)*SEEMoutput!N189/SEEMoutput!M189</f>
        <v>17429.993092840494</v>
      </c>
      <c r="H187" s="290">
        <f>'(Tons) (Furnsize)'!$F$52+'(Tons) (Furnsize)'!$F$53*'(Tons) (Furnsize)'!$B$15+'(Tons) (Furnsize)'!$F$54*G187</f>
        <v>2.1058108982764545</v>
      </c>
      <c r="I187" s="290">
        <f>H187/'(Tons) (Furnsize)'!$G$7</f>
        <v>1.7454157939801833</v>
      </c>
      <c r="J187" s="291">
        <f>F187*(69-VLOOKUP(D187,'(Tons) (Furnsize)'!$D$15:$E$17,2,FALSE))/3412</f>
        <v>6.6993379613130122</v>
      </c>
      <c r="K187" s="292">
        <f>INDEX(Calibration!$A$4:$L$13,MATCH($D187&amp;$E187,Calibration!$A$4:$A$13,0),MATCH(K$4,Calibration!$A$4:$L$4,0))</f>
        <v>0.2</v>
      </c>
      <c r="L187" s="292">
        <f>INDEX(Calibration!$A$4:$L$13,MATCH($D187&amp;$E187,Calibration!$A$4:$A$13,0),MATCH(L$4,Calibration!$A$4:$L$4,0))</f>
        <v>1.3869915874526988</v>
      </c>
      <c r="M187" s="292">
        <f>INDEX(Calibration!$A$4:$L$13,MATCH($D187&amp;$E187,Calibration!$A$4:$A$13,0),MATCH(M$4,Calibration!$A$4:$L$4,0))</f>
        <v>-2.2641144651923684</v>
      </c>
      <c r="N187" s="292">
        <f>INDEX(Calibration!$A$4:$L$13,MATCH($D187&amp;$E187,Calibration!$A$4:$A$13,0),MATCH(N$4,Calibration!$A$4:$L$4,0))</f>
        <v>1.5001973107123172</v>
      </c>
      <c r="O187" s="292">
        <f>INDEX(Calibration!$A$4:$L$13,MATCH($D187&amp;$E187,Calibration!$A$4:$A$13,0),MATCH(O$4,Calibration!$A$4:$L$4,0))</f>
        <v>-4.5282289303847367</v>
      </c>
      <c r="P187" s="292">
        <f>INDEX(Calibration!$A$4:$L$13,MATCH($D187&amp;$E187,Calibration!$A$4:$A$13,0),MATCH(P$4,Calibration!$A$4:$L$4,0))</f>
        <v>1.6700058956017449</v>
      </c>
      <c r="Q187" s="292">
        <f>INDEX(Calibration!$A$4:$L$13,MATCH($D187&amp;$E187,Calibration!$A$4:$A$13,0),MATCH(Q$4,Calibration!$A$4:$L$4,0))</f>
        <v>0.7643601095247976</v>
      </c>
      <c r="R187" s="293">
        <f>IF(C187&lt;Calibration!$F$5,L187,IF(C187&lt;Calibration!$E$5,C187*M187+N187,IF(C187&lt;K187,C187*O187+P187,Q187)))</f>
        <v>1.2950215001631418</v>
      </c>
      <c r="S187" s="286">
        <f t="shared" si="4"/>
        <v>3994.3472661451447</v>
      </c>
      <c r="T187" s="293">
        <f>IF(E187="DHP",VLOOKUP(D187,Calibration!$C$20:$E$22,2,FALSE),IF(D187=1,Calibration!$D$17,Calibration!$D$18))</f>
        <v>0.82813167326562143</v>
      </c>
      <c r="U187" s="286">
        <f t="shared" si="5"/>
        <v>3307.8454851167389</v>
      </c>
      <c r="V187" s="286">
        <f>VLOOKUP(T187,Calibration!$D$17:$E$22,2,FALSE)*S187</f>
        <v>624.32804621700825</v>
      </c>
      <c r="W187" t="s">
        <v>770</v>
      </c>
      <c r="X187">
        <v>765.57208400000002</v>
      </c>
      <c r="Y187">
        <v>1670.3458559999999</v>
      </c>
    </row>
    <row r="188" spans="1:25">
      <c r="A188" s="277" t="str">
        <f>SEEMoutput!A190</f>
        <v>WxHZ1CZ1_2688e_25gshp_des1</v>
      </c>
      <c r="B188" s="286">
        <f>SEEMoutput!O190</f>
        <v>3449.009274</v>
      </c>
      <c r="C188" s="287">
        <v>9.1242982262546055E-2</v>
      </c>
      <c r="D188" s="277">
        <f>IF(SEEMoutput!G190&lt;6000,1,IF(SEEMoutput!G190&lt;7500,2,3))</f>
        <v>1</v>
      </c>
      <c r="E188" s="277" t="str">
        <f>IF(LEFT(SEEMoutput!BE190,1)="F","FUR",IF(LEFT(SEEMoutput!BE190,1)="D","DHP","HP"))</f>
        <v>HP</v>
      </c>
      <c r="F188" s="288">
        <f>SEEMoutput!E190</f>
        <v>474.02737200000001</v>
      </c>
      <c r="G188" s="289">
        <f>F188*(69-30)*SEEMoutput!N190/SEEMoutput!M190</f>
        <v>18840.447025060163</v>
      </c>
      <c r="H188" s="290">
        <f>'(Tons) (Furnsize)'!$F$52+'(Tons) (Furnsize)'!$F$53*'(Tons) (Furnsize)'!$B$15+'(Tons) (Furnsize)'!$F$54*G188</f>
        <v>2.2714128519403149</v>
      </c>
      <c r="I188" s="290">
        <f>H188/'(Tons) (Furnsize)'!$G$7</f>
        <v>1.8826761081306378</v>
      </c>
      <c r="J188" s="291">
        <f>F188*(69-VLOOKUP(D188,'(Tons) (Furnsize)'!$D$15:$E$17,2,FALSE))/3412</f>
        <v>7.2243327502930841</v>
      </c>
      <c r="K188" s="292">
        <f>INDEX(Calibration!$A$4:$L$13,MATCH($D188&amp;$E188,Calibration!$A$4:$A$13,0),MATCH(K$4,Calibration!$A$4:$L$4,0))</f>
        <v>0.2</v>
      </c>
      <c r="L188" s="292">
        <f>INDEX(Calibration!$A$4:$L$13,MATCH($D188&amp;$E188,Calibration!$A$4:$A$13,0),MATCH(L$4,Calibration!$A$4:$L$4,0))</f>
        <v>1.3869915874526988</v>
      </c>
      <c r="M188" s="292">
        <f>INDEX(Calibration!$A$4:$L$13,MATCH($D188&amp;$E188,Calibration!$A$4:$A$13,0),MATCH(M$4,Calibration!$A$4:$L$4,0))</f>
        <v>-2.2641144651923684</v>
      </c>
      <c r="N188" s="292">
        <f>INDEX(Calibration!$A$4:$L$13,MATCH($D188&amp;$E188,Calibration!$A$4:$A$13,0),MATCH(N$4,Calibration!$A$4:$L$4,0))</f>
        <v>1.5001973107123172</v>
      </c>
      <c r="O188" s="292">
        <f>INDEX(Calibration!$A$4:$L$13,MATCH($D188&amp;$E188,Calibration!$A$4:$A$13,0),MATCH(O$4,Calibration!$A$4:$L$4,0))</f>
        <v>-4.5282289303847367</v>
      </c>
      <c r="P188" s="292">
        <f>INDEX(Calibration!$A$4:$L$13,MATCH($D188&amp;$E188,Calibration!$A$4:$A$13,0),MATCH(P$4,Calibration!$A$4:$L$4,0))</f>
        <v>1.6700058956017449</v>
      </c>
      <c r="Q188" s="292">
        <f>INDEX(Calibration!$A$4:$L$13,MATCH($D188&amp;$E188,Calibration!$A$4:$A$13,0),MATCH(Q$4,Calibration!$A$4:$L$4,0))</f>
        <v>0.7643601095247976</v>
      </c>
      <c r="R188" s="293">
        <f>IF(C188&lt;Calibration!$F$5,L188,IF(C188&lt;Calibration!$E$5,C188*M188+N188,IF(C188&lt;K188,C188*O188+P188,Q188)))</f>
        <v>1.2568367836259025</v>
      </c>
      <c r="S188" s="286">
        <f t="shared" si="4"/>
        <v>4334.8417226300689</v>
      </c>
      <c r="T188" s="293">
        <f>IF(E188="DHP",VLOOKUP(D188,Calibration!$C$20:$E$22,2,FALSE),IF(D188=1,Calibration!$D$17,Calibration!$D$18))</f>
        <v>0.82813167326562143</v>
      </c>
      <c r="U188" s="286">
        <f t="shared" si="5"/>
        <v>3589.8197291032679</v>
      </c>
      <c r="V188" s="286">
        <f>VLOOKUP(T188,Calibration!$D$17:$E$22,2,FALSE)*S188</f>
        <v>677.54831591331617</v>
      </c>
      <c r="W188" t="s">
        <v>764</v>
      </c>
      <c r="X188">
        <v>254.056308</v>
      </c>
      <c r="Y188">
        <v>1840.2162800000001</v>
      </c>
    </row>
    <row r="189" spans="1:25">
      <c r="A189" s="277" t="str">
        <f>SEEMoutput!A191</f>
        <v>WxHZ1CZ2_2688e_25gshp_des1</v>
      </c>
      <c r="B189" s="286">
        <f>SEEMoutput!O191</f>
        <v>3449.009274</v>
      </c>
      <c r="C189" s="287">
        <v>9.1242982262546055E-2</v>
      </c>
      <c r="D189" s="277">
        <f>IF(SEEMoutput!G191&lt;6000,1,IF(SEEMoutput!G191&lt;7500,2,3))</f>
        <v>1</v>
      </c>
      <c r="E189" s="277" t="str">
        <f>IF(LEFT(SEEMoutput!BE191,1)="F","FUR",IF(LEFT(SEEMoutput!BE191,1)="D","DHP","HP"))</f>
        <v>HP</v>
      </c>
      <c r="F189" s="288">
        <f>SEEMoutput!E191</f>
        <v>474.02737200000001</v>
      </c>
      <c r="G189" s="289">
        <f>F189*(69-30)*SEEMoutput!N191/SEEMoutput!M191</f>
        <v>18840.447025060163</v>
      </c>
      <c r="H189" s="290">
        <f>'(Tons) (Furnsize)'!$F$52+'(Tons) (Furnsize)'!$F$53*'(Tons) (Furnsize)'!$B$15+'(Tons) (Furnsize)'!$F$54*G189</f>
        <v>2.2714128519403149</v>
      </c>
      <c r="I189" s="290">
        <f>H189/'(Tons) (Furnsize)'!$G$7</f>
        <v>1.8826761081306378</v>
      </c>
      <c r="J189" s="291">
        <f>F189*(69-VLOOKUP(D189,'(Tons) (Furnsize)'!$D$15:$E$17,2,FALSE))/3412</f>
        <v>7.2243327502930841</v>
      </c>
      <c r="K189" s="292">
        <f>INDEX(Calibration!$A$4:$L$13,MATCH($D189&amp;$E189,Calibration!$A$4:$A$13,0),MATCH(K$4,Calibration!$A$4:$L$4,0))</f>
        <v>0.2</v>
      </c>
      <c r="L189" s="292">
        <f>INDEX(Calibration!$A$4:$L$13,MATCH($D189&amp;$E189,Calibration!$A$4:$A$13,0),MATCH(L$4,Calibration!$A$4:$L$4,0))</f>
        <v>1.3869915874526988</v>
      </c>
      <c r="M189" s="292">
        <f>INDEX(Calibration!$A$4:$L$13,MATCH($D189&amp;$E189,Calibration!$A$4:$A$13,0),MATCH(M$4,Calibration!$A$4:$L$4,0))</f>
        <v>-2.2641144651923684</v>
      </c>
      <c r="N189" s="292">
        <f>INDEX(Calibration!$A$4:$L$13,MATCH($D189&amp;$E189,Calibration!$A$4:$A$13,0),MATCH(N$4,Calibration!$A$4:$L$4,0))</f>
        <v>1.5001973107123172</v>
      </c>
      <c r="O189" s="292">
        <f>INDEX(Calibration!$A$4:$L$13,MATCH($D189&amp;$E189,Calibration!$A$4:$A$13,0),MATCH(O$4,Calibration!$A$4:$L$4,0))</f>
        <v>-4.5282289303847367</v>
      </c>
      <c r="P189" s="292">
        <f>INDEX(Calibration!$A$4:$L$13,MATCH($D189&amp;$E189,Calibration!$A$4:$A$13,0),MATCH(P$4,Calibration!$A$4:$L$4,0))</f>
        <v>1.6700058956017449</v>
      </c>
      <c r="Q189" s="292">
        <f>INDEX(Calibration!$A$4:$L$13,MATCH($D189&amp;$E189,Calibration!$A$4:$A$13,0),MATCH(Q$4,Calibration!$A$4:$L$4,0))</f>
        <v>0.7643601095247976</v>
      </c>
      <c r="R189" s="293">
        <f>IF(C189&lt;Calibration!$F$5,L189,IF(C189&lt;Calibration!$E$5,C189*M189+N189,IF(C189&lt;K189,C189*O189+P189,Q189)))</f>
        <v>1.2568367836259025</v>
      </c>
      <c r="S189" s="286">
        <f t="shared" si="4"/>
        <v>4334.8417226300689</v>
      </c>
      <c r="T189" s="293">
        <f>IF(E189="DHP",VLOOKUP(D189,Calibration!$C$20:$E$22,2,FALSE),IF(D189=1,Calibration!$D$17,Calibration!$D$18))</f>
        <v>0.82813167326562143</v>
      </c>
      <c r="U189" s="286">
        <f t="shared" si="5"/>
        <v>3589.8197291032679</v>
      </c>
      <c r="V189" s="286">
        <f>VLOOKUP(T189,Calibration!$D$17:$E$22,2,FALSE)*S189</f>
        <v>677.54831591331617</v>
      </c>
      <c r="W189" t="s">
        <v>767</v>
      </c>
      <c r="X189">
        <v>485.67804599999999</v>
      </c>
      <c r="Y189">
        <v>1840.2162800000001</v>
      </c>
    </row>
    <row r="190" spans="1:25">
      <c r="A190" s="277" t="str">
        <f>SEEMoutput!A192</f>
        <v>WxHZ1CZ3_2688e_25gshp_des1</v>
      </c>
      <c r="B190" s="286">
        <f>SEEMoutput!O192</f>
        <v>3449.009274</v>
      </c>
      <c r="C190" s="287">
        <v>9.1242982262546055E-2</v>
      </c>
      <c r="D190" s="277">
        <f>IF(SEEMoutput!G192&lt;6000,1,IF(SEEMoutput!G192&lt;7500,2,3))</f>
        <v>1</v>
      </c>
      <c r="E190" s="277" t="str">
        <f>IF(LEFT(SEEMoutput!BE192,1)="F","FUR",IF(LEFT(SEEMoutput!BE192,1)="D","DHP","HP"))</f>
        <v>HP</v>
      </c>
      <c r="F190" s="288">
        <f>SEEMoutput!E192</f>
        <v>474.02737200000001</v>
      </c>
      <c r="G190" s="289">
        <f>F190*(69-30)*SEEMoutput!N192/SEEMoutput!M192</f>
        <v>18840.447025060163</v>
      </c>
      <c r="H190" s="290">
        <f>'(Tons) (Furnsize)'!$F$52+'(Tons) (Furnsize)'!$F$53*'(Tons) (Furnsize)'!$B$15+'(Tons) (Furnsize)'!$F$54*G190</f>
        <v>2.2714128519403149</v>
      </c>
      <c r="I190" s="290">
        <f>H190/'(Tons) (Furnsize)'!$G$7</f>
        <v>1.8826761081306378</v>
      </c>
      <c r="J190" s="291">
        <f>F190*(69-VLOOKUP(D190,'(Tons) (Furnsize)'!$D$15:$E$17,2,FALSE))/3412</f>
        <v>7.2243327502930841</v>
      </c>
      <c r="K190" s="292">
        <f>INDEX(Calibration!$A$4:$L$13,MATCH($D190&amp;$E190,Calibration!$A$4:$A$13,0),MATCH(K$4,Calibration!$A$4:$L$4,0))</f>
        <v>0.2</v>
      </c>
      <c r="L190" s="292">
        <f>INDEX(Calibration!$A$4:$L$13,MATCH($D190&amp;$E190,Calibration!$A$4:$A$13,0),MATCH(L$4,Calibration!$A$4:$L$4,0))</f>
        <v>1.3869915874526988</v>
      </c>
      <c r="M190" s="292">
        <f>INDEX(Calibration!$A$4:$L$13,MATCH($D190&amp;$E190,Calibration!$A$4:$A$13,0),MATCH(M$4,Calibration!$A$4:$L$4,0))</f>
        <v>-2.2641144651923684</v>
      </c>
      <c r="N190" s="292">
        <f>INDEX(Calibration!$A$4:$L$13,MATCH($D190&amp;$E190,Calibration!$A$4:$A$13,0),MATCH(N$4,Calibration!$A$4:$L$4,0))</f>
        <v>1.5001973107123172</v>
      </c>
      <c r="O190" s="292">
        <f>INDEX(Calibration!$A$4:$L$13,MATCH($D190&amp;$E190,Calibration!$A$4:$A$13,0),MATCH(O$4,Calibration!$A$4:$L$4,0))</f>
        <v>-4.5282289303847367</v>
      </c>
      <c r="P190" s="292">
        <f>INDEX(Calibration!$A$4:$L$13,MATCH($D190&amp;$E190,Calibration!$A$4:$A$13,0),MATCH(P$4,Calibration!$A$4:$L$4,0))</f>
        <v>1.6700058956017449</v>
      </c>
      <c r="Q190" s="292">
        <f>INDEX(Calibration!$A$4:$L$13,MATCH($D190&amp;$E190,Calibration!$A$4:$A$13,0),MATCH(Q$4,Calibration!$A$4:$L$4,0))</f>
        <v>0.7643601095247976</v>
      </c>
      <c r="R190" s="293">
        <f>IF(C190&lt;Calibration!$F$5,L190,IF(C190&lt;Calibration!$E$5,C190*M190+N190,IF(C190&lt;K190,C190*O190+P190,Q190)))</f>
        <v>1.2568367836259025</v>
      </c>
      <c r="S190" s="286">
        <f t="shared" si="4"/>
        <v>4334.8417226300689</v>
      </c>
      <c r="T190" s="293">
        <f>IF(E190="DHP",VLOOKUP(D190,Calibration!$C$20:$E$22,2,FALSE),IF(D190=1,Calibration!$D$17,Calibration!$D$18))</f>
        <v>0.82813167326562143</v>
      </c>
      <c r="U190" s="286">
        <f t="shared" si="5"/>
        <v>3589.8197291032679</v>
      </c>
      <c r="V190" s="286">
        <f>VLOOKUP(T190,Calibration!$D$17:$E$22,2,FALSE)*S190</f>
        <v>677.54831591331617</v>
      </c>
      <c r="W190" t="s">
        <v>770</v>
      </c>
      <c r="X190">
        <v>789.33243600000003</v>
      </c>
      <c r="Y190">
        <v>1840.2162800000001</v>
      </c>
    </row>
    <row r="191" spans="1:25">
      <c r="A191" s="277" t="str">
        <f>SEEMoutput!A193</f>
        <v>NWHZ2CZ1_2688n_25gshp_des1</v>
      </c>
      <c r="B191" s="286">
        <f>SEEMoutput!O193</f>
        <v>4610.1849050000001</v>
      </c>
      <c r="C191" s="287">
        <v>8.5077682209253672E-2</v>
      </c>
      <c r="D191" s="277">
        <f>IF(SEEMoutput!G193&lt;6000,1,IF(SEEMoutput!G193&lt;7500,2,3))</f>
        <v>2</v>
      </c>
      <c r="E191" s="277" t="str">
        <f>IF(LEFT(SEEMoutput!BE193,1)="F","FUR",IF(LEFT(SEEMoutput!BE193,1)="D","DHP","HP"))</f>
        <v>HP</v>
      </c>
      <c r="F191" s="288">
        <f>SEEMoutput!E193</f>
        <v>445.63036699999998</v>
      </c>
      <c r="G191" s="289">
        <f>F191*(69-30)*SEEMoutput!N193/SEEMoutput!M193</f>
        <v>17690.151293058032</v>
      </c>
      <c r="H191" s="290">
        <f>'(Tons) (Furnsize)'!$F$52+'(Tons) (Furnsize)'!$F$53*'(Tons) (Furnsize)'!$B$15+'(Tons) (Furnsize)'!$F$54*G191</f>
        <v>2.1363561753915303</v>
      </c>
      <c r="I191" s="290">
        <f>H191/'(Tons) (Furnsize)'!$G$7</f>
        <v>1.7707334562412111</v>
      </c>
      <c r="J191" s="291">
        <f>F191*(69-VLOOKUP(D191,'(Tons) (Furnsize)'!$D$15:$E$17,2,FALSE))/3412</f>
        <v>9.0118685002930832</v>
      </c>
      <c r="K191" s="292">
        <f>INDEX(Calibration!$A$4:$L$13,MATCH($D191&amp;$E191,Calibration!$A$4:$A$13,0),MATCH(K$4,Calibration!$A$4:$L$4,0))</f>
        <v>0.17499999999999999</v>
      </c>
      <c r="L191" s="292">
        <f>INDEX(Calibration!$A$4:$L$13,MATCH($D191&amp;$E191,Calibration!$A$4:$A$13,0),MATCH(L$4,Calibration!$A$4:$L$4,0))</f>
        <v>1.1965160377936901</v>
      </c>
      <c r="M191" s="292">
        <f>INDEX(Calibration!$A$4:$L$13,MATCH($D191&amp;$E191,Calibration!$A$4:$A$13,0),MATCH(M$4,Calibration!$A$4:$L$4,0))</f>
        <v>-2.050167690250368</v>
      </c>
      <c r="N191" s="292">
        <f>INDEX(Calibration!$A$4:$L$13,MATCH($D191&amp;$E191,Calibration!$A$4:$A$13,0),MATCH(N$4,Calibration!$A$4:$L$4,0))</f>
        <v>1.2990244223062084</v>
      </c>
      <c r="O191" s="292">
        <f>INDEX(Calibration!$A$4:$L$13,MATCH($D191&amp;$E191,Calibration!$A$4:$A$13,0),MATCH(O$4,Calibration!$A$4:$L$4,0))</f>
        <v>-4.1003353805007361</v>
      </c>
      <c r="P191" s="292">
        <f>INDEX(Calibration!$A$4:$L$13,MATCH($D191&amp;$E191,Calibration!$A$4:$A$13,0),MATCH(P$4,Calibration!$A$4:$L$4,0))</f>
        <v>1.452786999074986</v>
      </c>
      <c r="Q191" s="292">
        <f>INDEX(Calibration!$A$4:$L$13,MATCH($D191&amp;$E191,Calibration!$A$4:$A$13,0),MATCH(Q$4,Calibration!$A$4:$L$4,0))</f>
        <v>0.73522830748735724</v>
      </c>
      <c r="R191" s="293">
        <f>IF(C191&lt;Calibration!$F$5,L191,IF(C191&lt;Calibration!$E$5,C191*M191+N191,IF(C191&lt;K191,C191*O191+P191,Q191)))</f>
        <v>1.1039399686213851</v>
      </c>
      <c r="S191" s="286">
        <f t="shared" si="4"/>
        <v>5089.367379364483</v>
      </c>
      <c r="T191" s="293">
        <f>IF(E191="DHP",VLOOKUP(D191,Calibration!$C$20:$E$22,2,FALSE),IF(D191=1,Calibration!$D$17,Calibration!$D$18))</f>
        <v>0.85917762533929642</v>
      </c>
      <c r="U191" s="286">
        <f t="shared" si="5"/>
        <v>4372.6705794816544</v>
      </c>
      <c r="V191" s="286">
        <f>VLOOKUP(T191,Calibration!$D$17:$E$22,2,FALSE)*S191</f>
        <v>628.88247541112162</v>
      </c>
      <c r="W191" t="s">
        <v>779</v>
      </c>
      <c r="X191">
        <v>254.21410800000001</v>
      </c>
      <c r="Y191">
        <v>2366.2141059999999</v>
      </c>
    </row>
    <row r="192" spans="1:25">
      <c r="A192" s="277" t="str">
        <f>SEEMoutput!A194</f>
        <v>NWHZ2CZ2_2688n_25gshp_des1</v>
      </c>
      <c r="B192" s="286">
        <f>SEEMoutput!O194</f>
        <v>4610.1849050000001</v>
      </c>
      <c r="C192" s="287">
        <v>8.5077682209253672E-2</v>
      </c>
      <c r="D192" s="277">
        <f>IF(SEEMoutput!G194&lt;6000,1,IF(SEEMoutput!G194&lt;7500,2,3))</f>
        <v>2</v>
      </c>
      <c r="E192" s="277" t="str">
        <f>IF(LEFT(SEEMoutput!BE194,1)="F","FUR",IF(LEFT(SEEMoutput!BE194,1)="D","DHP","HP"))</f>
        <v>HP</v>
      </c>
      <c r="F192" s="288">
        <f>SEEMoutput!E194</f>
        <v>445.63036699999998</v>
      </c>
      <c r="G192" s="289">
        <f>F192*(69-30)*SEEMoutput!N194/SEEMoutput!M194</f>
        <v>17690.151293058032</v>
      </c>
      <c r="H192" s="290">
        <f>'(Tons) (Furnsize)'!$F$52+'(Tons) (Furnsize)'!$F$53*'(Tons) (Furnsize)'!$B$15+'(Tons) (Furnsize)'!$F$54*G192</f>
        <v>2.1363561753915303</v>
      </c>
      <c r="I192" s="290">
        <f>H192/'(Tons) (Furnsize)'!$G$7</f>
        <v>1.7707334562412111</v>
      </c>
      <c r="J192" s="291">
        <f>F192*(69-VLOOKUP(D192,'(Tons) (Furnsize)'!$D$15:$E$17,2,FALSE))/3412</f>
        <v>9.0118685002930832</v>
      </c>
      <c r="K192" s="292">
        <f>INDEX(Calibration!$A$4:$L$13,MATCH($D192&amp;$E192,Calibration!$A$4:$A$13,0),MATCH(K$4,Calibration!$A$4:$L$4,0))</f>
        <v>0.17499999999999999</v>
      </c>
      <c r="L192" s="292">
        <f>INDEX(Calibration!$A$4:$L$13,MATCH($D192&amp;$E192,Calibration!$A$4:$A$13,0),MATCH(L$4,Calibration!$A$4:$L$4,0))</f>
        <v>1.1965160377936901</v>
      </c>
      <c r="M192" s="292">
        <f>INDEX(Calibration!$A$4:$L$13,MATCH($D192&amp;$E192,Calibration!$A$4:$A$13,0),MATCH(M$4,Calibration!$A$4:$L$4,0))</f>
        <v>-2.050167690250368</v>
      </c>
      <c r="N192" s="292">
        <f>INDEX(Calibration!$A$4:$L$13,MATCH($D192&amp;$E192,Calibration!$A$4:$A$13,0),MATCH(N$4,Calibration!$A$4:$L$4,0))</f>
        <v>1.2990244223062084</v>
      </c>
      <c r="O192" s="292">
        <f>INDEX(Calibration!$A$4:$L$13,MATCH($D192&amp;$E192,Calibration!$A$4:$A$13,0),MATCH(O$4,Calibration!$A$4:$L$4,0))</f>
        <v>-4.1003353805007361</v>
      </c>
      <c r="P192" s="292">
        <f>INDEX(Calibration!$A$4:$L$13,MATCH($D192&amp;$E192,Calibration!$A$4:$A$13,0),MATCH(P$4,Calibration!$A$4:$L$4,0))</f>
        <v>1.452786999074986</v>
      </c>
      <c r="Q192" s="292">
        <f>INDEX(Calibration!$A$4:$L$13,MATCH($D192&amp;$E192,Calibration!$A$4:$A$13,0),MATCH(Q$4,Calibration!$A$4:$L$4,0))</f>
        <v>0.73522830748735724</v>
      </c>
      <c r="R192" s="293">
        <f>IF(C192&lt;Calibration!$F$5,L192,IF(C192&lt;Calibration!$E$5,C192*M192+N192,IF(C192&lt;K192,C192*O192+P192,Q192)))</f>
        <v>1.1039399686213851</v>
      </c>
      <c r="S192" s="286">
        <f t="shared" si="4"/>
        <v>5089.367379364483</v>
      </c>
      <c r="T192" s="293">
        <f>IF(E192="DHP",VLOOKUP(D192,Calibration!$C$20:$E$22,2,FALSE),IF(D192=1,Calibration!$D$17,Calibration!$D$18))</f>
        <v>0.85917762533929642</v>
      </c>
      <c r="U192" s="286">
        <f t="shared" si="5"/>
        <v>4372.6705794816544</v>
      </c>
      <c r="V192" s="286">
        <f>VLOOKUP(T192,Calibration!$D$17:$E$22,2,FALSE)*S192</f>
        <v>628.88247541112162</v>
      </c>
      <c r="W192" t="s">
        <v>782</v>
      </c>
      <c r="X192">
        <v>475.19546800000001</v>
      </c>
      <c r="Y192">
        <v>2366.2141059999999</v>
      </c>
    </row>
    <row r="193" spans="1:25">
      <c r="A193" s="277" t="str">
        <f>SEEMoutput!A195</f>
        <v>NWHZ2CZ3_2688n_25gshp_des1</v>
      </c>
      <c r="B193" s="286">
        <f>SEEMoutput!O195</f>
        <v>4610.1849050000001</v>
      </c>
      <c r="C193" s="287">
        <v>8.5077682209253672E-2</v>
      </c>
      <c r="D193" s="277">
        <f>IF(SEEMoutput!G195&lt;6000,1,IF(SEEMoutput!G195&lt;7500,2,3))</f>
        <v>2</v>
      </c>
      <c r="E193" s="277" t="str">
        <f>IF(LEFT(SEEMoutput!BE195,1)="F","FUR",IF(LEFT(SEEMoutput!BE195,1)="D","DHP","HP"))</f>
        <v>HP</v>
      </c>
      <c r="F193" s="288">
        <f>SEEMoutput!E195</f>
        <v>445.63036699999998</v>
      </c>
      <c r="G193" s="289">
        <f>F193*(69-30)*SEEMoutput!N195/SEEMoutput!M195</f>
        <v>17690.151293058032</v>
      </c>
      <c r="H193" s="290">
        <f>'(Tons) (Furnsize)'!$F$52+'(Tons) (Furnsize)'!$F$53*'(Tons) (Furnsize)'!$B$15+'(Tons) (Furnsize)'!$F$54*G193</f>
        <v>2.1363561753915303</v>
      </c>
      <c r="I193" s="290">
        <f>H193/'(Tons) (Furnsize)'!$G$7</f>
        <v>1.7707334562412111</v>
      </c>
      <c r="J193" s="291">
        <f>F193*(69-VLOOKUP(D193,'(Tons) (Furnsize)'!$D$15:$E$17,2,FALSE))/3412</f>
        <v>9.0118685002930832</v>
      </c>
      <c r="K193" s="292">
        <f>INDEX(Calibration!$A$4:$L$13,MATCH($D193&amp;$E193,Calibration!$A$4:$A$13,0),MATCH(K$4,Calibration!$A$4:$L$4,0))</f>
        <v>0.17499999999999999</v>
      </c>
      <c r="L193" s="292">
        <f>INDEX(Calibration!$A$4:$L$13,MATCH($D193&amp;$E193,Calibration!$A$4:$A$13,0),MATCH(L$4,Calibration!$A$4:$L$4,0))</f>
        <v>1.1965160377936901</v>
      </c>
      <c r="M193" s="292">
        <f>INDEX(Calibration!$A$4:$L$13,MATCH($D193&amp;$E193,Calibration!$A$4:$A$13,0),MATCH(M$4,Calibration!$A$4:$L$4,0))</f>
        <v>-2.050167690250368</v>
      </c>
      <c r="N193" s="292">
        <f>INDEX(Calibration!$A$4:$L$13,MATCH($D193&amp;$E193,Calibration!$A$4:$A$13,0),MATCH(N$4,Calibration!$A$4:$L$4,0))</f>
        <v>1.2990244223062084</v>
      </c>
      <c r="O193" s="292">
        <f>INDEX(Calibration!$A$4:$L$13,MATCH($D193&amp;$E193,Calibration!$A$4:$A$13,0),MATCH(O$4,Calibration!$A$4:$L$4,0))</f>
        <v>-4.1003353805007361</v>
      </c>
      <c r="P193" s="292">
        <f>INDEX(Calibration!$A$4:$L$13,MATCH($D193&amp;$E193,Calibration!$A$4:$A$13,0),MATCH(P$4,Calibration!$A$4:$L$4,0))</f>
        <v>1.452786999074986</v>
      </c>
      <c r="Q193" s="292">
        <f>INDEX(Calibration!$A$4:$L$13,MATCH($D193&amp;$E193,Calibration!$A$4:$A$13,0),MATCH(Q$4,Calibration!$A$4:$L$4,0))</f>
        <v>0.73522830748735724</v>
      </c>
      <c r="R193" s="293">
        <f>IF(C193&lt;Calibration!$F$5,L193,IF(C193&lt;Calibration!$E$5,C193*M193+N193,IF(C193&lt;K193,C193*O193+P193,Q193)))</f>
        <v>1.1039399686213851</v>
      </c>
      <c r="S193" s="286">
        <f t="shared" si="4"/>
        <v>5089.367379364483</v>
      </c>
      <c r="T193" s="293">
        <f>IF(E193="DHP",VLOOKUP(D193,Calibration!$C$20:$E$22,2,FALSE),IF(D193=1,Calibration!$D$17,Calibration!$D$18))</f>
        <v>0.85917762533929642</v>
      </c>
      <c r="U193" s="286">
        <f t="shared" si="5"/>
        <v>4372.6705794816544</v>
      </c>
      <c r="V193" s="286">
        <f>VLOOKUP(T193,Calibration!$D$17:$E$22,2,FALSE)*S193</f>
        <v>628.88247541112162</v>
      </c>
      <c r="W193" t="s">
        <v>785</v>
      </c>
      <c r="X193">
        <v>765.57208400000002</v>
      </c>
      <c r="Y193">
        <v>2366.2141059999999</v>
      </c>
    </row>
    <row r="194" spans="1:25">
      <c r="A194" s="277" t="str">
        <f>SEEMoutput!A196</f>
        <v>WxHZ2CZ1_2688e_25gshp_des1</v>
      </c>
      <c r="B194" s="286">
        <f>SEEMoutput!O196</f>
        <v>5125.9323979999999</v>
      </c>
      <c r="C194" s="287">
        <v>9.3516935560766692E-2</v>
      </c>
      <c r="D194" s="277">
        <f>IF(SEEMoutput!G196&lt;6000,1,IF(SEEMoutput!G196&lt;7500,2,3))</f>
        <v>2</v>
      </c>
      <c r="E194" s="277" t="str">
        <f>IF(LEFT(SEEMoutput!BE196,1)="F","FUR",IF(LEFT(SEEMoutput!BE196,1)="D","DHP","HP"))</f>
        <v>HP</v>
      </c>
      <c r="F194" s="288">
        <f>SEEMoutput!E196</f>
        <v>480.15157099999999</v>
      </c>
      <c r="G194" s="289">
        <f>F194*(69-30)*SEEMoutput!N196/SEEMoutput!M196</f>
        <v>19109.355619859238</v>
      </c>
      <c r="H194" s="290">
        <f>'(Tons) (Furnsize)'!$F$52+'(Tons) (Furnsize)'!$F$53*'(Tons) (Furnsize)'!$B$15+'(Tons) (Furnsize)'!$F$54*G194</f>
        <v>2.3029855163418023</v>
      </c>
      <c r="I194" s="290">
        <f>H194/'(Tons) (Furnsize)'!$G$7</f>
        <v>1.9088453273846058</v>
      </c>
      <c r="J194" s="291">
        <f>F194*(69-VLOOKUP(D194,'(Tons) (Furnsize)'!$D$15:$E$17,2,FALSE))/3412</f>
        <v>9.7099819457796031</v>
      </c>
      <c r="K194" s="292">
        <f>INDEX(Calibration!$A$4:$L$13,MATCH($D194&amp;$E194,Calibration!$A$4:$A$13,0),MATCH(K$4,Calibration!$A$4:$L$4,0))</f>
        <v>0.17499999999999999</v>
      </c>
      <c r="L194" s="292">
        <f>INDEX(Calibration!$A$4:$L$13,MATCH($D194&amp;$E194,Calibration!$A$4:$A$13,0),MATCH(L$4,Calibration!$A$4:$L$4,0))</f>
        <v>1.1965160377936901</v>
      </c>
      <c r="M194" s="292">
        <f>INDEX(Calibration!$A$4:$L$13,MATCH($D194&amp;$E194,Calibration!$A$4:$A$13,0),MATCH(M$4,Calibration!$A$4:$L$4,0))</f>
        <v>-2.050167690250368</v>
      </c>
      <c r="N194" s="292">
        <f>INDEX(Calibration!$A$4:$L$13,MATCH($D194&amp;$E194,Calibration!$A$4:$A$13,0),MATCH(N$4,Calibration!$A$4:$L$4,0))</f>
        <v>1.2990244223062084</v>
      </c>
      <c r="O194" s="292">
        <f>INDEX(Calibration!$A$4:$L$13,MATCH($D194&amp;$E194,Calibration!$A$4:$A$13,0),MATCH(O$4,Calibration!$A$4:$L$4,0))</f>
        <v>-4.1003353805007361</v>
      </c>
      <c r="P194" s="292">
        <f>INDEX(Calibration!$A$4:$L$13,MATCH($D194&amp;$E194,Calibration!$A$4:$A$13,0),MATCH(P$4,Calibration!$A$4:$L$4,0))</f>
        <v>1.452786999074986</v>
      </c>
      <c r="Q194" s="292">
        <f>INDEX(Calibration!$A$4:$L$13,MATCH($D194&amp;$E194,Calibration!$A$4:$A$13,0),MATCH(Q$4,Calibration!$A$4:$L$4,0))</f>
        <v>0.73522830748735724</v>
      </c>
      <c r="R194" s="293">
        <f>IF(C194&lt;Calibration!$F$5,L194,IF(C194&lt;Calibration!$E$5,C194*M194+N194,IF(C194&lt;K194,C194*O194+P194,Q194)))</f>
        <v>1.0693361995191668</v>
      </c>
      <c r="S194" s="286">
        <f t="shared" si="4"/>
        <v>5481.3450694694893</v>
      </c>
      <c r="T194" s="293">
        <f>IF(E194="DHP",VLOOKUP(D194,Calibration!$C$20:$E$22,2,FALSE),IF(D194=1,Calibration!$D$17,Calibration!$D$18))</f>
        <v>0.85917762533929642</v>
      </c>
      <c r="U194" s="286">
        <f t="shared" si="5"/>
        <v>4709.4490404520566</v>
      </c>
      <c r="V194" s="286">
        <f>VLOOKUP(T194,Calibration!$D$17:$E$22,2,FALSE)*S194</f>
        <v>677.31833819805047</v>
      </c>
      <c r="W194" t="s">
        <v>779</v>
      </c>
      <c r="X194">
        <v>254.056308</v>
      </c>
      <c r="Y194">
        <v>2582.2245750000002</v>
      </c>
    </row>
    <row r="195" spans="1:25">
      <c r="A195" s="277" t="str">
        <f>SEEMoutput!A197</f>
        <v>WxHZ2CZ2_2688e_25gshp_des1</v>
      </c>
      <c r="B195" s="286">
        <f>SEEMoutput!O197</f>
        <v>5125.9323979999999</v>
      </c>
      <c r="C195" s="287">
        <v>9.3516935560766692E-2</v>
      </c>
      <c r="D195" s="277">
        <f>IF(SEEMoutput!G197&lt;6000,1,IF(SEEMoutput!G197&lt;7500,2,3))</f>
        <v>2</v>
      </c>
      <c r="E195" s="277" t="str">
        <f>IF(LEFT(SEEMoutput!BE197,1)="F","FUR",IF(LEFT(SEEMoutput!BE197,1)="D","DHP","HP"))</f>
        <v>HP</v>
      </c>
      <c r="F195" s="288">
        <f>SEEMoutput!E197</f>
        <v>480.15157099999999</v>
      </c>
      <c r="G195" s="289">
        <f>F195*(69-30)*SEEMoutput!N197/SEEMoutput!M197</f>
        <v>19109.355619859238</v>
      </c>
      <c r="H195" s="290">
        <f>'(Tons) (Furnsize)'!$F$52+'(Tons) (Furnsize)'!$F$53*'(Tons) (Furnsize)'!$B$15+'(Tons) (Furnsize)'!$F$54*G195</f>
        <v>2.3029855163418023</v>
      </c>
      <c r="I195" s="290">
        <f>H195/'(Tons) (Furnsize)'!$G$7</f>
        <v>1.9088453273846058</v>
      </c>
      <c r="J195" s="291">
        <f>F195*(69-VLOOKUP(D195,'(Tons) (Furnsize)'!$D$15:$E$17,2,FALSE))/3412</f>
        <v>9.7099819457796031</v>
      </c>
      <c r="K195" s="292">
        <f>INDEX(Calibration!$A$4:$L$13,MATCH($D195&amp;$E195,Calibration!$A$4:$A$13,0),MATCH(K$4,Calibration!$A$4:$L$4,0))</f>
        <v>0.17499999999999999</v>
      </c>
      <c r="L195" s="292">
        <f>INDEX(Calibration!$A$4:$L$13,MATCH($D195&amp;$E195,Calibration!$A$4:$A$13,0),MATCH(L$4,Calibration!$A$4:$L$4,0))</f>
        <v>1.1965160377936901</v>
      </c>
      <c r="M195" s="292">
        <f>INDEX(Calibration!$A$4:$L$13,MATCH($D195&amp;$E195,Calibration!$A$4:$A$13,0),MATCH(M$4,Calibration!$A$4:$L$4,0))</f>
        <v>-2.050167690250368</v>
      </c>
      <c r="N195" s="292">
        <f>INDEX(Calibration!$A$4:$L$13,MATCH($D195&amp;$E195,Calibration!$A$4:$A$13,0),MATCH(N$4,Calibration!$A$4:$L$4,0))</f>
        <v>1.2990244223062084</v>
      </c>
      <c r="O195" s="292">
        <f>INDEX(Calibration!$A$4:$L$13,MATCH($D195&amp;$E195,Calibration!$A$4:$A$13,0),MATCH(O$4,Calibration!$A$4:$L$4,0))</f>
        <v>-4.1003353805007361</v>
      </c>
      <c r="P195" s="292">
        <f>INDEX(Calibration!$A$4:$L$13,MATCH($D195&amp;$E195,Calibration!$A$4:$A$13,0),MATCH(P$4,Calibration!$A$4:$L$4,0))</f>
        <v>1.452786999074986</v>
      </c>
      <c r="Q195" s="292">
        <f>INDEX(Calibration!$A$4:$L$13,MATCH($D195&amp;$E195,Calibration!$A$4:$A$13,0),MATCH(Q$4,Calibration!$A$4:$L$4,0))</f>
        <v>0.73522830748735724</v>
      </c>
      <c r="R195" s="293">
        <f>IF(C195&lt;Calibration!$F$5,L195,IF(C195&lt;Calibration!$E$5,C195*M195+N195,IF(C195&lt;K195,C195*O195+P195,Q195)))</f>
        <v>1.0693361995191668</v>
      </c>
      <c r="S195" s="286">
        <f t="shared" si="4"/>
        <v>5481.3450694694893</v>
      </c>
      <c r="T195" s="293">
        <f>IF(E195="DHP",VLOOKUP(D195,Calibration!$C$20:$E$22,2,FALSE),IF(D195=1,Calibration!$D$17,Calibration!$D$18))</f>
        <v>0.85917762533929642</v>
      </c>
      <c r="U195" s="286">
        <f t="shared" si="5"/>
        <v>4709.4490404520566</v>
      </c>
      <c r="V195" s="286">
        <f>VLOOKUP(T195,Calibration!$D$17:$E$22,2,FALSE)*S195</f>
        <v>677.31833819805047</v>
      </c>
      <c r="W195" t="s">
        <v>782</v>
      </c>
      <c r="X195">
        <v>485.67804599999999</v>
      </c>
      <c r="Y195">
        <v>2582.2245750000002</v>
      </c>
    </row>
    <row r="196" spans="1:25">
      <c r="A196" s="277" t="str">
        <f>SEEMoutput!A198</f>
        <v>WxHZ2CZ3_2688e_25gshp_des1</v>
      </c>
      <c r="B196" s="286">
        <f>SEEMoutput!O198</f>
        <v>5125.9323979999999</v>
      </c>
      <c r="C196" s="287">
        <v>9.3516935560766692E-2</v>
      </c>
      <c r="D196" s="277">
        <f>IF(SEEMoutput!G198&lt;6000,1,IF(SEEMoutput!G198&lt;7500,2,3))</f>
        <v>2</v>
      </c>
      <c r="E196" s="277" t="str">
        <f>IF(LEFT(SEEMoutput!BE198,1)="F","FUR",IF(LEFT(SEEMoutput!BE198,1)="D","DHP","HP"))</f>
        <v>HP</v>
      </c>
      <c r="F196" s="288">
        <f>SEEMoutput!E198</f>
        <v>480.15157099999999</v>
      </c>
      <c r="G196" s="289">
        <f>F196*(69-30)*SEEMoutput!N198/SEEMoutput!M198</f>
        <v>19109.355619859238</v>
      </c>
      <c r="H196" s="290">
        <f>'(Tons) (Furnsize)'!$F$52+'(Tons) (Furnsize)'!$F$53*'(Tons) (Furnsize)'!$B$15+'(Tons) (Furnsize)'!$F$54*G196</f>
        <v>2.3029855163418023</v>
      </c>
      <c r="I196" s="290">
        <f>H196/'(Tons) (Furnsize)'!$G$7</f>
        <v>1.9088453273846058</v>
      </c>
      <c r="J196" s="291">
        <f>F196*(69-VLOOKUP(D196,'(Tons) (Furnsize)'!$D$15:$E$17,2,FALSE))/3412</f>
        <v>9.7099819457796031</v>
      </c>
      <c r="K196" s="292">
        <f>INDEX(Calibration!$A$4:$L$13,MATCH($D196&amp;$E196,Calibration!$A$4:$A$13,0),MATCH(K$4,Calibration!$A$4:$L$4,0))</f>
        <v>0.17499999999999999</v>
      </c>
      <c r="L196" s="292">
        <f>INDEX(Calibration!$A$4:$L$13,MATCH($D196&amp;$E196,Calibration!$A$4:$A$13,0),MATCH(L$4,Calibration!$A$4:$L$4,0))</f>
        <v>1.1965160377936901</v>
      </c>
      <c r="M196" s="292">
        <f>INDEX(Calibration!$A$4:$L$13,MATCH($D196&amp;$E196,Calibration!$A$4:$A$13,0),MATCH(M$4,Calibration!$A$4:$L$4,0))</f>
        <v>-2.050167690250368</v>
      </c>
      <c r="N196" s="292">
        <f>INDEX(Calibration!$A$4:$L$13,MATCH($D196&amp;$E196,Calibration!$A$4:$A$13,0),MATCH(N$4,Calibration!$A$4:$L$4,0))</f>
        <v>1.2990244223062084</v>
      </c>
      <c r="O196" s="292">
        <f>INDEX(Calibration!$A$4:$L$13,MATCH($D196&amp;$E196,Calibration!$A$4:$A$13,0),MATCH(O$4,Calibration!$A$4:$L$4,0))</f>
        <v>-4.1003353805007361</v>
      </c>
      <c r="P196" s="292">
        <f>INDEX(Calibration!$A$4:$L$13,MATCH($D196&amp;$E196,Calibration!$A$4:$A$13,0),MATCH(P$4,Calibration!$A$4:$L$4,0))</f>
        <v>1.452786999074986</v>
      </c>
      <c r="Q196" s="292">
        <f>INDEX(Calibration!$A$4:$L$13,MATCH($D196&amp;$E196,Calibration!$A$4:$A$13,0),MATCH(Q$4,Calibration!$A$4:$L$4,0))</f>
        <v>0.73522830748735724</v>
      </c>
      <c r="R196" s="293">
        <f>IF(C196&lt;Calibration!$F$5,L196,IF(C196&lt;Calibration!$E$5,C196*M196+N196,IF(C196&lt;K196,C196*O196+P196,Q196)))</f>
        <v>1.0693361995191668</v>
      </c>
      <c r="S196" s="286">
        <f t="shared" si="4"/>
        <v>5481.3450694694893</v>
      </c>
      <c r="T196" s="293">
        <f>IF(E196="DHP",VLOOKUP(D196,Calibration!$C$20:$E$22,2,FALSE),IF(D196=1,Calibration!$D$17,Calibration!$D$18))</f>
        <v>0.85917762533929642</v>
      </c>
      <c r="U196" s="286">
        <f t="shared" si="5"/>
        <v>4709.4490404520566</v>
      </c>
      <c r="V196" s="286">
        <f>VLOOKUP(T196,Calibration!$D$17:$E$22,2,FALSE)*S196</f>
        <v>677.31833819805047</v>
      </c>
      <c r="W196" t="s">
        <v>785</v>
      </c>
      <c r="X196">
        <v>789.33243600000003</v>
      </c>
      <c r="Y196">
        <v>2582.2245750000002</v>
      </c>
    </row>
    <row r="197" spans="1:25">
      <c r="A197" s="277" t="str">
        <f>SEEMoutput!A199</f>
        <v>NWHZ3CZ1_2688n_25gshp_des1</v>
      </c>
      <c r="B197" s="286">
        <f>SEEMoutput!O199</f>
        <v>5863.1229469999998</v>
      </c>
      <c r="C197" s="287">
        <v>8.4134409440570407E-2</v>
      </c>
      <c r="D197" s="277">
        <f>IF(SEEMoutput!G199&lt;6000,1,IF(SEEMoutput!G199&lt;7500,2,3))</f>
        <v>3</v>
      </c>
      <c r="E197" s="277" t="str">
        <f>IF(LEFT(SEEMoutput!BE199,1)="F","FUR",IF(LEFT(SEEMoutput!BE199,1)="D","DHP","HP"))</f>
        <v>HP</v>
      </c>
      <c r="F197" s="288">
        <f>SEEMoutput!E199</f>
        <v>438.66687400000001</v>
      </c>
      <c r="G197" s="289">
        <f>F197*(69-30)*SEEMoutput!N199/SEEMoutput!M199</f>
        <v>17412.066383123176</v>
      </c>
      <c r="H197" s="290">
        <f>'(Tons) (Furnsize)'!$F$52+'(Tons) (Furnsize)'!$F$53*'(Tons) (Furnsize)'!$B$15+'(Tons) (Furnsize)'!$F$54*G197</f>
        <v>2.103706116203012</v>
      </c>
      <c r="I197" s="290">
        <f>H197/'(Tons) (Furnsize)'!$G$7</f>
        <v>1.7436712309347173</v>
      </c>
      <c r="J197" s="291">
        <f>F197*(69-VLOOKUP(D197,'(Tons) (Furnsize)'!$D$15:$E$17,2,FALSE))/3412</f>
        <v>12.085195239155921</v>
      </c>
      <c r="K197" s="292">
        <f>INDEX(Calibration!$A$4:$L$13,MATCH($D197&amp;$E197,Calibration!$A$4:$A$13,0),MATCH(K$4,Calibration!$A$4:$L$4,0))</f>
        <v>0.15</v>
      </c>
      <c r="L197" s="292">
        <f>INDEX(Calibration!$A$4:$L$13,MATCH($D197&amp;$E197,Calibration!$A$4:$A$13,0),MATCH(L$4,Calibration!$A$4:$L$4,0))</f>
        <v>1.0259371368886356</v>
      </c>
      <c r="M197" s="292">
        <f>INDEX(Calibration!$A$4:$L$13,MATCH($D197&amp;$E197,Calibration!$A$4:$A$13,0),MATCH(M$4,Calibration!$A$4:$L$4,0))</f>
        <v>-1.8551508104013119</v>
      </c>
      <c r="N197" s="292">
        <f>INDEX(Calibration!$A$4:$L$13,MATCH($D197&amp;$E197,Calibration!$A$4:$A$13,0),MATCH(N$4,Calibration!$A$4:$L$4,0))</f>
        <v>1.1186946774087012</v>
      </c>
      <c r="O197" s="292">
        <f>INDEX(Calibration!$A$4:$L$13,MATCH($D197&amp;$E197,Calibration!$A$4:$A$13,0),MATCH(O$4,Calibration!$A$4:$L$4,0))</f>
        <v>-3.7103016208026238</v>
      </c>
      <c r="P197" s="292">
        <f>INDEX(Calibration!$A$4:$L$13,MATCH($D197&amp;$E197,Calibration!$A$4:$A$13,0),MATCH(P$4,Calibration!$A$4:$L$4,0))</f>
        <v>1.2578309881887995</v>
      </c>
      <c r="Q197" s="292">
        <f>INDEX(Calibration!$A$4:$L$13,MATCH($D197&amp;$E197,Calibration!$A$4:$A$13,0),MATCH(Q$4,Calibration!$A$4:$L$4,0))</f>
        <v>0.7012857450684058</v>
      </c>
      <c r="R197" s="293">
        <f>IF(C197&lt;Calibration!$F$5,L197,IF(C197&lt;Calibration!$E$5,C197*M197+N197,IF(C197&lt;K197,C197*O197+P197,Q197)))</f>
        <v>0.94566695247617949</v>
      </c>
      <c r="S197" s="286">
        <f t="shared" ref="S197:S260" si="6">R197*B197</f>
        <v>5544.5616092826467</v>
      </c>
      <c r="T197" s="293">
        <f>IF(E197="DHP",VLOOKUP(D197,Calibration!$C$20:$E$22,2,FALSE),IF(D197=1,Calibration!$D$17,Calibration!$D$18))</f>
        <v>0.85917762533929642</v>
      </c>
      <c r="U197" s="286">
        <f t="shared" ref="U197:U260" si="7">T197*S197</f>
        <v>4763.7632770108921</v>
      </c>
      <c r="V197" s="286">
        <f>VLOOKUP(T197,Calibration!$D$17:$E$22,2,FALSE)*S197</f>
        <v>685.12987371537611</v>
      </c>
      <c r="W197" t="s">
        <v>794</v>
      </c>
      <c r="X197">
        <v>254.21410800000001</v>
      </c>
      <c r="Y197">
        <v>2765.3289060000002</v>
      </c>
    </row>
    <row r="198" spans="1:25">
      <c r="A198" s="277" t="str">
        <f>SEEMoutput!A200</f>
        <v>NWHZ3CZ2_2688n_25gshp_des1</v>
      </c>
      <c r="B198" s="286">
        <f>SEEMoutput!O200</f>
        <v>5863.1229469999998</v>
      </c>
      <c r="C198" s="287">
        <v>8.4134409440570407E-2</v>
      </c>
      <c r="D198" s="277">
        <f>IF(SEEMoutput!G200&lt;6000,1,IF(SEEMoutput!G200&lt;7500,2,3))</f>
        <v>3</v>
      </c>
      <c r="E198" s="277" t="str">
        <f>IF(LEFT(SEEMoutput!BE200,1)="F","FUR",IF(LEFT(SEEMoutput!BE200,1)="D","DHP","HP"))</f>
        <v>HP</v>
      </c>
      <c r="F198" s="288">
        <f>SEEMoutput!E200</f>
        <v>438.66687400000001</v>
      </c>
      <c r="G198" s="289">
        <f>F198*(69-30)*SEEMoutput!N200/SEEMoutput!M200</f>
        <v>17412.066383123176</v>
      </c>
      <c r="H198" s="290">
        <f>'(Tons) (Furnsize)'!$F$52+'(Tons) (Furnsize)'!$F$53*'(Tons) (Furnsize)'!$B$15+'(Tons) (Furnsize)'!$F$54*G198</f>
        <v>2.103706116203012</v>
      </c>
      <c r="I198" s="290">
        <f>H198/'(Tons) (Furnsize)'!$G$7</f>
        <v>1.7436712309347173</v>
      </c>
      <c r="J198" s="291">
        <f>F198*(69-VLOOKUP(D198,'(Tons) (Furnsize)'!$D$15:$E$17,2,FALSE))/3412</f>
        <v>12.085195239155921</v>
      </c>
      <c r="K198" s="292">
        <f>INDEX(Calibration!$A$4:$L$13,MATCH($D198&amp;$E198,Calibration!$A$4:$A$13,0),MATCH(K$4,Calibration!$A$4:$L$4,0))</f>
        <v>0.15</v>
      </c>
      <c r="L198" s="292">
        <f>INDEX(Calibration!$A$4:$L$13,MATCH($D198&amp;$E198,Calibration!$A$4:$A$13,0),MATCH(L$4,Calibration!$A$4:$L$4,0))</f>
        <v>1.0259371368886356</v>
      </c>
      <c r="M198" s="292">
        <f>INDEX(Calibration!$A$4:$L$13,MATCH($D198&amp;$E198,Calibration!$A$4:$A$13,0),MATCH(M$4,Calibration!$A$4:$L$4,0))</f>
        <v>-1.8551508104013119</v>
      </c>
      <c r="N198" s="292">
        <f>INDEX(Calibration!$A$4:$L$13,MATCH($D198&amp;$E198,Calibration!$A$4:$A$13,0),MATCH(N$4,Calibration!$A$4:$L$4,0))</f>
        <v>1.1186946774087012</v>
      </c>
      <c r="O198" s="292">
        <f>INDEX(Calibration!$A$4:$L$13,MATCH($D198&amp;$E198,Calibration!$A$4:$A$13,0),MATCH(O$4,Calibration!$A$4:$L$4,0))</f>
        <v>-3.7103016208026238</v>
      </c>
      <c r="P198" s="292">
        <f>INDEX(Calibration!$A$4:$L$13,MATCH($D198&amp;$E198,Calibration!$A$4:$A$13,0),MATCH(P$4,Calibration!$A$4:$L$4,0))</f>
        <v>1.2578309881887995</v>
      </c>
      <c r="Q198" s="292">
        <f>INDEX(Calibration!$A$4:$L$13,MATCH($D198&amp;$E198,Calibration!$A$4:$A$13,0),MATCH(Q$4,Calibration!$A$4:$L$4,0))</f>
        <v>0.7012857450684058</v>
      </c>
      <c r="R198" s="293">
        <f>IF(C198&lt;Calibration!$F$5,L198,IF(C198&lt;Calibration!$E$5,C198*M198+N198,IF(C198&lt;K198,C198*O198+P198,Q198)))</f>
        <v>0.94566695247617949</v>
      </c>
      <c r="S198" s="286">
        <f t="shared" si="6"/>
        <v>5544.5616092826467</v>
      </c>
      <c r="T198" s="293">
        <f>IF(E198="DHP",VLOOKUP(D198,Calibration!$C$20:$E$22,2,FALSE),IF(D198=1,Calibration!$D$17,Calibration!$D$18))</f>
        <v>0.85917762533929642</v>
      </c>
      <c r="U198" s="286">
        <f t="shared" si="7"/>
        <v>4763.7632770108921</v>
      </c>
      <c r="V198" s="286">
        <f>VLOOKUP(T198,Calibration!$D$17:$E$22,2,FALSE)*S198</f>
        <v>685.12987371537611</v>
      </c>
      <c r="W198" t="s">
        <v>797</v>
      </c>
      <c r="X198">
        <v>475.19546800000001</v>
      </c>
      <c r="Y198">
        <v>2765.3289060000002</v>
      </c>
    </row>
    <row r="199" spans="1:25">
      <c r="A199" s="277" t="str">
        <f>SEEMoutput!A201</f>
        <v>NWHZ3CZ3_2688n_25gshp_des1</v>
      </c>
      <c r="B199" s="286">
        <f>SEEMoutput!O201</f>
        <v>5863.1229469999998</v>
      </c>
      <c r="C199" s="287">
        <v>8.4134409440570407E-2</v>
      </c>
      <c r="D199" s="277">
        <f>IF(SEEMoutput!G201&lt;6000,1,IF(SEEMoutput!G201&lt;7500,2,3))</f>
        <v>3</v>
      </c>
      <c r="E199" s="277" t="str">
        <f>IF(LEFT(SEEMoutput!BE201,1)="F","FUR",IF(LEFT(SEEMoutput!BE201,1)="D","DHP","HP"))</f>
        <v>HP</v>
      </c>
      <c r="F199" s="288">
        <f>SEEMoutput!E201</f>
        <v>438.66687400000001</v>
      </c>
      <c r="G199" s="289">
        <f>F199*(69-30)*SEEMoutput!N201/SEEMoutput!M201</f>
        <v>17412.066383123176</v>
      </c>
      <c r="H199" s="290">
        <f>'(Tons) (Furnsize)'!$F$52+'(Tons) (Furnsize)'!$F$53*'(Tons) (Furnsize)'!$B$15+'(Tons) (Furnsize)'!$F$54*G199</f>
        <v>2.103706116203012</v>
      </c>
      <c r="I199" s="290">
        <f>H199/'(Tons) (Furnsize)'!$G$7</f>
        <v>1.7436712309347173</v>
      </c>
      <c r="J199" s="291">
        <f>F199*(69-VLOOKUP(D199,'(Tons) (Furnsize)'!$D$15:$E$17,2,FALSE))/3412</f>
        <v>12.085195239155921</v>
      </c>
      <c r="K199" s="292">
        <f>INDEX(Calibration!$A$4:$L$13,MATCH($D199&amp;$E199,Calibration!$A$4:$A$13,0),MATCH(K$4,Calibration!$A$4:$L$4,0))</f>
        <v>0.15</v>
      </c>
      <c r="L199" s="292">
        <f>INDEX(Calibration!$A$4:$L$13,MATCH($D199&amp;$E199,Calibration!$A$4:$A$13,0),MATCH(L$4,Calibration!$A$4:$L$4,0))</f>
        <v>1.0259371368886356</v>
      </c>
      <c r="M199" s="292">
        <f>INDEX(Calibration!$A$4:$L$13,MATCH($D199&amp;$E199,Calibration!$A$4:$A$13,0),MATCH(M$4,Calibration!$A$4:$L$4,0))</f>
        <v>-1.8551508104013119</v>
      </c>
      <c r="N199" s="292">
        <f>INDEX(Calibration!$A$4:$L$13,MATCH($D199&amp;$E199,Calibration!$A$4:$A$13,0),MATCH(N$4,Calibration!$A$4:$L$4,0))</f>
        <v>1.1186946774087012</v>
      </c>
      <c r="O199" s="292">
        <f>INDEX(Calibration!$A$4:$L$13,MATCH($D199&amp;$E199,Calibration!$A$4:$A$13,0),MATCH(O$4,Calibration!$A$4:$L$4,0))</f>
        <v>-3.7103016208026238</v>
      </c>
      <c r="P199" s="292">
        <f>INDEX(Calibration!$A$4:$L$13,MATCH($D199&amp;$E199,Calibration!$A$4:$A$13,0),MATCH(P$4,Calibration!$A$4:$L$4,0))</f>
        <v>1.2578309881887995</v>
      </c>
      <c r="Q199" s="292">
        <f>INDEX(Calibration!$A$4:$L$13,MATCH($D199&amp;$E199,Calibration!$A$4:$A$13,0),MATCH(Q$4,Calibration!$A$4:$L$4,0))</f>
        <v>0.7012857450684058</v>
      </c>
      <c r="R199" s="293">
        <f>IF(C199&lt;Calibration!$F$5,L199,IF(C199&lt;Calibration!$E$5,C199*M199+N199,IF(C199&lt;K199,C199*O199+P199,Q199)))</f>
        <v>0.94566695247617949</v>
      </c>
      <c r="S199" s="286">
        <f t="shared" si="6"/>
        <v>5544.5616092826467</v>
      </c>
      <c r="T199" s="293">
        <f>IF(E199="DHP",VLOOKUP(D199,Calibration!$C$20:$E$22,2,FALSE),IF(D199=1,Calibration!$D$17,Calibration!$D$18))</f>
        <v>0.85917762533929642</v>
      </c>
      <c r="U199" s="286">
        <f t="shared" si="7"/>
        <v>4763.7632770108921</v>
      </c>
      <c r="V199" s="286">
        <f>VLOOKUP(T199,Calibration!$D$17:$E$22,2,FALSE)*S199</f>
        <v>685.12987371537611</v>
      </c>
      <c r="W199" t="s">
        <v>800</v>
      </c>
      <c r="X199">
        <v>765.57208400000002</v>
      </c>
      <c r="Y199">
        <v>2765.3289060000002</v>
      </c>
    </row>
    <row r="200" spans="1:25">
      <c r="A200" s="277" t="str">
        <f>SEEMoutput!A202</f>
        <v>WxHZ3CZ1_2688e_25gshp_des1</v>
      </c>
      <c r="B200" s="286">
        <f>SEEMoutput!O202</f>
        <v>6530.6534410000004</v>
      </c>
      <c r="C200" s="287">
        <v>9.2449112733720432E-2</v>
      </c>
      <c r="D200" s="277">
        <f>IF(SEEMoutput!G202&lt;6000,1,IF(SEEMoutput!G202&lt;7500,2,3))</f>
        <v>3</v>
      </c>
      <c r="E200" s="277" t="str">
        <f>IF(LEFT(SEEMoutput!BE202,1)="F","FUR",IF(LEFT(SEEMoutput!BE202,1)="D","DHP","HP"))</f>
        <v>HP</v>
      </c>
      <c r="F200" s="288">
        <f>SEEMoutput!E202</f>
        <v>472.56832600000001</v>
      </c>
      <c r="G200" s="289">
        <f>F200*(69-30)*SEEMoutput!N202/SEEMoutput!M202</f>
        <v>18805.304096058167</v>
      </c>
      <c r="H200" s="290">
        <f>'(Tons) (Furnsize)'!$F$52+'(Tons) (Furnsize)'!$F$53*'(Tons) (Furnsize)'!$B$15+'(Tons) (Furnsize)'!$F$54*G200</f>
        <v>2.267286706755947</v>
      </c>
      <c r="I200" s="290">
        <f>H200/'(Tons) (Furnsize)'!$G$7</f>
        <v>1.8792561244184509</v>
      </c>
      <c r="J200" s="291">
        <f>F200*(69-VLOOKUP(D200,'(Tons) (Furnsize)'!$D$15:$E$17,2,FALSE))/3412</f>
        <v>13.019174280187572</v>
      </c>
      <c r="K200" s="292">
        <f>INDEX(Calibration!$A$4:$L$13,MATCH($D200&amp;$E200,Calibration!$A$4:$A$13,0),MATCH(K$4,Calibration!$A$4:$L$4,0))</f>
        <v>0.15</v>
      </c>
      <c r="L200" s="292">
        <f>INDEX(Calibration!$A$4:$L$13,MATCH($D200&amp;$E200,Calibration!$A$4:$A$13,0),MATCH(L$4,Calibration!$A$4:$L$4,0))</f>
        <v>1.0259371368886356</v>
      </c>
      <c r="M200" s="292">
        <f>INDEX(Calibration!$A$4:$L$13,MATCH($D200&amp;$E200,Calibration!$A$4:$A$13,0),MATCH(M$4,Calibration!$A$4:$L$4,0))</f>
        <v>-1.8551508104013119</v>
      </c>
      <c r="N200" s="292">
        <f>INDEX(Calibration!$A$4:$L$13,MATCH($D200&amp;$E200,Calibration!$A$4:$A$13,0),MATCH(N$4,Calibration!$A$4:$L$4,0))</f>
        <v>1.1186946774087012</v>
      </c>
      <c r="O200" s="292">
        <f>INDEX(Calibration!$A$4:$L$13,MATCH($D200&amp;$E200,Calibration!$A$4:$A$13,0),MATCH(O$4,Calibration!$A$4:$L$4,0))</f>
        <v>-3.7103016208026238</v>
      </c>
      <c r="P200" s="292">
        <f>INDEX(Calibration!$A$4:$L$13,MATCH($D200&amp;$E200,Calibration!$A$4:$A$13,0),MATCH(P$4,Calibration!$A$4:$L$4,0))</f>
        <v>1.2578309881887995</v>
      </c>
      <c r="Q200" s="292">
        <f>INDEX(Calibration!$A$4:$L$13,MATCH($D200&amp;$E200,Calibration!$A$4:$A$13,0),MATCH(Q$4,Calibration!$A$4:$L$4,0))</f>
        <v>0.7012857450684058</v>
      </c>
      <c r="R200" s="293">
        <f>IF(C200&lt;Calibration!$F$5,L200,IF(C200&lt;Calibration!$E$5,C200*M200+N200,IF(C200&lt;K200,C200*O200+P200,Q200)))</f>
        <v>0.91481689537111199</v>
      </c>
      <c r="S200" s="286">
        <f t="shared" si="6"/>
        <v>5974.3521056402897</v>
      </c>
      <c r="T200" s="293">
        <f>IF(E200="DHP",VLOOKUP(D200,Calibration!$C$20:$E$22,2,FALSE),IF(D200=1,Calibration!$D$17,Calibration!$D$18))</f>
        <v>0.85917762533929642</v>
      </c>
      <c r="U200" s="286">
        <f t="shared" si="7"/>
        <v>5133.0296550648491</v>
      </c>
      <c r="V200" s="286">
        <f>VLOOKUP(T200,Calibration!$D$17:$E$22,2,FALSE)*S200</f>
        <v>738.23818583162972</v>
      </c>
      <c r="W200" t="s">
        <v>794</v>
      </c>
      <c r="X200">
        <v>254.056308</v>
      </c>
      <c r="Y200">
        <v>3005.4507570000001</v>
      </c>
    </row>
    <row r="201" spans="1:25">
      <c r="A201" s="277" t="str">
        <f>SEEMoutput!A203</f>
        <v>WxHZ3CZ2_2688e_25gshp_des1</v>
      </c>
      <c r="B201" s="286">
        <f>SEEMoutput!O203</f>
        <v>6530.6534410000004</v>
      </c>
      <c r="C201" s="287">
        <v>9.2449112733720432E-2</v>
      </c>
      <c r="D201" s="277">
        <f>IF(SEEMoutput!G203&lt;6000,1,IF(SEEMoutput!G203&lt;7500,2,3))</f>
        <v>3</v>
      </c>
      <c r="E201" s="277" t="str">
        <f>IF(LEFT(SEEMoutput!BE203,1)="F","FUR",IF(LEFT(SEEMoutput!BE203,1)="D","DHP","HP"))</f>
        <v>HP</v>
      </c>
      <c r="F201" s="288">
        <f>SEEMoutput!E203</f>
        <v>472.56832600000001</v>
      </c>
      <c r="G201" s="289">
        <f>F201*(69-30)*SEEMoutput!N203/SEEMoutput!M203</f>
        <v>18805.304096058167</v>
      </c>
      <c r="H201" s="290">
        <f>'(Tons) (Furnsize)'!$F$52+'(Tons) (Furnsize)'!$F$53*'(Tons) (Furnsize)'!$B$15+'(Tons) (Furnsize)'!$F$54*G201</f>
        <v>2.267286706755947</v>
      </c>
      <c r="I201" s="290">
        <f>H201/'(Tons) (Furnsize)'!$G$7</f>
        <v>1.8792561244184509</v>
      </c>
      <c r="J201" s="291">
        <f>F201*(69-VLOOKUP(D201,'(Tons) (Furnsize)'!$D$15:$E$17,2,FALSE))/3412</f>
        <v>13.019174280187572</v>
      </c>
      <c r="K201" s="292">
        <f>INDEX(Calibration!$A$4:$L$13,MATCH($D201&amp;$E201,Calibration!$A$4:$A$13,0),MATCH(K$4,Calibration!$A$4:$L$4,0))</f>
        <v>0.15</v>
      </c>
      <c r="L201" s="292">
        <f>INDEX(Calibration!$A$4:$L$13,MATCH($D201&amp;$E201,Calibration!$A$4:$A$13,0),MATCH(L$4,Calibration!$A$4:$L$4,0))</f>
        <v>1.0259371368886356</v>
      </c>
      <c r="M201" s="292">
        <f>INDEX(Calibration!$A$4:$L$13,MATCH($D201&amp;$E201,Calibration!$A$4:$A$13,0),MATCH(M$4,Calibration!$A$4:$L$4,0))</f>
        <v>-1.8551508104013119</v>
      </c>
      <c r="N201" s="292">
        <f>INDEX(Calibration!$A$4:$L$13,MATCH($D201&amp;$E201,Calibration!$A$4:$A$13,0),MATCH(N$4,Calibration!$A$4:$L$4,0))</f>
        <v>1.1186946774087012</v>
      </c>
      <c r="O201" s="292">
        <f>INDEX(Calibration!$A$4:$L$13,MATCH($D201&amp;$E201,Calibration!$A$4:$A$13,0),MATCH(O$4,Calibration!$A$4:$L$4,0))</f>
        <v>-3.7103016208026238</v>
      </c>
      <c r="P201" s="292">
        <f>INDEX(Calibration!$A$4:$L$13,MATCH($D201&amp;$E201,Calibration!$A$4:$A$13,0),MATCH(P$4,Calibration!$A$4:$L$4,0))</f>
        <v>1.2578309881887995</v>
      </c>
      <c r="Q201" s="292">
        <f>INDEX(Calibration!$A$4:$L$13,MATCH($D201&amp;$E201,Calibration!$A$4:$A$13,0),MATCH(Q$4,Calibration!$A$4:$L$4,0))</f>
        <v>0.7012857450684058</v>
      </c>
      <c r="R201" s="293">
        <f>IF(C201&lt;Calibration!$F$5,L201,IF(C201&lt;Calibration!$E$5,C201*M201+N201,IF(C201&lt;K201,C201*O201+P201,Q201)))</f>
        <v>0.91481689537111199</v>
      </c>
      <c r="S201" s="286">
        <f t="shared" si="6"/>
        <v>5974.3521056402897</v>
      </c>
      <c r="T201" s="293">
        <f>IF(E201="DHP",VLOOKUP(D201,Calibration!$C$20:$E$22,2,FALSE),IF(D201=1,Calibration!$D$17,Calibration!$D$18))</f>
        <v>0.85917762533929642</v>
      </c>
      <c r="U201" s="286">
        <f t="shared" si="7"/>
        <v>5133.0296550648491</v>
      </c>
      <c r="V201" s="286">
        <f>VLOOKUP(T201,Calibration!$D$17:$E$22,2,FALSE)*S201</f>
        <v>738.23818583162972</v>
      </c>
      <c r="W201" t="s">
        <v>797</v>
      </c>
      <c r="X201">
        <v>485.67804599999999</v>
      </c>
      <c r="Y201">
        <v>3005.4507570000001</v>
      </c>
    </row>
    <row r="202" spans="1:25">
      <c r="A202" s="277" t="str">
        <f>SEEMoutput!A204</f>
        <v>WxHZ3CZ3_2688e_25gshp_des1</v>
      </c>
      <c r="B202" s="286">
        <f>SEEMoutput!O204</f>
        <v>6530.6534410000004</v>
      </c>
      <c r="C202" s="287">
        <v>9.2449112733720432E-2</v>
      </c>
      <c r="D202" s="277">
        <f>IF(SEEMoutput!G204&lt;6000,1,IF(SEEMoutput!G204&lt;7500,2,3))</f>
        <v>3</v>
      </c>
      <c r="E202" s="277" t="str">
        <f>IF(LEFT(SEEMoutput!BE204,1)="F","FUR",IF(LEFT(SEEMoutput!BE204,1)="D","DHP","HP"))</f>
        <v>HP</v>
      </c>
      <c r="F202" s="288">
        <f>SEEMoutput!E204</f>
        <v>472.56832600000001</v>
      </c>
      <c r="G202" s="289">
        <f>F202*(69-30)*SEEMoutput!N204/SEEMoutput!M204</f>
        <v>18805.304096058167</v>
      </c>
      <c r="H202" s="290">
        <f>'(Tons) (Furnsize)'!$F$52+'(Tons) (Furnsize)'!$F$53*'(Tons) (Furnsize)'!$B$15+'(Tons) (Furnsize)'!$F$54*G202</f>
        <v>2.267286706755947</v>
      </c>
      <c r="I202" s="290">
        <f>H202/'(Tons) (Furnsize)'!$G$7</f>
        <v>1.8792561244184509</v>
      </c>
      <c r="J202" s="291">
        <f>F202*(69-VLOOKUP(D202,'(Tons) (Furnsize)'!$D$15:$E$17,2,FALSE))/3412</f>
        <v>13.019174280187572</v>
      </c>
      <c r="K202" s="292">
        <f>INDEX(Calibration!$A$4:$L$13,MATCH($D202&amp;$E202,Calibration!$A$4:$A$13,0),MATCH(K$4,Calibration!$A$4:$L$4,0))</f>
        <v>0.15</v>
      </c>
      <c r="L202" s="292">
        <f>INDEX(Calibration!$A$4:$L$13,MATCH($D202&amp;$E202,Calibration!$A$4:$A$13,0),MATCH(L$4,Calibration!$A$4:$L$4,0))</f>
        <v>1.0259371368886356</v>
      </c>
      <c r="M202" s="292">
        <f>INDEX(Calibration!$A$4:$L$13,MATCH($D202&amp;$E202,Calibration!$A$4:$A$13,0),MATCH(M$4,Calibration!$A$4:$L$4,0))</f>
        <v>-1.8551508104013119</v>
      </c>
      <c r="N202" s="292">
        <f>INDEX(Calibration!$A$4:$L$13,MATCH($D202&amp;$E202,Calibration!$A$4:$A$13,0),MATCH(N$4,Calibration!$A$4:$L$4,0))</f>
        <v>1.1186946774087012</v>
      </c>
      <c r="O202" s="292">
        <f>INDEX(Calibration!$A$4:$L$13,MATCH($D202&amp;$E202,Calibration!$A$4:$A$13,0),MATCH(O$4,Calibration!$A$4:$L$4,0))</f>
        <v>-3.7103016208026238</v>
      </c>
      <c r="P202" s="292">
        <f>INDEX(Calibration!$A$4:$L$13,MATCH($D202&amp;$E202,Calibration!$A$4:$A$13,0),MATCH(P$4,Calibration!$A$4:$L$4,0))</f>
        <v>1.2578309881887995</v>
      </c>
      <c r="Q202" s="292">
        <f>INDEX(Calibration!$A$4:$L$13,MATCH($D202&amp;$E202,Calibration!$A$4:$A$13,0),MATCH(Q$4,Calibration!$A$4:$L$4,0))</f>
        <v>0.7012857450684058</v>
      </c>
      <c r="R202" s="293">
        <f>IF(C202&lt;Calibration!$F$5,L202,IF(C202&lt;Calibration!$E$5,C202*M202+N202,IF(C202&lt;K202,C202*O202+P202,Q202)))</f>
        <v>0.91481689537111199</v>
      </c>
      <c r="S202" s="286">
        <f t="shared" si="6"/>
        <v>5974.3521056402897</v>
      </c>
      <c r="T202" s="293">
        <f>IF(E202="DHP",VLOOKUP(D202,Calibration!$C$20:$E$22,2,FALSE),IF(D202=1,Calibration!$D$17,Calibration!$D$18))</f>
        <v>0.85917762533929642</v>
      </c>
      <c r="U202" s="286">
        <f t="shared" si="7"/>
        <v>5133.0296550648491</v>
      </c>
      <c r="V202" s="286">
        <f>VLOOKUP(T202,Calibration!$D$17:$E$22,2,FALSE)*S202</f>
        <v>738.23818583162972</v>
      </c>
      <c r="W202" t="s">
        <v>800</v>
      </c>
      <c r="X202">
        <v>789.33243600000003</v>
      </c>
      <c r="Y202">
        <v>3005.4507570000001</v>
      </c>
    </row>
    <row r="203" spans="1:25">
      <c r="A203" s="277" t="str">
        <f>SEEMoutput!A205</f>
        <v>NWHZ1CZ1_5000n_35gshp_des1</v>
      </c>
      <c r="B203" s="286">
        <f>SEEMoutput!O205</f>
        <v>6223.6966469999998</v>
      </c>
      <c r="C203" s="287">
        <v>9.7684533996810041E-2</v>
      </c>
      <c r="D203" s="277">
        <f>IF(SEEMoutput!G205&lt;6000,1,IF(SEEMoutput!G205&lt;7500,2,3))</f>
        <v>1</v>
      </c>
      <c r="E203" s="277" t="str">
        <f>IF(LEFT(SEEMoutput!BE205,1)="F","FUR",IF(LEFT(SEEMoutput!BE205,1)="D","DHP","HP"))</f>
        <v>HP</v>
      </c>
      <c r="F203" s="288">
        <f>SEEMoutput!E205</f>
        <v>764.57521099999997</v>
      </c>
      <c r="G203" s="289">
        <f>F203*(69-30)*SEEMoutput!N205/SEEMoutput!M205</f>
        <v>30968.259565204251</v>
      </c>
      <c r="H203" s="290">
        <f>'(Tons) (Furnsize)'!$F$52+'(Tons) (Furnsize)'!$F$53*'(Tons) (Furnsize)'!$B$15+'(Tons) (Furnsize)'!$F$54*G203</f>
        <v>3.6953441157968148</v>
      </c>
      <c r="I203" s="290">
        <f>H203/'(Tons) (Furnsize)'!$G$7</f>
        <v>3.0629112942584555</v>
      </c>
      <c r="J203" s="291">
        <f>F203*(69-VLOOKUP(D203,'(Tons) (Furnsize)'!$D$15:$E$17,2,FALSE))/3412</f>
        <v>11.652377189917937</v>
      </c>
      <c r="K203" s="292">
        <f>INDEX(Calibration!$A$4:$L$13,MATCH($D203&amp;$E203,Calibration!$A$4:$A$13,0),MATCH(K$4,Calibration!$A$4:$L$4,0))</f>
        <v>0.2</v>
      </c>
      <c r="L203" s="292">
        <f>INDEX(Calibration!$A$4:$L$13,MATCH($D203&amp;$E203,Calibration!$A$4:$A$13,0),MATCH(L$4,Calibration!$A$4:$L$4,0))</f>
        <v>1.3869915874526988</v>
      </c>
      <c r="M203" s="292">
        <f>INDEX(Calibration!$A$4:$L$13,MATCH($D203&amp;$E203,Calibration!$A$4:$A$13,0),MATCH(M$4,Calibration!$A$4:$L$4,0))</f>
        <v>-2.2641144651923684</v>
      </c>
      <c r="N203" s="292">
        <f>INDEX(Calibration!$A$4:$L$13,MATCH($D203&amp;$E203,Calibration!$A$4:$A$13,0),MATCH(N$4,Calibration!$A$4:$L$4,0))</f>
        <v>1.5001973107123172</v>
      </c>
      <c r="O203" s="292">
        <f>INDEX(Calibration!$A$4:$L$13,MATCH($D203&amp;$E203,Calibration!$A$4:$A$13,0),MATCH(O$4,Calibration!$A$4:$L$4,0))</f>
        <v>-4.5282289303847367</v>
      </c>
      <c r="P203" s="292">
        <f>INDEX(Calibration!$A$4:$L$13,MATCH($D203&amp;$E203,Calibration!$A$4:$A$13,0),MATCH(P$4,Calibration!$A$4:$L$4,0))</f>
        <v>1.6700058956017449</v>
      </c>
      <c r="Q203" s="292">
        <f>INDEX(Calibration!$A$4:$L$13,MATCH($D203&amp;$E203,Calibration!$A$4:$A$13,0),MATCH(Q$4,Calibration!$A$4:$L$4,0))</f>
        <v>0.7643601095247976</v>
      </c>
      <c r="R203" s="293">
        <f>IF(C203&lt;Calibration!$F$5,L203,IF(C203&lt;Calibration!$E$5,C203*M203+N203,IF(C203&lt;K203,C203*O203+P203,Q203)))</f>
        <v>1.2276679627062383</v>
      </c>
      <c r="S203" s="286">
        <f t="shared" si="6"/>
        <v>7640.6329831241364</v>
      </c>
      <c r="T203" s="293">
        <f>IF(E203="DHP",VLOOKUP(D203,Calibration!$C$20:$E$22,2,FALSE),IF(D203=1,Calibration!$D$17,Calibration!$D$18))</f>
        <v>0.82813167326562143</v>
      </c>
      <c r="U203" s="286">
        <f t="shared" si="7"/>
        <v>6327.450177123088</v>
      </c>
      <c r="V203" s="286">
        <f>VLOOKUP(T203,Calibration!$D$17:$E$22,2,FALSE)*S203</f>
        <v>1194.2530642356483</v>
      </c>
      <c r="W203" t="s">
        <v>764</v>
      </c>
      <c r="X203">
        <v>434.721857</v>
      </c>
      <c r="Y203">
        <v>2228.7916489999998</v>
      </c>
    </row>
    <row r="204" spans="1:25">
      <c r="A204" s="277" t="str">
        <f>SEEMoutput!A206</f>
        <v>NWHZ1CZ2_5000n_35gshp_des1</v>
      </c>
      <c r="B204" s="286">
        <f>SEEMoutput!O206</f>
        <v>6223.6966469999998</v>
      </c>
      <c r="C204" s="287">
        <v>9.7684533996810041E-2</v>
      </c>
      <c r="D204" s="277">
        <f>IF(SEEMoutput!G206&lt;6000,1,IF(SEEMoutput!G206&lt;7500,2,3))</f>
        <v>1</v>
      </c>
      <c r="E204" s="277" t="str">
        <f>IF(LEFT(SEEMoutput!BE206,1)="F","FUR",IF(LEFT(SEEMoutput!BE206,1)="D","DHP","HP"))</f>
        <v>HP</v>
      </c>
      <c r="F204" s="288">
        <f>SEEMoutput!E206</f>
        <v>764.57521099999997</v>
      </c>
      <c r="G204" s="289">
        <f>F204*(69-30)*SEEMoutput!N206/SEEMoutput!M206</f>
        <v>30968.259565204251</v>
      </c>
      <c r="H204" s="290">
        <f>'(Tons) (Furnsize)'!$F$52+'(Tons) (Furnsize)'!$F$53*'(Tons) (Furnsize)'!$B$15+'(Tons) (Furnsize)'!$F$54*G204</f>
        <v>3.6953441157968148</v>
      </c>
      <c r="I204" s="290">
        <f>H204/'(Tons) (Furnsize)'!$G$7</f>
        <v>3.0629112942584555</v>
      </c>
      <c r="J204" s="291">
        <f>F204*(69-VLOOKUP(D204,'(Tons) (Furnsize)'!$D$15:$E$17,2,FALSE))/3412</f>
        <v>11.652377189917937</v>
      </c>
      <c r="K204" s="292">
        <f>INDEX(Calibration!$A$4:$L$13,MATCH($D204&amp;$E204,Calibration!$A$4:$A$13,0),MATCH(K$4,Calibration!$A$4:$L$4,0))</f>
        <v>0.2</v>
      </c>
      <c r="L204" s="292">
        <f>INDEX(Calibration!$A$4:$L$13,MATCH($D204&amp;$E204,Calibration!$A$4:$A$13,0),MATCH(L$4,Calibration!$A$4:$L$4,0))</f>
        <v>1.3869915874526988</v>
      </c>
      <c r="M204" s="292">
        <f>INDEX(Calibration!$A$4:$L$13,MATCH($D204&amp;$E204,Calibration!$A$4:$A$13,0),MATCH(M$4,Calibration!$A$4:$L$4,0))</f>
        <v>-2.2641144651923684</v>
      </c>
      <c r="N204" s="292">
        <f>INDEX(Calibration!$A$4:$L$13,MATCH($D204&amp;$E204,Calibration!$A$4:$A$13,0),MATCH(N$4,Calibration!$A$4:$L$4,0))</f>
        <v>1.5001973107123172</v>
      </c>
      <c r="O204" s="292">
        <f>INDEX(Calibration!$A$4:$L$13,MATCH($D204&amp;$E204,Calibration!$A$4:$A$13,0),MATCH(O$4,Calibration!$A$4:$L$4,0))</f>
        <v>-4.5282289303847367</v>
      </c>
      <c r="P204" s="292">
        <f>INDEX(Calibration!$A$4:$L$13,MATCH($D204&amp;$E204,Calibration!$A$4:$A$13,0),MATCH(P$4,Calibration!$A$4:$L$4,0))</f>
        <v>1.6700058956017449</v>
      </c>
      <c r="Q204" s="292">
        <f>INDEX(Calibration!$A$4:$L$13,MATCH($D204&amp;$E204,Calibration!$A$4:$A$13,0),MATCH(Q$4,Calibration!$A$4:$L$4,0))</f>
        <v>0.7643601095247976</v>
      </c>
      <c r="R204" s="293">
        <f>IF(C204&lt;Calibration!$F$5,L204,IF(C204&lt;Calibration!$E$5,C204*M204+N204,IF(C204&lt;K204,C204*O204+P204,Q204)))</f>
        <v>1.2276679627062383</v>
      </c>
      <c r="S204" s="286">
        <f t="shared" si="6"/>
        <v>7640.6329831241364</v>
      </c>
      <c r="T204" s="293">
        <f>IF(E204="DHP",VLOOKUP(D204,Calibration!$C$20:$E$22,2,FALSE),IF(D204=1,Calibration!$D$17,Calibration!$D$18))</f>
        <v>0.82813167326562143</v>
      </c>
      <c r="U204" s="286">
        <f t="shared" si="7"/>
        <v>6327.450177123088</v>
      </c>
      <c r="V204" s="286">
        <f>VLOOKUP(T204,Calibration!$D$17:$E$22,2,FALSE)*S204</f>
        <v>1194.2530642356483</v>
      </c>
      <c r="W204" t="s">
        <v>767</v>
      </c>
      <c r="X204">
        <v>850.19493699999998</v>
      </c>
      <c r="Y204">
        <v>2228.7916489999998</v>
      </c>
    </row>
    <row r="205" spans="1:25">
      <c r="A205" s="277" t="str">
        <f>SEEMoutput!A207</f>
        <v>NWHZ1CZ3_5000n_35gshp_des1</v>
      </c>
      <c r="B205" s="286">
        <f>SEEMoutput!O207</f>
        <v>6223.6966469999998</v>
      </c>
      <c r="C205" s="287">
        <v>9.7684533996810041E-2</v>
      </c>
      <c r="D205" s="277">
        <f>IF(SEEMoutput!G207&lt;6000,1,IF(SEEMoutput!G207&lt;7500,2,3))</f>
        <v>1</v>
      </c>
      <c r="E205" s="277" t="str">
        <f>IF(LEFT(SEEMoutput!BE207,1)="F","FUR",IF(LEFT(SEEMoutput!BE207,1)="D","DHP","HP"))</f>
        <v>HP</v>
      </c>
      <c r="F205" s="288">
        <f>SEEMoutput!E207</f>
        <v>764.57521099999997</v>
      </c>
      <c r="G205" s="289">
        <f>F205*(69-30)*SEEMoutput!N207/SEEMoutput!M207</f>
        <v>30968.259565204251</v>
      </c>
      <c r="H205" s="290">
        <f>'(Tons) (Furnsize)'!$F$52+'(Tons) (Furnsize)'!$F$53*'(Tons) (Furnsize)'!$B$15+'(Tons) (Furnsize)'!$F$54*G205</f>
        <v>3.6953441157968148</v>
      </c>
      <c r="I205" s="290">
        <f>H205/'(Tons) (Furnsize)'!$G$7</f>
        <v>3.0629112942584555</v>
      </c>
      <c r="J205" s="291">
        <f>F205*(69-VLOOKUP(D205,'(Tons) (Furnsize)'!$D$15:$E$17,2,FALSE))/3412</f>
        <v>11.652377189917937</v>
      </c>
      <c r="K205" s="292">
        <f>INDEX(Calibration!$A$4:$L$13,MATCH($D205&amp;$E205,Calibration!$A$4:$A$13,0),MATCH(K$4,Calibration!$A$4:$L$4,0))</f>
        <v>0.2</v>
      </c>
      <c r="L205" s="292">
        <f>INDEX(Calibration!$A$4:$L$13,MATCH($D205&amp;$E205,Calibration!$A$4:$A$13,0),MATCH(L$4,Calibration!$A$4:$L$4,0))</f>
        <v>1.3869915874526988</v>
      </c>
      <c r="M205" s="292">
        <f>INDEX(Calibration!$A$4:$L$13,MATCH($D205&amp;$E205,Calibration!$A$4:$A$13,0),MATCH(M$4,Calibration!$A$4:$L$4,0))</f>
        <v>-2.2641144651923684</v>
      </c>
      <c r="N205" s="292">
        <f>INDEX(Calibration!$A$4:$L$13,MATCH($D205&amp;$E205,Calibration!$A$4:$A$13,0),MATCH(N$4,Calibration!$A$4:$L$4,0))</f>
        <v>1.5001973107123172</v>
      </c>
      <c r="O205" s="292">
        <f>INDEX(Calibration!$A$4:$L$13,MATCH($D205&amp;$E205,Calibration!$A$4:$A$13,0),MATCH(O$4,Calibration!$A$4:$L$4,0))</f>
        <v>-4.5282289303847367</v>
      </c>
      <c r="P205" s="292">
        <f>INDEX(Calibration!$A$4:$L$13,MATCH($D205&amp;$E205,Calibration!$A$4:$A$13,0),MATCH(P$4,Calibration!$A$4:$L$4,0))</f>
        <v>1.6700058956017449</v>
      </c>
      <c r="Q205" s="292">
        <f>INDEX(Calibration!$A$4:$L$13,MATCH($D205&amp;$E205,Calibration!$A$4:$A$13,0),MATCH(Q$4,Calibration!$A$4:$L$4,0))</f>
        <v>0.7643601095247976</v>
      </c>
      <c r="R205" s="293">
        <f>IF(C205&lt;Calibration!$F$5,L205,IF(C205&lt;Calibration!$E$5,C205*M205+N205,IF(C205&lt;K205,C205*O205+P205,Q205)))</f>
        <v>1.2276679627062383</v>
      </c>
      <c r="S205" s="286">
        <f t="shared" si="6"/>
        <v>7640.6329831241364</v>
      </c>
      <c r="T205" s="293">
        <f>IF(E205="DHP",VLOOKUP(D205,Calibration!$C$20:$E$22,2,FALSE),IF(D205=1,Calibration!$D$17,Calibration!$D$18))</f>
        <v>0.82813167326562143</v>
      </c>
      <c r="U205" s="286">
        <f t="shared" si="7"/>
        <v>6327.450177123088</v>
      </c>
      <c r="V205" s="286">
        <f>VLOOKUP(T205,Calibration!$D$17:$E$22,2,FALSE)*S205</f>
        <v>1194.2530642356483</v>
      </c>
      <c r="W205" t="s">
        <v>770</v>
      </c>
      <c r="X205">
        <v>1391.1645249999999</v>
      </c>
      <c r="Y205">
        <v>2228.7916489999998</v>
      </c>
    </row>
    <row r="206" spans="1:25">
      <c r="A206" s="277" t="str">
        <f>SEEMoutput!A208</f>
        <v>WxHZ1CZ1_5000e_40gshp_des1</v>
      </c>
      <c r="B206" s="286">
        <f>SEEMoutput!O208</f>
        <v>6728.3173829999996</v>
      </c>
      <c r="C206" s="287">
        <v>0.1081887742859125</v>
      </c>
      <c r="D206" s="277">
        <f>IF(SEEMoutput!G208&lt;6000,1,IF(SEEMoutput!G208&lt;7500,2,3))</f>
        <v>1</v>
      </c>
      <c r="E206" s="277" t="str">
        <f>IF(LEFT(SEEMoutput!BE208,1)="F","FUR",IF(LEFT(SEEMoutput!BE208,1)="D","DHP","HP"))</f>
        <v>HP</v>
      </c>
      <c r="F206" s="288">
        <f>SEEMoutput!E208</f>
        <v>827.581726</v>
      </c>
      <c r="G206" s="289">
        <f>F206*(69-30)*SEEMoutput!N208/SEEMoutput!M208</f>
        <v>33525.72757641007</v>
      </c>
      <c r="H206" s="290">
        <f>'(Tons) (Furnsize)'!$F$52+'(Tons) (Furnsize)'!$F$53*'(Tons) (Furnsize)'!$B$15+'(Tons) (Furnsize)'!$F$54*G206</f>
        <v>3.9956174458317797</v>
      </c>
      <c r="I206" s="290">
        <f>H206/'(Tons) (Furnsize)'!$G$7</f>
        <v>3.3117949016056367</v>
      </c>
      <c r="J206" s="291">
        <f>F206*(69-VLOOKUP(D206,'(Tons) (Furnsize)'!$D$15:$E$17,2,FALSE))/3412</f>
        <v>12.612617160609615</v>
      </c>
      <c r="K206" s="292">
        <f>INDEX(Calibration!$A$4:$L$13,MATCH($D206&amp;$E206,Calibration!$A$4:$A$13,0),MATCH(K$4,Calibration!$A$4:$L$4,0))</f>
        <v>0.2</v>
      </c>
      <c r="L206" s="292">
        <f>INDEX(Calibration!$A$4:$L$13,MATCH($D206&amp;$E206,Calibration!$A$4:$A$13,0),MATCH(L$4,Calibration!$A$4:$L$4,0))</f>
        <v>1.3869915874526988</v>
      </c>
      <c r="M206" s="292">
        <f>INDEX(Calibration!$A$4:$L$13,MATCH($D206&amp;$E206,Calibration!$A$4:$A$13,0),MATCH(M$4,Calibration!$A$4:$L$4,0))</f>
        <v>-2.2641144651923684</v>
      </c>
      <c r="N206" s="292">
        <f>INDEX(Calibration!$A$4:$L$13,MATCH($D206&amp;$E206,Calibration!$A$4:$A$13,0),MATCH(N$4,Calibration!$A$4:$L$4,0))</f>
        <v>1.5001973107123172</v>
      </c>
      <c r="O206" s="292">
        <f>INDEX(Calibration!$A$4:$L$13,MATCH($D206&amp;$E206,Calibration!$A$4:$A$13,0),MATCH(O$4,Calibration!$A$4:$L$4,0))</f>
        <v>-4.5282289303847367</v>
      </c>
      <c r="P206" s="292">
        <f>INDEX(Calibration!$A$4:$L$13,MATCH($D206&amp;$E206,Calibration!$A$4:$A$13,0),MATCH(P$4,Calibration!$A$4:$L$4,0))</f>
        <v>1.6700058956017449</v>
      </c>
      <c r="Q206" s="292">
        <f>INDEX(Calibration!$A$4:$L$13,MATCH($D206&amp;$E206,Calibration!$A$4:$A$13,0),MATCH(Q$4,Calibration!$A$4:$L$4,0))</f>
        <v>0.7643601095247976</v>
      </c>
      <c r="R206" s="293">
        <f>IF(C206&lt;Calibration!$F$5,L206,IF(C206&lt;Calibration!$E$5,C206*M206+N206,IF(C206&lt;K206,C206*O206+P206,Q206)))</f>
        <v>1.1801023579374117</v>
      </c>
      <c r="S206" s="286">
        <f t="shared" si="6"/>
        <v>7940.1032086295745</v>
      </c>
      <c r="T206" s="293">
        <f>IF(E206="DHP",VLOOKUP(D206,Calibration!$C$20:$E$22,2,FALSE),IF(D206=1,Calibration!$D$17,Calibration!$D$18))</f>
        <v>0.82813167326562143</v>
      </c>
      <c r="U206" s="286">
        <f t="shared" si="7"/>
        <v>6575.4509560641391</v>
      </c>
      <c r="V206" s="286">
        <f>VLOOKUP(T206,Calibration!$D$17:$E$22,2,FALSE)*S206</f>
        <v>1241.0611278145607</v>
      </c>
      <c r="W206" t="s">
        <v>764</v>
      </c>
      <c r="X206">
        <v>444.79185899999999</v>
      </c>
      <c r="Y206">
        <v>2155.9898189999999</v>
      </c>
    </row>
    <row r="207" spans="1:25">
      <c r="A207" s="277" t="str">
        <f>SEEMoutput!A209</f>
        <v>WxHZ1CZ2_5000e_40gshp_des1</v>
      </c>
      <c r="B207" s="286">
        <f>SEEMoutput!O209</f>
        <v>6728.3173829999996</v>
      </c>
      <c r="C207" s="287">
        <v>0.1081887742859125</v>
      </c>
      <c r="D207" s="277">
        <f>IF(SEEMoutput!G209&lt;6000,1,IF(SEEMoutput!G209&lt;7500,2,3))</f>
        <v>1</v>
      </c>
      <c r="E207" s="277" t="str">
        <f>IF(LEFT(SEEMoutput!BE209,1)="F","FUR",IF(LEFT(SEEMoutput!BE209,1)="D","DHP","HP"))</f>
        <v>HP</v>
      </c>
      <c r="F207" s="288">
        <f>SEEMoutput!E209</f>
        <v>827.581726</v>
      </c>
      <c r="G207" s="289">
        <f>F207*(69-30)*SEEMoutput!N209/SEEMoutput!M209</f>
        <v>33525.72757641007</v>
      </c>
      <c r="H207" s="290">
        <f>'(Tons) (Furnsize)'!$F$52+'(Tons) (Furnsize)'!$F$53*'(Tons) (Furnsize)'!$B$15+'(Tons) (Furnsize)'!$F$54*G207</f>
        <v>3.9956174458317797</v>
      </c>
      <c r="I207" s="290">
        <f>H207/'(Tons) (Furnsize)'!$G$7</f>
        <v>3.3117949016056367</v>
      </c>
      <c r="J207" s="291">
        <f>F207*(69-VLOOKUP(D207,'(Tons) (Furnsize)'!$D$15:$E$17,2,FALSE))/3412</f>
        <v>12.612617160609615</v>
      </c>
      <c r="K207" s="292">
        <f>INDEX(Calibration!$A$4:$L$13,MATCH($D207&amp;$E207,Calibration!$A$4:$A$13,0),MATCH(K$4,Calibration!$A$4:$L$4,0))</f>
        <v>0.2</v>
      </c>
      <c r="L207" s="292">
        <f>INDEX(Calibration!$A$4:$L$13,MATCH($D207&amp;$E207,Calibration!$A$4:$A$13,0),MATCH(L$4,Calibration!$A$4:$L$4,0))</f>
        <v>1.3869915874526988</v>
      </c>
      <c r="M207" s="292">
        <f>INDEX(Calibration!$A$4:$L$13,MATCH($D207&amp;$E207,Calibration!$A$4:$A$13,0),MATCH(M$4,Calibration!$A$4:$L$4,0))</f>
        <v>-2.2641144651923684</v>
      </c>
      <c r="N207" s="292">
        <f>INDEX(Calibration!$A$4:$L$13,MATCH($D207&amp;$E207,Calibration!$A$4:$A$13,0),MATCH(N$4,Calibration!$A$4:$L$4,0))</f>
        <v>1.5001973107123172</v>
      </c>
      <c r="O207" s="292">
        <f>INDEX(Calibration!$A$4:$L$13,MATCH($D207&amp;$E207,Calibration!$A$4:$A$13,0),MATCH(O$4,Calibration!$A$4:$L$4,0))</f>
        <v>-4.5282289303847367</v>
      </c>
      <c r="P207" s="292">
        <f>INDEX(Calibration!$A$4:$L$13,MATCH($D207&amp;$E207,Calibration!$A$4:$A$13,0),MATCH(P$4,Calibration!$A$4:$L$4,0))</f>
        <v>1.6700058956017449</v>
      </c>
      <c r="Q207" s="292">
        <f>INDEX(Calibration!$A$4:$L$13,MATCH($D207&amp;$E207,Calibration!$A$4:$A$13,0),MATCH(Q$4,Calibration!$A$4:$L$4,0))</f>
        <v>0.7643601095247976</v>
      </c>
      <c r="R207" s="293">
        <f>IF(C207&lt;Calibration!$F$5,L207,IF(C207&lt;Calibration!$E$5,C207*M207+N207,IF(C207&lt;K207,C207*O207+P207,Q207)))</f>
        <v>1.1801023579374117</v>
      </c>
      <c r="S207" s="286">
        <f t="shared" si="6"/>
        <v>7940.1032086295745</v>
      </c>
      <c r="T207" s="293">
        <f>IF(E207="DHP",VLOOKUP(D207,Calibration!$C$20:$E$22,2,FALSE),IF(D207=1,Calibration!$D$17,Calibration!$D$18))</f>
        <v>0.82813167326562143</v>
      </c>
      <c r="U207" s="286">
        <f t="shared" si="7"/>
        <v>6575.4509560641391</v>
      </c>
      <c r="V207" s="286">
        <f>VLOOKUP(T207,Calibration!$D$17:$E$22,2,FALSE)*S207</f>
        <v>1241.0611278145607</v>
      </c>
      <c r="W207" t="s">
        <v>767</v>
      </c>
      <c r="X207">
        <v>881.21014200000002</v>
      </c>
      <c r="Y207">
        <v>2155.9898189999999</v>
      </c>
    </row>
    <row r="208" spans="1:25">
      <c r="A208" s="277" t="str">
        <f>SEEMoutput!A210</f>
        <v>WxHZ1CZ3_5000e_40gshp_des1</v>
      </c>
      <c r="B208" s="286">
        <f>SEEMoutput!O210</f>
        <v>6728.3173829999996</v>
      </c>
      <c r="C208" s="287">
        <v>0.1081887742859125</v>
      </c>
      <c r="D208" s="277">
        <f>IF(SEEMoutput!G210&lt;6000,1,IF(SEEMoutput!G210&lt;7500,2,3))</f>
        <v>1</v>
      </c>
      <c r="E208" s="277" t="str">
        <f>IF(LEFT(SEEMoutput!BE210,1)="F","FUR",IF(LEFT(SEEMoutput!BE210,1)="D","DHP","HP"))</f>
        <v>HP</v>
      </c>
      <c r="F208" s="288">
        <f>SEEMoutput!E210</f>
        <v>827.581726</v>
      </c>
      <c r="G208" s="289">
        <f>F208*(69-30)*SEEMoutput!N210/SEEMoutput!M210</f>
        <v>33525.72757641007</v>
      </c>
      <c r="H208" s="290">
        <f>'(Tons) (Furnsize)'!$F$52+'(Tons) (Furnsize)'!$F$53*'(Tons) (Furnsize)'!$B$15+'(Tons) (Furnsize)'!$F$54*G208</f>
        <v>3.9956174458317797</v>
      </c>
      <c r="I208" s="290">
        <f>H208/'(Tons) (Furnsize)'!$G$7</f>
        <v>3.3117949016056367</v>
      </c>
      <c r="J208" s="291">
        <f>F208*(69-VLOOKUP(D208,'(Tons) (Furnsize)'!$D$15:$E$17,2,FALSE))/3412</f>
        <v>12.612617160609615</v>
      </c>
      <c r="K208" s="292">
        <f>INDEX(Calibration!$A$4:$L$13,MATCH($D208&amp;$E208,Calibration!$A$4:$A$13,0),MATCH(K$4,Calibration!$A$4:$L$4,0))</f>
        <v>0.2</v>
      </c>
      <c r="L208" s="292">
        <f>INDEX(Calibration!$A$4:$L$13,MATCH($D208&amp;$E208,Calibration!$A$4:$A$13,0),MATCH(L$4,Calibration!$A$4:$L$4,0))</f>
        <v>1.3869915874526988</v>
      </c>
      <c r="M208" s="292">
        <f>INDEX(Calibration!$A$4:$L$13,MATCH($D208&amp;$E208,Calibration!$A$4:$A$13,0),MATCH(M$4,Calibration!$A$4:$L$4,0))</f>
        <v>-2.2641144651923684</v>
      </c>
      <c r="N208" s="292">
        <f>INDEX(Calibration!$A$4:$L$13,MATCH($D208&amp;$E208,Calibration!$A$4:$A$13,0),MATCH(N$4,Calibration!$A$4:$L$4,0))</f>
        <v>1.5001973107123172</v>
      </c>
      <c r="O208" s="292">
        <f>INDEX(Calibration!$A$4:$L$13,MATCH($D208&amp;$E208,Calibration!$A$4:$A$13,0),MATCH(O$4,Calibration!$A$4:$L$4,0))</f>
        <v>-4.5282289303847367</v>
      </c>
      <c r="P208" s="292">
        <f>INDEX(Calibration!$A$4:$L$13,MATCH($D208&amp;$E208,Calibration!$A$4:$A$13,0),MATCH(P$4,Calibration!$A$4:$L$4,0))</f>
        <v>1.6700058956017449</v>
      </c>
      <c r="Q208" s="292">
        <f>INDEX(Calibration!$A$4:$L$13,MATCH($D208&amp;$E208,Calibration!$A$4:$A$13,0),MATCH(Q$4,Calibration!$A$4:$L$4,0))</f>
        <v>0.7643601095247976</v>
      </c>
      <c r="R208" s="293">
        <f>IF(C208&lt;Calibration!$F$5,L208,IF(C208&lt;Calibration!$E$5,C208*M208+N208,IF(C208&lt;K208,C208*O208+P208,Q208)))</f>
        <v>1.1801023579374117</v>
      </c>
      <c r="S208" s="286">
        <f t="shared" si="6"/>
        <v>7940.1032086295745</v>
      </c>
      <c r="T208" s="293">
        <f>IF(E208="DHP",VLOOKUP(D208,Calibration!$C$20:$E$22,2,FALSE),IF(D208=1,Calibration!$D$17,Calibration!$D$18))</f>
        <v>0.82813167326562143</v>
      </c>
      <c r="U208" s="286">
        <f t="shared" si="7"/>
        <v>6575.4509560641391</v>
      </c>
      <c r="V208" s="286">
        <f>VLOOKUP(T208,Calibration!$D$17:$E$22,2,FALSE)*S208</f>
        <v>1241.0611278145607</v>
      </c>
      <c r="W208" t="s">
        <v>770</v>
      </c>
      <c r="X208">
        <v>1449.7975160000001</v>
      </c>
      <c r="Y208">
        <v>2155.9898189999999</v>
      </c>
    </row>
    <row r="209" spans="1:25">
      <c r="A209" s="277" t="str">
        <f>SEEMoutput!A211</f>
        <v>NWHZ2CZ1_5000n_35gshp_des1</v>
      </c>
      <c r="B209" s="286">
        <f>SEEMoutput!O211</f>
        <v>9560.3375120000001</v>
      </c>
      <c r="C209" s="287">
        <v>0.10148278326416532</v>
      </c>
      <c r="D209" s="277">
        <f>IF(SEEMoutput!G211&lt;6000,1,IF(SEEMoutput!G211&lt;7500,2,3))</f>
        <v>2</v>
      </c>
      <c r="E209" s="277" t="str">
        <f>IF(LEFT(SEEMoutput!BE211,1)="F","FUR",IF(LEFT(SEEMoutput!BE211,1)="D","DHP","HP"))</f>
        <v>HP</v>
      </c>
      <c r="F209" s="288">
        <f>SEEMoutput!E211</f>
        <v>781.48993599999994</v>
      </c>
      <c r="G209" s="289">
        <f>F209*(69-30)*SEEMoutput!N211/SEEMoutput!M211</f>
        <v>31638.613971701332</v>
      </c>
      <c r="H209" s="290">
        <f>'(Tons) (Furnsize)'!$F$52+'(Tons) (Furnsize)'!$F$53*'(Tons) (Furnsize)'!$B$15+'(Tons) (Furnsize)'!$F$54*G209</f>
        <v>3.7740506916212313</v>
      </c>
      <c r="I209" s="290">
        <f>H209/'(Tons) (Furnsize)'!$G$7</f>
        <v>3.1281477790000216</v>
      </c>
      <c r="J209" s="291">
        <f>F209*(69-VLOOKUP(D209,'(Tons) (Furnsize)'!$D$15:$E$17,2,FALSE))/3412</f>
        <v>15.80387033528722</v>
      </c>
      <c r="K209" s="292">
        <f>INDEX(Calibration!$A$4:$L$13,MATCH($D209&amp;$E209,Calibration!$A$4:$A$13,0),MATCH(K$4,Calibration!$A$4:$L$4,0))</f>
        <v>0.17499999999999999</v>
      </c>
      <c r="L209" s="292">
        <f>INDEX(Calibration!$A$4:$L$13,MATCH($D209&amp;$E209,Calibration!$A$4:$A$13,0),MATCH(L$4,Calibration!$A$4:$L$4,0))</f>
        <v>1.1965160377936901</v>
      </c>
      <c r="M209" s="292">
        <f>INDEX(Calibration!$A$4:$L$13,MATCH($D209&amp;$E209,Calibration!$A$4:$A$13,0),MATCH(M$4,Calibration!$A$4:$L$4,0))</f>
        <v>-2.050167690250368</v>
      </c>
      <c r="N209" s="292">
        <f>INDEX(Calibration!$A$4:$L$13,MATCH($D209&amp;$E209,Calibration!$A$4:$A$13,0),MATCH(N$4,Calibration!$A$4:$L$4,0))</f>
        <v>1.2990244223062084</v>
      </c>
      <c r="O209" s="292">
        <f>INDEX(Calibration!$A$4:$L$13,MATCH($D209&amp;$E209,Calibration!$A$4:$A$13,0),MATCH(O$4,Calibration!$A$4:$L$4,0))</f>
        <v>-4.1003353805007361</v>
      </c>
      <c r="P209" s="292">
        <f>INDEX(Calibration!$A$4:$L$13,MATCH($D209&amp;$E209,Calibration!$A$4:$A$13,0),MATCH(P$4,Calibration!$A$4:$L$4,0))</f>
        <v>1.452786999074986</v>
      </c>
      <c r="Q209" s="292">
        <f>INDEX(Calibration!$A$4:$L$13,MATCH($D209&amp;$E209,Calibration!$A$4:$A$13,0),MATCH(Q$4,Calibration!$A$4:$L$4,0))</f>
        <v>0.73522830748735724</v>
      </c>
      <c r="R209" s="293">
        <f>IF(C209&lt;Calibration!$F$5,L209,IF(C209&lt;Calibration!$E$5,C209*M209+N209,IF(C209&lt;K209,C209*O209+P209,Q209)))</f>
        <v>1.0366735523452411</v>
      </c>
      <c r="S209" s="286">
        <f t="shared" si="6"/>
        <v>9910.949050184503</v>
      </c>
      <c r="T209" s="293">
        <f>IF(E209="DHP",VLOOKUP(D209,Calibration!$C$20:$E$22,2,FALSE),IF(D209=1,Calibration!$D$17,Calibration!$D$18))</f>
        <v>0.85917762533929642</v>
      </c>
      <c r="U209" s="286">
        <f t="shared" si="7"/>
        <v>8515.2656697962775</v>
      </c>
      <c r="V209" s="286">
        <f>VLOOKUP(T209,Calibration!$D$17:$E$22,2,FALSE)*S209</f>
        <v>1224.6752312724252</v>
      </c>
      <c r="W209" t="s">
        <v>779</v>
      </c>
      <c r="X209">
        <v>434.721857</v>
      </c>
      <c r="Y209">
        <v>3052.642601</v>
      </c>
    </row>
    <row r="210" spans="1:25">
      <c r="A210" s="277" t="str">
        <f>SEEMoutput!A212</f>
        <v>NWHZ2CZ2_5000n_35gshp_des1</v>
      </c>
      <c r="B210" s="286">
        <f>SEEMoutput!O212</f>
        <v>9560.3375120000001</v>
      </c>
      <c r="C210" s="287">
        <v>0.10148278326416532</v>
      </c>
      <c r="D210" s="277">
        <f>IF(SEEMoutput!G212&lt;6000,1,IF(SEEMoutput!G212&lt;7500,2,3))</f>
        <v>2</v>
      </c>
      <c r="E210" s="277" t="str">
        <f>IF(LEFT(SEEMoutput!BE212,1)="F","FUR",IF(LEFT(SEEMoutput!BE212,1)="D","DHP","HP"))</f>
        <v>HP</v>
      </c>
      <c r="F210" s="288">
        <f>SEEMoutput!E212</f>
        <v>781.48993599999994</v>
      </c>
      <c r="G210" s="289">
        <f>F210*(69-30)*SEEMoutput!N212/SEEMoutput!M212</f>
        <v>31638.613971701332</v>
      </c>
      <c r="H210" s="290">
        <f>'(Tons) (Furnsize)'!$F$52+'(Tons) (Furnsize)'!$F$53*'(Tons) (Furnsize)'!$B$15+'(Tons) (Furnsize)'!$F$54*G210</f>
        <v>3.7740506916212313</v>
      </c>
      <c r="I210" s="290">
        <f>H210/'(Tons) (Furnsize)'!$G$7</f>
        <v>3.1281477790000216</v>
      </c>
      <c r="J210" s="291">
        <f>F210*(69-VLOOKUP(D210,'(Tons) (Furnsize)'!$D$15:$E$17,2,FALSE))/3412</f>
        <v>15.80387033528722</v>
      </c>
      <c r="K210" s="292">
        <f>INDEX(Calibration!$A$4:$L$13,MATCH($D210&amp;$E210,Calibration!$A$4:$A$13,0),MATCH(K$4,Calibration!$A$4:$L$4,0))</f>
        <v>0.17499999999999999</v>
      </c>
      <c r="L210" s="292">
        <f>INDEX(Calibration!$A$4:$L$13,MATCH($D210&amp;$E210,Calibration!$A$4:$A$13,0),MATCH(L$4,Calibration!$A$4:$L$4,0))</f>
        <v>1.1965160377936901</v>
      </c>
      <c r="M210" s="292">
        <f>INDEX(Calibration!$A$4:$L$13,MATCH($D210&amp;$E210,Calibration!$A$4:$A$13,0),MATCH(M$4,Calibration!$A$4:$L$4,0))</f>
        <v>-2.050167690250368</v>
      </c>
      <c r="N210" s="292">
        <f>INDEX(Calibration!$A$4:$L$13,MATCH($D210&amp;$E210,Calibration!$A$4:$A$13,0),MATCH(N$4,Calibration!$A$4:$L$4,0))</f>
        <v>1.2990244223062084</v>
      </c>
      <c r="O210" s="292">
        <f>INDEX(Calibration!$A$4:$L$13,MATCH($D210&amp;$E210,Calibration!$A$4:$A$13,0),MATCH(O$4,Calibration!$A$4:$L$4,0))</f>
        <v>-4.1003353805007361</v>
      </c>
      <c r="P210" s="292">
        <f>INDEX(Calibration!$A$4:$L$13,MATCH($D210&amp;$E210,Calibration!$A$4:$A$13,0),MATCH(P$4,Calibration!$A$4:$L$4,0))</f>
        <v>1.452786999074986</v>
      </c>
      <c r="Q210" s="292">
        <f>INDEX(Calibration!$A$4:$L$13,MATCH($D210&amp;$E210,Calibration!$A$4:$A$13,0),MATCH(Q$4,Calibration!$A$4:$L$4,0))</f>
        <v>0.73522830748735724</v>
      </c>
      <c r="R210" s="293">
        <f>IF(C210&lt;Calibration!$F$5,L210,IF(C210&lt;Calibration!$E$5,C210*M210+N210,IF(C210&lt;K210,C210*O210+P210,Q210)))</f>
        <v>1.0366735523452411</v>
      </c>
      <c r="S210" s="286">
        <f t="shared" si="6"/>
        <v>9910.949050184503</v>
      </c>
      <c r="T210" s="293">
        <f>IF(E210="DHP",VLOOKUP(D210,Calibration!$C$20:$E$22,2,FALSE),IF(D210=1,Calibration!$D$17,Calibration!$D$18))</f>
        <v>0.85917762533929642</v>
      </c>
      <c r="U210" s="286">
        <f t="shared" si="7"/>
        <v>8515.2656697962775</v>
      </c>
      <c r="V210" s="286">
        <f>VLOOKUP(T210,Calibration!$D$17:$E$22,2,FALSE)*S210</f>
        <v>1224.6752312724252</v>
      </c>
      <c r="W210" t="s">
        <v>782</v>
      </c>
      <c r="X210">
        <v>850.19493699999998</v>
      </c>
      <c r="Y210">
        <v>3052.642601</v>
      </c>
    </row>
    <row r="211" spans="1:25">
      <c r="A211" s="277" t="str">
        <f>SEEMoutput!A213</f>
        <v>NWHZ2CZ3_5000n_35gshp_des1</v>
      </c>
      <c r="B211" s="286">
        <f>SEEMoutput!O213</f>
        <v>9560.3375120000001</v>
      </c>
      <c r="C211" s="287">
        <v>0.10148278326416532</v>
      </c>
      <c r="D211" s="277">
        <f>IF(SEEMoutput!G213&lt;6000,1,IF(SEEMoutput!G213&lt;7500,2,3))</f>
        <v>2</v>
      </c>
      <c r="E211" s="277" t="str">
        <f>IF(LEFT(SEEMoutput!BE213,1)="F","FUR",IF(LEFT(SEEMoutput!BE213,1)="D","DHP","HP"))</f>
        <v>HP</v>
      </c>
      <c r="F211" s="288">
        <f>SEEMoutput!E213</f>
        <v>781.48993599999994</v>
      </c>
      <c r="G211" s="289">
        <f>F211*(69-30)*SEEMoutput!N213/SEEMoutput!M213</f>
        <v>31638.613971701332</v>
      </c>
      <c r="H211" s="290">
        <f>'(Tons) (Furnsize)'!$F$52+'(Tons) (Furnsize)'!$F$53*'(Tons) (Furnsize)'!$B$15+'(Tons) (Furnsize)'!$F$54*G211</f>
        <v>3.7740506916212313</v>
      </c>
      <c r="I211" s="290">
        <f>H211/'(Tons) (Furnsize)'!$G$7</f>
        <v>3.1281477790000216</v>
      </c>
      <c r="J211" s="291">
        <f>F211*(69-VLOOKUP(D211,'(Tons) (Furnsize)'!$D$15:$E$17,2,FALSE))/3412</f>
        <v>15.80387033528722</v>
      </c>
      <c r="K211" s="292">
        <f>INDEX(Calibration!$A$4:$L$13,MATCH($D211&amp;$E211,Calibration!$A$4:$A$13,0),MATCH(K$4,Calibration!$A$4:$L$4,0))</f>
        <v>0.17499999999999999</v>
      </c>
      <c r="L211" s="292">
        <f>INDEX(Calibration!$A$4:$L$13,MATCH($D211&amp;$E211,Calibration!$A$4:$A$13,0),MATCH(L$4,Calibration!$A$4:$L$4,0))</f>
        <v>1.1965160377936901</v>
      </c>
      <c r="M211" s="292">
        <f>INDEX(Calibration!$A$4:$L$13,MATCH($D211&amp;$E211,Calibration!$A$4:$A$13,0),MATCH(M$4,Calibration!$A$4:$L$4,0))</f>
        <v>-2.050167690250368</v>
      </c>
      <c r="N211" s="292">
        <f>INDEX(Calibration!$A$4:$L$13,MATCH($D211&amp;$E211,Calibration!$A$4:$A$13,0),MATCH(N$4,Calibration!$A$4:$L$4,0))</f>
        <v>1.2990244223062084</v>
      </c>
      <c r="O211" s="292">
        <f>INDEX(Calibration!$A$4:$L$13,MATCH($D211&amp;$E211,Calibration!$A$4:$A$13,0),MATCH(O$4,Calibration!$A$4:$L$4,0))</f>
        <v>-4.1003353805007361</v>
      </c>
      <c r="P211" s="292">
        <f>INDEX(Calibration!$A$4:$L$13,MATCH($D211&amp;$E211,Calibration!$A$4:$A$13,0),MATCH(P$4,Calibration!$A$4:$L$4,0))</f>
        <v>1.452786999074986</v>
      </c>
      <c r="Q211" s="292">
        <f>INDEX(Calibration!$A$4:$L$13,MATCH($D211&amp;$E211,Calibration!$A$4:$A$13,0),MATCH(Q$4,Calibration!$A$4:$L$4,0))</f>
        <v>0.73522830748735724</v>
      </c>
      <c r="R211" s="293">
        <f>IF(C211&lt;Calibration!$F$5,L211,IF(C211&lt;Calibration!$E$5,C211*M211+N211,IF(C211&lt;K211,C211*O211+P211,Q211)))</f>
        <v>1.0366735523452411</v>
      </c>
      <c r="S211" s="286">
        <f t="shared" si="6"/>
        <v>9910.949050184503</v>
      </c>
      <c r="T211" s="293">
        <f>IF(E211="DHP",VLOOKUP(D211,Calibration!$C$20:$E$22,2,FALSE),IF(D211=1,Calibration!$D$17,Calibration!$D$18))</f>
        <v>0.85917762533929642</v>
      </c>
      <c r="U211" s="286">
        <f t="shared" si="7"/>
        <v>8515.2656697962775</v>
      </c>
      <c r="V211" s="286">
        <f>VLOOKUP(T211,Calibration!$D$17:$E$22,2,FALSE)*S211</f>
        <v>1224.6752312724252</v>
      </c>
      <c r="W211" t="s">
        <v>785</v>
      </c>
      <c r="X211">
        <v>1391.1645249999999</v>
      </c>
      <c r="Y211">
        <v>3052.642601</v>
      </c>
    </row>
    <row r="212" spans="1:25">
      <c r="A212" s="277" t="str">
        <f>SEEMoutput!A214</f>
        <v>WxHZ2CZ1_5000e_40gshp_des1</v>
      </c>
      <c r="B212" s="286">
        <f>SEEMoutput!O214</f>
        <v>10069.742858</v>
      </c>
      <c r="C212" s="287">
        <v>0.11206287930633048</v>
      </c>
      <c r="D212" s="277">
        <f>IF(SEEMoutput!G214&lt;6000,1,IF(SEEMoutput!G214&lt;7500,2,3))</f>
        <v>2</v>
      </c>
      <c r="E212" s="277" t="str">
        <f>IF(LEFT(SEEMoutput!BE214,1)="F","FUR",IF(LEFT(SEEMoutput!BE214,1)="D","DHP","HP"))</f>
        <v>HP</v>
      </c>
      <c r="F212" s="288">
        <f>SEEMoutput!E214</f>
        <v>845.23039300000005</v>
      </c>
      <c r="G212" s="289">
        <f>F212*(69-30)*SEEMoutput!N214/SEEMoutput!M214</f>
        <v>34230.150094612625</v>
      </c>
      <c r="H212" s="290">
        <f>'(Tons) (Furnsize)'!$F$52+'(Tons) (Furnsize)'!$F$53*'(Tons) (Furnsize)'!$B$15+'(Tons) (Furnsize)'!$F$54*G212</f>
        <v>4.0783239721169577</v>
      </c>
      <c r="I212" s="290">
        <f>H212/'(Tons) (Furnsize)'!$G$7</f>
        <v>3.3803467726979268</v>
      </c>
      <c r="J212" s="291">
        <f>F212*(69-VLOOKUP(D212,'(Tons) (Furnsize)'!$D$15:$E$17,2,FALSE))/3412</f>
        <v>17.092877232415006</v>
      </c>
      <c r="K212" s="292">
        <f>INDEX(Calibration!$A$4:$L$13,MATCH($D212&amp;$E212,Calibration!$A$4:$A$13,0),MATCH(K$4,Calibration!$A$4:$L$4,0))</f>
        <v>0.17499999999999999</v>
      </c>
      <c r="L212" s="292">
        <f>INDEX(Calibration!$A$4:$L$13,MATCH($D212&amp;$E212,Calibration!$A$4:$A$13,0),MATCH(L$4,Calibration!$A$4:$L$4,0))</f>
        <v>1.1965160377936901</v>
      </c>
      <c r="M212" s="292">
        <f>INDEX(Calibration!$A$4:$L$13,MATCH($D212&amp;$E212,Calibration!$A$4:$A$13,0),MATCH(M$4,Calibration!$A$4:$L$4,0))</f>
        <v>-2.050167690250368</v>
      </c>
      <c r="N212" s="292">
        <f>INDEX(Calibration!$A$4:$L$13,MATCH($D212&amp;$E212,Calibration!$A$4:$A$13,0),MATCH(N$4,Calibration!$A$4:$L$4,0))</f>
        <v>1.2990244223062084</v>
      </c>
      <c r="O212" s="292">
        <f>INDEX(Calibration!$A$4:$L$13,MATCH($D212&amp;$E212,Calibration!$A$4:$A$13,0),MATCH(O$4,Calibration!$A$4:$L$4,0))</f>
        <v>-4.1003353805007361</v>
      </c>
      <c r="P212" s="292">
        <f>INDEX(Calibration!$A$4:$L$13,MATCH($D212&amp;$E212,Calibration!$A$4:$A$13,0),MATCH(P$4,Calibration!$A$4:$L$4,0))</f>
        <v>1.452786999074986</v>
      </c>
      <c r="Q212" s="292">
        <f>INDEX(Calibration!$A$4:$L$13,MATCH($D212&amp;$E212,Calibration!$A$4:$A$13,0),MATCH(Q$4,Calibration!$A$4:$L$4,0))</f>
        <v>0.73522830748735724</v>
      </c>
      <c r="R212" s="293">
        <f>IF(C212&lt;Calibration!$F$5,L212,IF(C212&lt;Calibration!$E$5,C212*M212+N212,IF(C212&lt;K212,C212*O212+P212,Q212)))</f>
        <v>0.99329161021445533</v>
      </c>
      <c r="S212" s="286">
        <f t="shared" si="6"/>
        <v>10002.191097868332</v>
      </c>
      <c r="T212" s="293">
        <f>IF(E212="DHP",VLOOKUP(D212,Calibration!$C$20:$E$22,2,FALSE),IF(D212=1,Calibration!$D$17,Calibration!$D$18))</f>
        <v>0.85917762533929642</v>
      </c>
      <c r="U212" s="286">
        <f t="shared" si="7"/>
        <v>8593.6587956563635</v>
      </c>
      <c r="V212" s="286">
        <f>VLOOKUP(T212,Calibration!$D$17:$E$22,2,FALSE)*S212</f>
        <v>1235.9498201420836</v>
      </c>
      <c r="W212" t="s">
        <v>779</v>
      </c>
      <c r="X212">
        <v>444.79185899999999</v>
      </c>
      <c r="Y212">
        <v>2954.2931389999999</v>
      </c>
    </row>
    <row r="213" spans="1:25">
      <c r="A213" s="277" t="str">
        <f>SEEMoutput!A215</f>
        <v>WxHZ2CZ2_5000e_40gshp_des1</v>
      </c>
      <c r="B213" s="286">
        <f>SEEMoutput!O215</f>
        <v>10069.742858</v>
      </c>
      <c r="C213" s="287">
        <v>0.11206287930633048</v>
      </c>
      <c r="D213" s="277">
        <f>IF(SEEMoutput!G215&lt;6000,1,IF(SEEMoutput!G215&lt;7500,2,3))</f>
        <v>2</v>
      </c>
      <c r="E213" s="277" t="str">
        <f>IF(LEFT(SEEMoutput!BE215,1)="F","FUR",IF(LEFT(SEEMoutput!BE215,1)="D","DHP","HP"))</f>
        <v>HP</v>
      </c>
      <c r="F213" s="288">
        <f>SEEMoutput!E215</f>
        <v>845.23039300000005</v>
      </c>
      <c r="G213" s="289">
        <f>F213*(69-30)*SEEMoutput!N215/SEEMoutput!M215</f>
        <v>34230.150094612625</v>
      </c>
      <c r="H213" s="290">
        <f>'(Tons) (Furnsize)'!$F$52+'(Tons) (Furnsize)'!$F$53*'(Tons) (Furnsize)'!$B$15+'(Tons) (Furnsize)'!$F$54*G213</f>
        <v>4.0783239721169577</v>
      </c>
      <c r="I213" s="290">
        <f>H213/'(Tons) (Furnsize)'!$G$7</f>
        <v>3.3803467726979268</v>
      </c>
      <c r="J213" s="291">
        <f>F213*(69-VLOOKUP(D213,'(Tons) (Furnsize)'!$D$15:$E$17,2,FALSE))/3412</f>
        <v>17.092877232415006</v>
      </c>
      <c r="K213" s="292">
        <f>INDEX(Calibration!$A$4:$L$13,MATCH($D213&amp;$E213,Calibration!$A$4:$A$13,0),MATCH(K$4,Calibration!$A$4:$L$4,0))</f>
        <v>0.17499999999999999</v>
      </c>
      <c r="L213" s="292">
        <f>INDEX(Calibration!$A$4:$L$13,MATCH($D213&amp;$E213,Calibration!$A$4:$A$13,0),MATCH(L$4,Calibration!$A$4:$L$4,0))</f>
        <v>1.1965160377936901</v>
      </c>
      <c r="M213" s="292">
        <f>INDEX(Calibration!$A$4:$L$13,MATCH($D213&amp;$E213,Calibration!$A$4:$A$13,0),MATCH(M$4,Calibration!$A$4:$L$4,0))</f>
        <v>-2.050167690250368</v>
      </c>
      <c r="N213" s="292">
        <f>INDEX(Calibration!$A$4:$L$13,MATCH($D213&amp;$E213,Calibration!$A$4:$A$13,0),MATCH(N$4,Calibration!$A$4:$L$4,0))</f>
        <v>1.2990244223062084</v>
      </c>
      <c r="O213" s="292">
        <f>INDEX(Calibration!$A$4:$L$13,MATCH($D213&amp;$E213,Calibration!$A$4:$A$13,0),MATCH(O$4,Calibration!$A$4:$L$4,0))</f>
        <v>-4.1003353805007361</v>
      </c>
      <c r="P213" s="292">
        <f>INDEX(Calibration!$A$4:$L$13,MATCH($D213&amp;$E213,Calibration!$A$4:$A$13,0),MATCH(P$4,Calibration!$A$4:$L$4,0))</f>
        <v>1.452786999074986</v>
      </c>
      <c r="Q213" s="292">
        <f>INDEX(Calibration!$A$4:$L$13,MATCH($D213&amp;$E213,Calibration!$A$4:$A$13,0),MATCH(Q$4,Calibration!$A$4:$L$4,0))</f>
        <v>0.73522830748735724</v>
      </c>
      <c r="R213" s="293">
        <f>IF(C213&lt;Calibration!$F$5,L213,IF(C213&lt;Calibration!$E$5,C213*M213+N213,IF(C213&lt;K213,C213*O213+P213,Q213)))</f>
        <v>0.99329161021445533</v>
      </c>
      <c r="S213" s="286">
        <f t="shared" si="6"/>
        <v>10002.191097868332</v>
      </c>
      <c r="T213" s="293">
        <f>IF(E213="DHP",VLOOKUP(D213,Calibration!$C$20:$E$22,2,FALSE),IF(D213=1,Calibration!$D$17,Calibration!$D$18))</f>
        <v>0.85917762533929642</v>
      </c>
      <c r="U213" s="286">
        <f t="shared" si="7"/>
        <v>8593.6587956563635</v>
      </c>
      <c r="V213" s="286">
        <f>VLOOKUP(T213,Calibration!$D$17:$E$22,2,FALSE)*S213</f>
        <v>1235.9498201420836</v>
      </c>
      <c r="W213" t="s">
        <v>782</v>
      </c>
      <c r="X213">
        <v>881.21014200000002</v>
      </c>
      <c r="Y213">
        <v>2954.2931389999999</v>
      </c>
    </row>
    <row r="214" spans="1:25">
      <c r="A214" s="277" t="str">
        <f>SEEMoutput!A216</f>
        <v>WxHZ2CZ3_5000e_40gshp_des1</v>
      </c>
      <c r="B214" s="286">
        <f>SEEMoutput!O216</f>
        <v>10069.742858</v>
      </c>
      <c r="C214" s="287">
        <v>0.11206287930633048</v>
      </c>
      <c r="D214" s="277">
        <f>IF(SEEMoutput!G216&lt;6000,1,IF(SEEMoutput!G216&lt;7500,2,3))</f>
        <v>2</v>
      </c>
      <c r="E214" s="277" t="str">
        <f>IF(LEFT(SEEMoutput!BE216,1)="F","FUR",IF(LEFT(SEEMoutput!BE216,1)="D","DHP","HP"))</f>
        <v>HP</v>
      </c>
      <c r="F214" s="288">
        <f>SEEMoutput!E216</f>
        <v>845.23039300000005</v>
      </c>
      <c r="G214" s="289">
        <f>F214*(69-30)*SEEMoutput!N216/SEEMoutput!M216</f>
        <v>34230.150094612625</v>
      </c>
      <c r="H214" s="290">
        <f>'(Tons) (Furnsize)'!$F$52+'(Tons) (Furnsize)'!$F$53*'(Tons) (Furnsize)'!$B$15+'(Tons) (Furnsize)'!$F$54*G214</f>
        <v>4.0783239721169577</v>
      </c>
      <c r="I214" s="290">
        <f>H214/'(Tons) (Furnsize)'!$G$7</f>
        <v>3.3803467726979268</v>
      </c>
      <c r="J214" s="291">
        <f>F214*(69-VLOOKUP(D214,'(Tons) (Furnsize)'!$D$15:$E$17,2,FALSE))/3412</f>
        <v>17.092877232415006</v>
      </c>
      <c r="K214" s="292">
        <f>INDEX(Calibration!$A$4:$L$13,MATCH($D214&amp;$E214,Calibration!$A$4:$A$13,0),MATCH(K$4,Calibration!$A$4:$L$4,0))</f>
        <v>0.17499999999999999</v>
      </c>
      <c r="L214" s="292">
        <f>INDEX(Calibration!$A$4:$L$13,MATCH($D214&amp;$E214,Calibration!$A$4:$A$13,0),MATCH(L$4,Calibration!$A$4:$L$4,0))</f>
        <v>1.1965160377936901</v>
      </c>
      <c r="M214" s="292">
        <f>INDEX(Calibration!$A$4:$L$13,MATCH($D214&amp;$E214,Calibration!$A$4:$A$13,0),MATCH(M$4,Calibration!$A$4:$L$4,0))</f>
        <v>-2.050167690250368</v>
      </c>
      <c r="N214" s="292">
        <f>INDEX(Calibration!$A$4:$L$13,MATCH($D214&amp;$E214,Calibration!$A$4:$A$13,0),MATCH(N$4,Calibration!$A$4:$L$4,0))</f>
        <v>1.2990244223062084</v>
      </c>
      <c r="O214" s="292">
        <f>INDEX(Calibration!$A$4:$L$13,MATCH($D214&amp;$E214,Calibration!$A$4:$A$13,0),MATCH(O$4,Calibration!$A$4:$L$4,0))</f>
        <v>-4.1003353805007361</v>
      </c>
      <c r="P214" s="292">
        <f>INDEX(Calibration!$A$4:$L$13,MATCH($D214&amp;$E214,Calibration!$A$4:$A$13,0),MATCH(P$4,Calibration!$A$4:$L$4,0))</f>
        <v>1.452786999074986</v>
      </c>
      <c r="Q214" s="292">
        <f>INDEX(Calibration!$A$4:$L$13,MATCH($D214&amp;$E214,Calibration!$A$4:$A$13,0),MATCH(Q$4,Calibration!$A$4:$L$4,0))</f>
        <v>0.73522830748735724</v>
      </c>
      <c r="R214" s="293">
        <f>IF(C214&lt;Calibration!$F$5,L214,IF(C214&lt;Calibration!$E$5,C214*M214+N214,IF(C214&lt;K214,C214*O214+P214,Q214)))</f>
        <v>0.99329161021445533</v>
      </c>
      <c r="S214" s="286">
        <f t="shared" si="6"/>
        <v>10002.191097868332</v>
      </c>
      <c r="T214" s="293">
        <f>IF(E214="DHP",VLOOKUP(D214,Calibration!$C$20:$E$22,2,FALSE),IF(D214=1,Calibration!$D$17,Calibration!$D$18))</f>
        <v>0.85917762533929642</v>
      </c>
      <c r="U214" s="286">
        <f t="shared" si="7"/>
        <v>8593.6587956563635</v>
      </c>
      <c r="V214" s="286">
        <f>VLOOKUP(T214,Calibration!$D$17:$E$22,2,FALSE)*S214</f>
        <v>1235.9498201420836</v>
      </c>
      <c r="W214" t="s">
        <v>785</v>
      </c>
      <c r="X214">
        <v>1449.7975160000001</v>
      </c>
      <c r="Y214">
        <v>2954.2931389999999</v>
      </c>
    </row>
    <row r="215" spans="1:25">
      <c r="A215" s="277" t="str">
        <f>SEEMoutput!A217</f>
        <v>NWHZ3CZ1_5000n_35gshp_des1</v>
      </c>
      <c r="B215" s="286">
        <f>SEEMoutput!O217</f>
        <v>12481.752934</v>
      </c>
      <c r="C215" s="287">
        <v>0.1006993450465338</v>
      </c>
      <c r="D215" s="277">
        <f>IF(SEEMoutput!G217&lt;6000,1,IF(SEEMoutput!G217&lt;7500,2,3))</f>
        <v>3</v>
      </c>
      <c r="E215" s="277" t="str">
        <f>IF(LEFT(SEEMoutput!BE217,1)="F","FUR",IF(LEFT(SEEMoutput!BE217,1)="D","DHP","HP"))</f>
        <v>HP</v>
      </c>
      <c r="F215" s="288">
        <f>SEEMoutput!E217</f>
        <v>770.82066899999995</v>
      </c>
      <c r="G215" s="289">
        <f>F215*(69-30)*SEEMoutput!N217/SEEMoutput!M217</f>
        <v>31135.191749086309</v>
      </c>
      <c r="H215" s="290">
        <f>'(Tons) (Furnsize)'!$F$52+'(Tons) (Furnsize)'!$F$53*'(Tons) (Furnsize)'!$B$15+'(Tons) (Furnsize)'!$F$54*G215</f>
        <v>3.7149436894863563</v>
      </c>
      <c r="I215" s="290">
        <f>H215/'(Tons) (Furnsize)'!$G$7</f>
        <v>3.0791565352252506</v>
      </c>
      <c r="J215" s="291">
        <f>F215*(69-VLOOKUP(D215,'(Tons) (Furnsize)'!$D$15:$E$17,2,FALSE))/3412</f>
        <v>21.235973882180538</v>
      </c>
      <c r="K215" s="292">
        <f>INDEX(Calibration!$A$4:$L$13,MATCH($D215&amp;$E215,Calibration!$A$4:$A$13,0),MATCH(K$4,Calibration!$A$4:$L$4,0))</f>
        <v>0.15</v>
      </c>
      <c r="L215" s="292">
        <f>INDEX(Calibration!$A$4:$L$13,MATCH($D215&amp;$E215,Calibration!$A$4:$A$13,0),MATCH(L$4,Calibration!$A$4:$L$4,0))</f>
        <v>1.0259371368886356</v>
      </c>
      <c r="M215" s="292">
        <f>INDEX(Calibration!$A$4:$L$13,MATCH($D215&amp;$E215,Calibration!$A$4:$A$13,0),MATCH(M$4,Calibration!$A$4:$L$4,0))</f>
        <v>-1.8551508104013119</v>
      </c>
      <c r="N215" s="292">
        <f>INDEX(Calibration!$A$4:$L$13,MATCH($D215&amp;$E215,Calibration!$A$4:$A$13,0),MATCH(N$4,Calibration!$A$4:$L$4,0))</f>
        <v>1.1186946774087012</v>
      </c>
      <c r="O215" s="292">
        <f>INDEX(Calibration!$A$4:$L$13,MATCH($D215&amp;$E215,Calibration!$A$4:$A$13,0),MATCH(O$4,Calibration!$A$4:$L$4,0))</f>
        <v>-3.7103016208026238</v>
      </c>
      <c r="P215" s="292">
        <f>INDEX(Calibration!$A$4:$L$13,MATCH($D215&amp;$E215,Calibration!$A$4:$A$13,0),MATCH(P$4,Calibration!$A$4:$L$4,0))</f>
        <v>1.2578309881887995</v>
      </c>
      <c r="Q215" s="292">
        <f>INDEX(Calibration!$A$4:$L$13,MATCH($D215&amp;$E215,Calibration!$A$4:$A$13,0),MATCH(Q$4,Calibration!$A$4:$L$4,0))</f>
        <v>0.7012857450684058</v>
      </c>
      <c r="R215" s="293">
        <f>IF(C215&lt;Calibration!$F$5,L215,IF(C215&lt;Calibration!$E$5,C215*M215+N215,IF(C215&lt;K215,C215*O215+P215,Q215)))</f>
        <v>0.88420604504888245</v>
      </c>
      <c r="S215" s="286">
        <f t="shared" si="6"/>
        <v>11036.441397049424</v>
      </c>
      <c r="T215" s="293">
        <f>IF(E215="DHP",VLOOKUP(D215,Calibration!$C$20:$E$22,2,FALSE),IF(D215=1,Calibration!$D$17,Calibration!$D$18))</f>
        <v>0.85917762533929642</v>
      </c>
      <c r="U215" s="286">
        <f t="shared" si="7"/>
        <v>9482.2635117132322</v>
      </c>
      <c r="V215" s="286">
        <f>VLOOKUP(T215,Calibration!$D$17:$E$22,2,FALSE)*S215</f>
        <v>1363.7499650050622</v>
      </c>
      <c r="W215" t="s">
        <v>794</v>
      </c>
      <c r="X215">
        <v>434.721857</v>
      </c>
      <c r="Y215">
        <v>3469.7556239999999</v>
      </c>
    </row>
    <row r="216" spans="1:25">
      <c r="A216" s="277" t="str">
        <f>SEEMoutput!A218</f>
        <v>NWHZ3CZ2_5000n_35gshp_des1</v>
      </c>
      <c r="B216" s="286">
        <f>SEEMoutput!O218</f>
        <v>12481.752934</v>
      </c>
      <c r="C216" s="287">
        <v>0.1006993450465338</v>
      </c>
      <c r="D216" s="277">
        <f>IF(SEEMoutput!G218&lt;6000,1,IF(SEEMoutput!G218&lt;7500,2,3))</f>
        <v>3</v>
      </c>
      <c r="E216" s="277" t="str">
        <f>IF(LEFT(SEEMoutput!BE218,1)="F","FUR",IF(LEFT(SEEMoutput!BE218,1)="D","DHP","HP"))</f>
        <v>HP</v>
      </c>
      <c r="F216" s="288">
        <f>SEEMoutput!E218</f>
        <v>770.82066899999995</v>
      </c>
      <c r="G216" s="289">
        <f>F216*(69-30)*SEEMoutput!N218/SEEMoutput!M218</f>
        <v>31135.191749086309</v>
      </c>
      <c r="H216" s="290">
        <f>'(Tons) (Furnsize)'!$F$52+'(Tons) (Furnsize)'!$F$53*'(Tons) (Furnsize)'!$B$15+'(Tons) (Furnsize)'!$F$54*G216</f>
        <v>3.7149436894863563</v>
      </c>
      <c r="I216" s="290">
        <f>H216/'(Tons) (Furnsize)'!$G$7</f>
        <v>3.0791565352252506</v>
      </c>
      <c r="J216" s="291">
        <f>F216*(69-VLOOKUP(D216,'(Tons) (Furnsize)'!$D$15:$E$17,2,FALSE))/3412</f>
        <v>21.235973882180538</v>
      </c>
      <c r="K216" s="292">
        <f>INDEX(Calibration!$A$4:$L$13,MATCH($D216&amp;$E216,Calibration!$A$4:$A$13,0),MATCH(K$4,Calibration!$A$4:$L$4,0))</f>
        <v>0.15</v>
      </c>
      <c r="L216" s="292">
        <f>INDEX(Calibration!$A$4:$L$13,MATCH($D216&amp;$E216,Calibration!$A$4:$A$13,0),MATCH(L$4,Calibration!$A$4:$L$4,0))</f>
        <v>1.0259371368886356</v>
      </c>
      <c r="M216" s="292">
        <f>INDEX(Calibration!$A$4:$L$13,MATCH($D216&amp;$E216,Calibration!$A$4:$A$13,0),MATCH(M$4,Calibration!$A$4:$L$4,0))</f>
        <v>-1.8551508104013119</v>
      </c>
      <c r="N216" s="292">
        <f>INDEX(Calibration!$A$4:$L$13,MATCH($D216&amp;$E216,Calibration!$A$4:$A$13,0),MATCH(N$4,Calibration!$A$4:$L$4,0))</f>
        <v>1.1186946774087012</v>
      </c>
      <c r="O216" s="292">
        <f>INDEX(Calibration!$A$4:$L$13,MATCH($D216&amp;$E216,Calibration!$A$4:$A$13,0),MATCH(O$4,Calibration!$A$4:$L$4,0))</f>
        <v>-3.7103016208026238</v>
      </c>
      <c r="P216" s="292">
        <f>INDEX(Calibration!$A$4:$L$13,MATCH($D216&amp;$E216,Calibration!$A$4:$A$13,0),MATCH(P$4,Calibration!$A$4:$L$4,0))</f>
        <v>1.2578309881887995</v>
      </c>
      <c r="Q216" s="292">
        <f>INDEX(Calibration!$A$4:$L$13,MATCH($D216&amp;$E216,Calibration!$A$4:$A$13,0),MATCH(Q$4,Calibration!$A$4:$L$4,0))</f>
        <v>0.7012857450684058</v>
      </c>
      <c r="R216" s="293">
        <f>IF(C216&lt;Calibration!$F$5,L216,IF(C216&lt;Calibration!$E$5,C216*M216+N216,IF(C216&lt;K216,C216*O216+P216,Q216)))</f>
        <v>0.88420604504888245</v>
      </c>
      <c r="S216" s="286">
        <f t="shared" si="6"/>
        <v>11036.441397049424</v>
      </c>
      <c r="T216" s="293">
        <f>IF(E216="DHP",VLOOKUP(D216,Calibration!$C$20:$E$22,2,FALSE),IF(D216=1,Calibration!$D$17,Calibration!$D$18))</f>
        <v>0.85917762533929642</v>
      </c>
      <c r="U216" s="286">
        <f t="shared" si="7"/>
        <v>9482.2635117132322</v>
      </c>
      <c r="V216" s="286">
        <f>VLOOKUP(T216,Calibration!$D$17:$E$22,2,FALSE)*S216</f>
        <v>1363.7499650050622</v>
      </c>
      <c r="W216" t="s">
        <v>797</v>
      </c>
      <c r="X216">
        <v>850.19493699999998</v>
      </c>
      <c r="Y216">
        <v>3469.7556239999999</v>
      </c>
    </row>
    <row r="217" spans="1:25">
      <c r="A217" s="277" t="str">
        <f>SEEMoutput!A219</f>
        <v>NWHZ3CZ3_5000n_35gshp_des1</v>
      </c>
      <c r="B217" s="286">
        <f>SEEMoutput!O219</f>
        <v>12481.752934</v>
      </c>
      <c r="C217" s="287">
        <v>0.1006993450465338</v>
      </c>
      <c r="D217" s="277">
        <f>IF(SEEMoutput!G219&lt;6000,1,IF(SEEMoutput!G219&lt;7500,2,3))</f>
        <v>3</v>
      </c>
      <c r="E217" s="277" t="str">
        <f>IF(LEFT(SEEMoutput!BE219,1)="F","FUR",IF(LEFT(SEEMoutput!BE219,1)="D","DHP","HP"))</f>
        <v>HP</v>
      </c>
      <c r="F217" s="288">
        <f>SEEMoutput!E219</f>
        <v>770.82066899999995</v>
      </c>
      <c r="G217" s="289">
        <f>F217*(69-30)*SEEMoutput!N219/SEEMoutput!M219</f>
        <v>31135.191749086309</v>
      </c>
      <c r="H217" s="290">
        <f>'(Tons) (Furnsize)'!$F$52+'(Tons) (Furnsize)'!$F$53*'(Tons) (Furnsize)'!$B$15+'(Tons) (Furnsize)'!$F$54*G217</f>
        <v>3.7149436894863563</v>
      </c>
      <c r="I217" s="290">
        <f>H217/'(Tons) (Furnsize)'!$G$7</f>
        <v>3.0791565352252506</v>
      </c>
      <c r="J217" s="291">
        <f>F217*(69-VLOOKUP(D217,'(Tons) (Furnsize)'!$D$15:$E$17,2,FALSE))/3412</f>
        <v>21.235973882180538</v>
      </c>
      <c r="K217" s="292">
        <f>INDEX(Calibration!$A$4:$L$13,MATCH($D217&amp;$E217,Calibration!$A$4:$A$13,0),MATCH(K$4,Calibration!$A$4:$L$4,0))</f>
        <v>0.15</v>
      </c>
      <c r="L217" s="292">
        <f>INDEX(Calibration!$A$4:$L$13,MATCH($D217&amp;$E217,Calibration!$A$4:$A$13,0),MATCH(L$4,Calibration!$A$4:$L$4,0))</f>
        <v>1.0259371368886356</v>
      </c>
      <c r="M217" s="292">
        <f>INDEX(Calibration!$A$4:$L$13,MATCH($D217&amp;$E217,Calibration!$A$4:$A$13,0),MATCH(M$4,Calibration!$A$4:$L$4,0))</f>
        <v>-1.8551508104013119</v>
      </c>
      <c r="N217" s="292">
        <f>INDEX(Calibration!$A$4:$L$13,MATCH($D217&amp;$E217,Calibration!$A$4:$A$13,0),MATCH(N$4,Calibration!$A$4:$L$4,0))</f>
        <v>1.1186946774087012</v>
      </c>
      <c r="O217" s="292">
        <f>INDEX(Calibration!$A$4:$L$13,MATCH($D217&amp;$E217,Calibration!$A$4:$A$13,0),MATCH(O$4,Calibration!$A$4:$L$4,0))</f>
        <v>-3.7103016208026238</v>
      </c>
      <c r="P217" s="292">
        <f>INDEX(Calibration!$A$4:$L$13,MATCH($D217&amp;$E217,Calibration!$A$4:$A$13,0),MATCH(P$4,Calibration!$A$4:$L$4,0))</f>
        <v>1.2578309881887995</v>
      </c>
      <c r="Q217" s="292">
        <f>INDEX(Calibration!$A$4:$L$13,MATCH($D217&amp;$E217,Calibration!$A$4:$A$13,0),MATCH(Q$4,Calibration!$A$4:$L$4,0))</f>
        <v>0.7012857450684058</v>
      </c>
      <c r="R217" s="293">
        <f>IF(C217&lt;Calibration!$F$5,L217,IF(C217&lt;Calibration!$E$5,C217*M217+N217,IF(C217&lt;K217,C217*O217+P217,Q217)))</f>
        <v>0.88420604504888245</v>
      </c>
      <c r="S217" s="286">
        <f t="shared" si="6"/>
        <v>11036.441397049424</v>
      </c>
      <c r="T217" s="293">
        <f>IF(E217="DHP",VLOOKUP(D217,Calibration!$C$20:$E$22,2,FALSE),IF(D217=1,Calibration!$D$17,Calibration!$D$18))</f>
        <v>0.85917762533929642</v>
      </c>
      <c r="U217" s="286">
        <f t="shared" si="7"/>
        <v>9482.2635117132322</v>
      </c>
      <c r="V217" s="286">
        <f>VLOOKUP(T217,Calibration!$D$17:$E$22,2,FALSE)*S217</f>
        <v>1363.7499650050622</v>
      </c>
      <c r="W217" t="s">
        <v>800</v>
      </c>
      <c r="X217">
        <v>1391.1645249999999</v>
      </c>
      <c r="Y217">
        <v>3469.7556239999999</v>
      </c>
    </row>
    <row r="218" spans="1:25">
      <c r="A218" s="277" t="str">
        <f>SEEMoutput!A220</f>
        <v>WxHZ3CZ1_5000e_40gshp_des1</v>
      </c>
      <c r="B218" s="286">
        <f>SEEMoutput!O220</f>
        <v>12976.018582000001</v>
      </c>
      <c r="C218" s="287">
        <v>0.11107796820856444</v>
      </c>
      <c r="D218" s="277">
        <f>IF(SEEMoutput!G220&lt;6000,1,IF(SEEMoutput!G220&lt;7500,2,3))</f>
        <v>3</v>
      </c>
      <c r="E218" s="277" t="str">
        <f>IF(LEFT(SEEMoutput!BE220,1)="F","FUR",IF(LEFT(SEEMoutput!BE220,1)="D","DHP","HP"))</f>
        <v>HP</v>
      </c>
      <c r="F218" s="288">
        <f>SEEMoutput!E220</f>
        <v>833.08442500000001</v>
      </c>
      <c r="G218" s="289">
        <f>F218*(69-30)*SEEMoutput!N220/SEEMoutput!M220</f>
        <v>33662.761698699251</v>
      </c>
      <c r="H218" s="290">
        <f>'(Tons) (Furnsize)'!$F$52+'(Tons) (Furnsize)'!$F$53*'(Tons) (Furnsize)'!$B$15+'(Tons) (Furnsize)'!$F$54*G218</f>
        <v>4.0117066762924924</v>
      </c>
      <c r="I218" s="290">
        <f>H218/'(Tons) (Furnsize)'!$G$7</f>
        <v>3.3251305705311323</v>
      </c>
      <c r="J218" s="291">
        <f>F218*(69-VLOOKUP(D218,'(Tons) (Furnsize)'!$D$15:$E$17,2,FALSE))/3412</f>
        <v>22.951329410902694</v>
      </c>
      <c r="K218" s="292">
        <f>INDEX(Calibration!$A$4:$L$13,MATCH($D218&amp;$E218,Calibration!$A$4:$A$13,0),MATCH(K$4,Calibration!$A$4:$L$4,0))</f>
        <v>0.15</v>
      </c>
      <c r="L218" s="292">
        <f>INDEX(Calibration!$A$4:$L$13,MATCH($D218&amp;$E218,Calibration!$A$4:$A$13,0),MATCH(L$4,Calibration!$A$4:$L$4,0))</f>
        <v>1.0259371368886356</v>
      </c>
      <c r="M218" s="292">
        <f>INDEX(Calibration!$A$4:$L$13,MATCH($D218&amp;$E218,Calibration!$A$4:$A$13,0),MATCH(M$4,Calibration!$A$4:$L$4,0))</f>
        <v>-1.8551508104013119</v>
      </c>
      <c r="N218" s="292">
        <f>INDEX(Calibration!$A$4:$L$13,MATCH($D218&amp;$E218,Calibration!$A$4:$A$13,0),MATCH(N$4,Calibration!$A$4:$L$4,0))</f>
        <v>1.1186946774087012</v>
      </c>
      <c r="O218" s="292">
        <f>INDEX(Calibration!$A$4:$L$13,MATCH($D218&amp;$E218,Calibration!$A$4:$A$13,0),MATCH(O$4,Calibration!$A$4:$L$4,0))</f>
        <v>-3.7103016208026238</v>
      </c>
      <c r="P218" s="292">
        <f>INDEX(Calibration!$A$4:$L$13,MATCH($D218&amp;$E218,Calibration!$A$4:$A$13,0),MATCH(P$4,Calibration!$A$4:$L$4,0))</f>
        <v>1.2578309881887995</v>
      </c>
      <c r="Q218" s="292">
        <f>INDEX(Calibration!$A$4:$L$13,MATCH($D218&amp;$E218,Calibration!$A$4:$A$13,0),MATCH(Q$4,Calibration!$A$4:$L$4,0))</f>
        <v>0.7012857450684058</v>
      </c>
      <c r="R218" s="293">
        <f>IF(C218&lt;Calibration!$F$5,L218,IF(C218&lt;Calibration!$E$5,C218*M218+N218,IF(C218&lt;K218,C218*O218+P218,Q218)))</f>
        <v>0.84569822270910056</v>
      </c>
      <c r="S218" s="286">
        <f t="shared" si="6"/>
        <v>10973.795852637664</v>
      </c>
      <c r="T218" s="293">
        <f>IF(E218="DHP",VLOOKUP(D218,Calibration!$C$20:$E$22,2,FALSE),IF(D218=1,Calibration!$D$17,Calibration!$D$18))</f>
        <v>0.85917762533929642</v>
      </c>
      <c r="U218" s="286">
        <f t="shared" si="7"/>
        <v>9428.4398616274484</v>
      </c>
      <c r="V218" s="286">
        <f>VLOOKUP(T218,Calibration!$D$17:$E$22,2,FALSE)*S218</f>
        <v>1356.0089861944375</v>
      </c>
      <c r="W218" t="s">
        <v>794</v>
      </c>
      <c r="X218">
        <v>444.79185899999999</v>
      </c>
      <c r="Y218">
        <v>3378.2463750000002</v>
      </c>
    </row>
    <row r="219" spans="1:25">
      <c r="A219" s="277" t="str">
        <f>SEEMoutput!A221</f>
        <v>WxHZ3CZ2_5000e_40gshp_des1</v>
      </c>
      <c r="B219" s="286">
        <f>SEEMoutput!O221</f>
        <v>12976.018582000001</v>
      </c>
      <c r="C219" s="287">
        <v>0.11107796820856444</v>
      </c>
      <c r="D219" s="277">
        <f>IF(SEEMoutput!G221&lt;6000,1,IF(SEEMoutput!G221&lt;7500,2,3))</f>
        <v>3</v>
      </c>
      <c r="E219" s="277" t="str">
        <f>IF(LEFT(SEEMoutput!BE221,1)="F","FUR",IF(LEFT(SEEMoutput!BE221,1)="D","DHP","HP"))</f>
        <v>HP</v>
      </c>
      <c r="F219" s="288">
        <f>SEEMoutput!E221</f>
        <v>833.08442500000001</v>
      </c>
      <c r="G219" s="289">
        <f>F219*(69-30)*SEEMoutput!N221/SEEMoutput!M221</f>
        <v>33662.761698699251</v>
      </c>
      <c r="H219" s="290">
        <f>'(Tons) (Furnsize)'!$F$52+'(Tons) (Furnsize)'!$F$53*'(Tons) (Furnsize)'!$B$15+'(Tons) (Furnsize)'!$F$54*G219</f>
        <v>4.0117066762924924</v>
      </c>
      <c r="I219" s="290">
        <f>H219/'(Tons) (Furnsize)'!$G$7</f>
        <v>3.3251305705311323</v>
      </c>
      <c r="J219" s="291">
        <f>F219*(69-VLOOKUP(D219,'(Tons) (Furnsize)'!$D$15:$E$17,2,FALSE))/3412</f>
        <v>22.951329410902694</v>
      </c>
      <c r="K219" s="292">
        <f>INDEX(Calibration!$A$4:$L$13,MATCH($D219&amp;$E219,Calibration!$A$4:$A$13,0),MATCH(K$4,Calibration!$A$4:$L$4,0))</f>
        <v>0.15</v>
      </c>
      <c r="L219" s="292">
        <f>INDEX(Calibration!$A$4:$L$13,MATCH($D219&amp;$E219,Calibration!$A$4:$A$13,0),MATCH(L$4,Calibration!$A$4:$L$4,0))</f>
        <v>1.0259371368886356</v>
      </c>
      <c r="M219" s="292">
        <f>INDEX(Calibration!$A$4:$L$13,MATCH($D219&amp;$E219,Calibration!$A$4:$A$13,0),MATCH(M$4,Calibration!$A$4:$L$4,0))</f>
        <v>-1.8551508104013119</v>
      </c>
      <c r="N219" s="292">
        <f>INDEX(Calibration!$A$4:$L$13,MATCH($D219&amp;$E219,Calibration!$A$4:$A$13,0),MATCH(N$4,Calibration!$A$4:$L$4,0))</f>
        <v>1.1186946774087012</v>
      </c>
      <c r="O219" s="292">
        <f>INDEX(Calibration!$A$4:$L$13,MATCH($D219&amp;$E219,Calibration!$A$4:$A$13,0),MATCH(O$4,Calibration!$A$4:$L$4,0))</f>
        <v>-3.7103016208026238</v>
      </c>
      <c r="P219" s="292">
        <f>INDEX(Calibration!$A$4:$L$13,MATCH($D219&amp;$E219,Calibration!$A$4:$A$13,0),MATCH(P$4,Calibration!$A$4:$L$4,0))</f>
        <v>1.2578309881887995</v>
      </c>
      <c r="Q219" s="292">
        <f>INDEX(Calibration!$A$4:$L$13,MATCH($D219&amp;$E219,Calibration!$A$4:$A$13,0),MATCH(Q$4,Calibration!$A$4:$L$4,0))</f>
        <v>0.7012857450684058</v>
      </c>
      <c r="R219" s="293">
        <f>IF(C219&lt;Calibration!$F$5,L219,IF(C219&lt;Calibration!$E$5,C219*M219+N219,IF(C219&lt;K219,C219*O219+P219,Q219)))</f>
        <v>0.84569822270910056</v>
      </c>
      <c r="S219" s="286">
        <f t="shared" si="6"/>
        <v>10973.795852637664</v>
      </c>
      <c r="T219" s="293">
        <f>IF(E219="DHP",VLOOKUP(D219,Calibration!$C$20:$E$22,2,FALSE),IF(D219=1,Calibration!$D$17,Calibration!$D$18))</f>
        <v>0.85917762533929642</v>
      </c>
      <c r="U219" s="286">
        <f t="shared" si="7"/>
        <v>9428.4398616274484</v>
      </c>
      <c r="V219" s="286">
        <f>VLOOKUP(T219,Calibration!$D$17:$E$22,2,FALSE)*S219</f>
        <v>1356.0089861944375</v>
      </c>
      <c r="W219" t="s">
        <v>797</v>
      </c>
      <c r="X219">
        <v>881.21014200000002</v>
      </c>
      <c r="Y219">
        <v>3378.2463750000002</v>
      </c>
    </row>
    <row r="220" spans="1:25">
      <c r="A220" s="277" t="str">
        <f>SEEMoutput!A222</f>
        <v>WxHZ3CZ3_5000e_40gshp_des1</v>
      </c>
      <c r="B220" s="286">
        <f>SEEMoutput!O222</f>
        <v>12976.018582000001</v>
      </c>
      <c r="C220" s="287">
        <v>0.11107796820856444</v>
      </c>
      <c r="D220" s="277">
        <f>IF(SEEMoutput!G222&lt;6000,1,IF(SEEMoutput!G222&lt;7500,2,3))</f>
        <v>3</v>
      </c>
      <c r="E220" s="277" t="str">
        <f>IF(LEFT(SEEMoutput!BE222,1)="F","FUR",IF(LEFT(SEEMoutput!BE222,1)="D","DHP","HP"))</f>
        <v>HP</v>
      </c>
      <c r="F220" s="288">
        <f>SEEMoutput!E222</f>
        <v>833.08442500000001</v>
      </c>
      <c r="G220" s="289">
        <f>F220*(69-30)*SEEMoutput!N222/SEEMoutput!M222</f>
        <v>33662.761698699251</v>
      </c>
      <c r="H220" s="290">
        <f>'(Tons) (Furnsize)'!$F$52+'(Tons) (Furnsize)'!$F$53*'(Tons) (Furnsize)'!$B$15+'(Tons) (Furnsize)'!$F$54*G220</f>
        <v>4.0117066762924924</v>
      </c>
      <c r="I220" s="290">
        <f>H220/'(Tons) (Furnsize)'!$G$7</f>
        <v>3.3251305705311323</v>
      </c>
      <c r="J220" s="291">
        <f>F220*(69-VLOOKUP(D220,'(Tons) (Furnsize)'!$D$15:$E$17,2,FALSE))/3412</f>
        <v>22.951329410902694</v>
      </c>
      <c r="K220" s="292">
        <f>INDEX(Calibration!$A$4:$L$13,MATCH($D220&amp;$E220,Calibration!$A$4:$A$13,0),MATCH(K$4,Calibration!$A$4:$L$4,0))</f>
        <v>0.15</v>
      </c>
      <c r="L220" s="292">
        <f>INDEX(Calibration!$A$4:$L$13,MATCH($D220&amp;$E220,Calibration!$A$4:$A$13,0),MATCH(L$4,Calibration!$A$4:$L$4,0))</f>
        <v>1.0259371368886356</v>
      </c>
      <c r="M220" s="292">
        <f>INDEX(Calibration!$A$4:$L$13,MATCH($D220&amp;$E220,Calibration!$A$4:$A$13,0),MATCH(M$4,Calibration!$A$4:$L$4,0))</f>
        <v>-1.8551508104013119</v>
      </c>
      <c r="N220" s="292">
        <f>INDEX(Calibration!$A$4:$L$13,MATCH($D220&amp;$E220,Calibration!$A$4:$A$13,0),MATCH(N$4,Calibration!$A$4:$L$4,0))</f>
        <v>1.1186946774087012</v>
      </c>
      <c r="O220" s="292">
        <f>INDEX(Calibration!$A$4:$L$13,MATCH($D220&amp;$E220,Calibration!$A$4:$A$13,0),MATCH(O$4,Calibration!$A$4:$L$4,0))</f>
        <v>-3.7103016208026238</v>
      </c>
      <c r="P220" s="292">
        <f>INDEX(Calibration!$A$4:$L$13,MATCH($D220&amp;$E220,Calibration!$A$4:$A$13,0),MATCH(P$4,Calibration!$A$4:$L$4,0))</f>
        <v>1.2578309881887995</v>
      </c>
      <c r="Q220" s="292">
        <f>INDEX(Calibration!$A$4:$L$13,MATCH($D220&amp;$E220,Calibration!$A$4:$A$13,0),MATCH(Q$4,Calibration!$A$4:$L$4,0))</f>
        <v>0.7012857450684058</v>
      </c>
      <c r="R220" s="293">
        <f>IF(C220&lt;Calibration!$F$5,L220,IF(C220&lt;Calibration!$E$5,C220*M220+N220,IF(C220&lt;K220,C220*O220+P220,Q220)))</f>
        <v>0.84569822270910056</v>
      </c>
      <c r="S220" s="286">
        <f t="shared" si="6"/>
        <v>10973.795852637664</v>
      </c>
      <c r="T220" s="293">
        <f>IF(E220="DHP",VLOOKUP(D220,Calibration!$C$20:$E$22,2,FALSE),IF(D220=1,Calibration!$D$17,Calibration!$D$18))</f>
        <v>0.85917762533929642</v>
      </c>
      <c r="U220" s="286">
        <f t="shared" si="7"/>
        <v>9428.4398616274484</v>
      </c>
      <c r="V220" s="286">
        <f>VLOOKUP(T220,Calibration!$D$17:$E$22,2,FALSE)*S220</f>
        <v>1356.0089861944375</v>
      </c>
      <c r="W220" t="s">
        <v>800</v>
      </c>
      <c r="X220">
        <v>1449.7975160000001</v>
      </c>
      <c r="Y220">
        <v>3378.2463750000002</v>
      </c>
    </row>
    <row r="221" spans="1:25">
      <c r="A221" s="277" t="str">
        <f>SEEMoutput!A223</f>
        <v>NWHZ1CZ1_1568n_30gshp_des0</v>
      </c>
      <c r="B221" s="286">
        <f>SEEMoutput!O223</f>
        <v>2216.9269060000001</v>
      </c>
      <c r="C221" s="287">
        <v>7.830221166802577E-2</v>
      </c>
      <c r="D221" s="277">
        <f>IF(SEEMoutput!G223&lt;6000,1,IF(SEEMoutput!G223&lt;7500,2,3))</f>
        <v>1</v>
      </c>
      <c r="E221" s="277" t="str">
        <f>IF(LEFT(SEEMoutput!BE223,1)="F","FUR",IF(LEFT(SEEMoutput!BE223,1)="D","DHP","HP"))</f>
        <v>HP</v>
      </c>
      <c r="F221" s="288">
        <f>SEEMoutput!E223</f>
        <v>338.79056100000003</v>
      </c>
      <c r="G221" s="289">
        <f>F221*(69-30)*SEEMoutput!N223/SEEMoutput!M223</f>
        <v>14631.117236765211</v>
      </c>
      <c r="H221" s="290">
        <f>'(Tons) (Furnsize)'!$F$52+'(Tons) (Furnsize)'!$F$53*'(Tons) (Furnsize)'!$B$15+'(Tons) (Furnsize)'!$F$54*G221</f>
        <v>1.7771937777589102</v>
      </c>
      <c r="I221" s="290">
        <f>H221/'(Tons) (Furnsize)'!$G$7</f>
        <v>1.4730392416539206</v>
      </c>
      <c r="J221" s="291">
        <f>F221*(69-VLOOKUP(D221,'(Tons) (Furnsize)'!$D$15:$E$17,2,FALSE))/3412</f>
        <v>5.1632793587338801</v>
      </c>
      <c r="K221" s="292">
        <f>INDEX(Calibration!$A$4:$L$13,MATCH($D221&amp;$E221,Calibration!$A$4:$A$13,0),MATCH(K$4,Calibration!$A$4:$L$4,0))</f>
        <v>0.2</v>
      </c>
      <c r="L221" s="292">
        <f>INDEX(Calibration!$A$4:$L$13,MATCH($D221&amp;$E221,Calibration!$A$4:$A$13,0),MATCH(L$4,Calibration!$A$4:$L$4,0))</f>
        <v>1.3869915874526988</v>
      </c>
      <c r="M221" s="292">
        <f>INDEX(Calibration!$A$4:$L$13,MATCH($D221&amp;$E221,Calibration!$A$4:$A$13,0),MATCH(M$4,Calibration!$A$4:$L$4,0))</f>
        <v>-2.2641144651923684</v>
      </c>
      <c r="N221" s="292">
        <f>INDEX(Calibration!$A$4:$L$13,MATCH($D221&amp;$E221,Calibration!$A$4:$A$13,0),MATCH(N$4,Calibration!$A$4:$L$4,0))</f>
        <v>1.5001973107123172</v>
      </c>
      <c r="O221" s="292">
        <f>INDEX(Calibration!$A$4:$L$13,MATCH($D221&amp;$E221,Calibration!$A$4:$A$13,0),MATCH(O$4,Calibration!$A$4:$L$4,0))</f>
        <v>-4.5282289303847367</v>
      </c>
      <c r="P221" s="292">
        <f>INDEX(Calibration!$A$4:$L$13,MATCH($D221&amp;$E221,Calibration!$A$4:$A$13,0),MATCH(P$4,Calibration!$A$4:$L$4,0))</f>
        <v>1.6700058956017449</v>
      </c>
      <c r="Q221" s="292">
        <f>INDEX(Calibration!$A$4:$L$13,MATCH($D221&amp;$E221,Calibration!$A$4:$A$13,0),MATCH(Q$4,Calibration!$A$4:$L$4,0))</f>
        <v>0.7643601095247976</v>
      </c>
      <c r="R221" s="293">
        <f>IF(C221&lt;Calibration!$F$5,L221,IF(C221&lt;Calibration!$E$5,C221*M221+N221,IF(C221&lt;K221,C221*O221+P221,Q221)))</f>
        <v>1.3154355554134813</v>
      </c>
      <c r="S221" s="286">
        <f t="shared" si="6"/>
        <v>2916.224475905201</v>
      </c>
      <c r="T221" s="293">
        <f>IF(E221="DHP",VLOOKUP(D221,Calibration!$C$20:$E$22,2,FALSE),IF(D221=1,Calibration!$D$17,Calibration!$D$18))</f>
        <v>0.82813167326562143</v>
      </c>
      <c r="U221" s="286">
        <f t="shared" si="7"/>
        <v>2415.0178548495342</v>
      </c>
      <c r="V221" s="286">
        <f>VLOOKUP(T221,Calibration!$D$17:$E$22,2,FALSE)*S221</f>
        <v>455.81433161899594</v>
      </c>
      <c r="W221" t="s">
        <v>764</v>
      </c>
      <c r="X221">
        <v>300.05166300000002</v>
      </c>
      <c r="Y221">
        <v>0</v>
      </c>
    </row>
    <row r="222" spans="1:25">
      <c r="A222" s="277" t="str">
        <f>SEEMoutput!A224</f>
        <v>WxHZ1CZ1_1568e_30gshp_des0</v>
      </c>
      <c r="B222" s="286">
        <f>SEEMoutput!O224</f>
        <v>2564.4787719999999</v>
      </c>
      <c r="C222" s="287">
        <v>8.8492054374697302E-2</v>
      </c>
      <c r="D222" s="277">
        <f>IF(SEEMoutput!G224&lt;6000,1,IF(SEEMoutput!G224&lt;7500,2,3))</f>
        <v>1</v>
      </c>
      <c r="E222" s="277" t="str">
        <f>IF(LEFT(SEEMoutput!BE224,1)="F","FUR",IF(LEFT(SEEMoutput!BE224,1)="D","DHP","HP"))</f>
        <v>HP</v>
      </c>
      <c r="F222" s="288">
        <f>SEEMoutput!E224</f>
        <v>377.80124899999998</v>
      </c>
      <c r="G222" s="289">
        <f>F222*(69-30)*SEEMoutput!N224/SEEMoutput!M224</f>
        <v>16297.390082241911</v>
      </c>
      <c r="H222" s="290">
        <f>'(Tons) (Furnsize)'!$F$52+'(Tons) (Furnsize)'!$F$53*'(Tons) (Furnsize)'!$B$15+'(Tons) (Furnsize)'!$F$54*G222</f>
        <v>1.9728315311407094</v>
      </c>
      <c r="I222" s="290">
        <f>H222/'(Tons) (Furnsize)'!$G$7</f>
        <v>1.6351949342333802</v>
      </c>
      <c r="J222" s="291">
        <f>F222*(69-VLOOKUP(D222,'(Tons) (Furnsize)'!$D$15:$E$17,2,FALSE))/3412</f>
        <v>5.7578150492379834</v>
      </c>
      <c r="K222" s="292">
        <f>INDEX(Calibration!$A$4:$L$13,MATCH($D222&amp;$E222,Calibration!$A$4:$A$13,0),MATCH(K$4,Calibration!$A$4:$L$4,0))</f>
        <v>0.2</v>
      </c>
      <c r="L222" s="292">
        <f>INDEX(Calibration!$A$4:$L$13,MATCH($D222&amp;$E222,Calibration!$A$4:$A$13,0),MATCH(L$4,Calibration!$A$4:$L$4,0))</f>
        <v>1.3869915874526988</v>
      </c>
      <c r="M222" s="292">
        <f>INDEX(Calibration!$A$4:$L$13,MATCH($D222&amp;$E222,Calibration!$A$4:$A$13,0),MATCH(M$4,Calibration!$A$4:$L$4,0))</f>
        <v>-2.2641144651923684</v>
      </c>
      <c r="N222" s="292">
        <f>INDEX(Calibration!$A$4:$L$13,MATCH($D222&amp;$E222,Calibration!$A$4:$A$13,0),MATCH(N$4,Calibration!$A$4:$L$4,0))</f>
        <v>1.5001973107123172</v>
      </c>
      <c r="O222" s="292">
        <f>INDEX(Calibration!$A$4:$L$13,MATCH($D222&amp;$E222,Calibration!$A$4:$A$13,0),MATCH(O$4,Calibration!$A$4:$L$4,0))</f>
        <v>-4.5282289303847367</v>
      </c>
      <c r="P222" s="292">
        <f>INDEX(Calibration!$A$4:$L$13,MATCH($D222&amp;$E222,Calibration!$A$4:$A$13,0),MATCH(P$4,Calibration!$A$4:$L$4,0))</f>
        <v>1.6700058956017449</v>
      </c>
      <c r="Q222" s="292">
        <f>INDEX(Calibration!$A$4:$L$13,MATCH($D222&amp;$E222,Calibration!$A$4:$A$13,0),MATCH(Q$4,Calibration!$A$4:$L$4,0))</f>
        <v>0.7643601095247976</v>
      </c>
      <c r="R222" s="293">
        <f>IF(C222&lt;Calibration!$F$5,L222,IF(C222&lt;Calibration!$E$5,C222*M222+N222,IF(C222&lt;K222,C222*O222+P222,Q222)))</f>
        <v>1.2692936148730614</v>
      </c>
      <c r="S222" s="286">
        <f t="shared" si="6"/>
        <v>3255.0765307771094</v>
      </c>
      <c r="T222" s="293">
        <f>IF(E222="DHP",VLOOKUP(D222,Calibration!$C$20:$E$22,2,FALSE),IF(D222=1,Calibration!$D$17,Calibration!$D$18))</f>
        <v>0.82813167326562143</v>
      </c>
      <c r="U222" s="286">
        <f t="shared" si="7"/>
        <v>2695.6319740401018</v>
      </c>
      <c r="V222" s="286">
        <f>VLOOKUP(T222,Calibration!$D$17:$E$22,2,FALSE)*S222</f>
        <v>508.77788918642898</v>
      </c>
      <c r="W222" t="s">
        <v>764</v>
      </c>
      <c r="X222">
        <v>275.59807499999999</v>
      </c>
      <c r="Y222">
        <v>0</v>
      </c>
    </row>
    <row r="223" spans="1:25">
      <c r="A223" s="277" t="str">
        <f>SEEMoutput!A225</f>
        <v>NWHZ2CZ1_1568n_30gshp_des0</v>
      </c>
      <c r="B223" s="286">
        <f>SEEMoutput!O225</f>
        <v>3206.6130010000002</v>
      </c>
      <c r="C223" s="287">
        <v>7.9627279393216607E-2</v>
      </c>
      <c r="D223" s="277">
        <f>IF(SEEMoutput!G225&lt;6000,1,IF(SEEMoutput!G225&lt;7500,2,3))</f>
        <v>2</v>
      </c>
      <c r="E223" s="277" t="str">
        <f>IF(LEFT(SEEMoutput!BE225,1)="F","FUR",IF(LEFT(SEEMoutput!BE225,1)="D","DHP","HP"))</f>
        <v>HP</v>
      </c>
      <c r="F223" s="288">
        <f>SEEMoutput!E225</f>
        <v>341.19347099999999</v>
      </c>
      <c r="G223" s="289">
        <f>F223*(69-30)*SEEMoutput!N225/SEEMoutput!M225</f>
        <v>14828.408591402365</v>
      </c>
      <c r="H223" s="290">
        <f>'(Tons) (Furnsize)'!$F$52+'(Tons) (Furnsize)'!$F$53*'(Tons) (Furnsize)'!$B$15+'(Tons) (Furnsize)'!$F$54*G223</f>
        <v>1.8003578336862707</v>
      </c>
      <c r="I223" s="290">
        <f>H223/'(Tons) (Furnsize)'!$G$7</f>
        <v>1.4922389281506268</v>
      </c>
      <c r="J223" s="291">
        <f>F223*(69-VLOOKUP(D223,'(Tons) (Furnsize)'!$D$15:$E$17,2,FALSE))/3412</f>
        <v>6.8998679657092614</v>
      </c>
      <c r="K223" s="292">
        <f>INDEX(Calibration!$A$4:$L$13,MATCH($D223&amp;$E223,Calibration!$A$4:$A$13,0),MATCH(K$4,Calibration!$A$4:$L$4,0))</f>
        <v>0.17499999999999999</v>
      </c>
      <c r="L223" s="292">
        <f>INDEX(Calibration!$A$4:$L$13,MATCH($D223&amp;$E223,Calibration!$A$4:$A$13,0),MATCH(L$4,Calibration!$A$4:$L$4,0))</f>
        <v>1.1965160377936901</v>
      </c>
      <c r="M223" s="292">
        <f>INDEX(Calibration!$A$4:$L$13,MATCH($D223&amp;$E223,Calibration!$A$4:$A$13,0),MATCH(M$4,Calibration!$A$4:$L$4,0))</f>
        <v>-2.050167690250368</v>
      </c>
      <c r="N223" s="292">
        <f>INDEX(Calibration!$A$4:$L$13,MATCH($D223&amp;$E223,Calibration!$A$4:$A$13,0),MATCH(N$4,Calibration!$A$4:$L$4,0))</f>
        <v>1.2990244223062084</v>
      </c>
      <c r="O223" s="292">
        <f>INDEX(Calibration!$A$4:$L$13,MATCH($D223&amp;$E223,Calibration!$A$4:$A$13,0),MATCH(O$4,Calibration!$A$4:$L$4,0))</f>
        <v>-4.1003353805007361</v>
      </c>
      <c r="P223" s="292">
        <f>INDEX(Calibration!$A$4:$L$13,MATCH($D223&amp;$E223,Calibration!$A$4:$A$13,0),MATCH(P$4,Calibration!$A$4:$L$4,0))</f>
        <v>1.452786999074986</v>
      </c>
      <c r="Q223" s="292">
        <f>INDEX(Calibration!$A$4:$L$13,MATCH($D223&amp;$E223,Calibration!$A$4:$A$13,0),MATCH(Q$4,Calibration!$A$4:$L$4,0))</f>
        <v>0.73522830748735724</v>
      </c>
      <c r="R223" s="293">
        <f>IF(C223&lt;Calibration!$F$5,L223,IF(C223&lt;Calibration!$E$5,C223*M223+N223,IF(C223&lt;K223,C223*O223+P223,Q223)))</f>
        <v>1.1262884481259627</v>
      </c>
      <c r="S223" s="286">
        <f t="shared" si="6"/>
        <v>3611.5711806368263</v>
      </c>
      <c r="T223" s="293">
        <f>IF(E223="DHP",VLOOKUP(D223,Calibration!$C$20:$E$22,2,FALSE),IF(D223=1,Calibration!$D$17,Calibration!$D$18))</f>
        <v>0.85917762533929642</v>
      </c>
      <c r="U223" s="286">
        <f t="shared" si="7"/>
        <v>3102.9811507233876</v>
      </c>
      <c r="V223" s="286">
        <f>VLOOKUP(T223,Calibration!$D$17:$E$22,2,FALSE)*S223</f>
        <v>446.27429204884186</v>
      </c>
      <c r="W223" t="s">
        <v>779</v>
      </c>
      <c r="X223">
        <v>300.05166300000002</v>
      </c>
      <c r="Y223">
        <v>0</v>
      </c>
    </row>
    <row r="224" spans="1:25">
      <c r="A224" s="277" t="str">
        <f>SEEMoutput!A226</f>
        <v>WxHZ2CZ1_1568e_30gshp_des0</v>
      </c>
      <c r="B224" s="286">
        <f>SEEMoutput!O226</f>
        <v>3655.5264950000001</v>
      </c>
      <c r="C224" s="287">
        <v>8.987558097011715E-2</v>
      </c>
      <c r="D224" s="277">
        <f>IF(SEEMoutput!G226&lt;6000,1,IF(SEEMoutput!G226&lt;7500,2,3))</f>
        <v>2</v>
      </c>
      <c r="E224" s="277" t="str">
        <f>IF(LEFT(SEEMoutput!BE226,1)="F","FUR",IF(LEFT(SEEMoutput!BE226,1)="D","DHP","HP"))</f>
        <v>HP</v>
      </c>
      <c r="F224" s="288">
        <f>SEEMoutput!E226</f>
        <v>380.36877700000002</v>
      </c>
      <c r="G224" s="289">
        <f>F224*(69-30)*SEEMoutput!N226/SEEMoutput!M226</f>
        <v>16511.177999024196</v>
      </c>
      <c r="H224" s="290">
        <f>'(Tons) (Furnsize)'!$F$52+'(Tons) (Furnsize)'!$F$53*'(Tons) (Furnsize)'!$B$15+'(Tons) (Furnsize)'!$F$54*G224</f>
        <v>1.9979324549497965</v>
      </c>
      <c r="I224" s="290">
        <f>H224/'(Tons) (Furnsize)'!$G$7</f>
        <v>1.6560000069470471</v>
      </c>
      <c r="J224" s="291">
        <f>F224*(69-VLOOKUP(D224,'(Tons) (Furnsize)'!$D$15:$E$17,2,FALSE))/3412</f>
        <v>7.6921001210433761</v>
      </c>
      <c r="K224" s="292">
        <f>INDEX(Calibration!$A$4:$L$13,MATCH($D224&amp;$E224,Calibration!$A$4:$A$13,0),MATCH(K$4,Calibration!$A$4:$L$4,0))</f>
        <v>0.17499999999999999</v>
      </c>
      <c r="L224" s="292">
        <f>INDEX(Calibration!$A$4:$L$13,MATCH($D224&amp;$E224,Calibration!$A$4:$A$13,0),MATCH(L$4,Calibration!$A$4:$L$4,0))</f>
        <v>1.1965160377936901</v>
      </c>
      <c r="M224" s="292">
        <f>INDEX(Calibration!$A$4:$L$13,MATCH($D224&amp;$E224,Calibration!$A$4:$A$13,0),MATCH(M$4,Calibration!$A$4:$L$4,0))</f>
        <v>-2.050167690250368</v>
      </c>
      <c r="N224" s="292">
        <f>INDEX(Calibration!$A$4:$L$13,MATCH($D224&amp;$E224,Calibration!$A$4:$A$13,0),MATCH(N$4,Calibration!$A$4:$L$4,0))</f>
        <v>1.2990244223062084</v>
      </c>
      <c r="O224" s="292">
        <f>INDEX(Calibration!$A$4:$L$13,MATCH($D224&amp;$E224,Calibration!$A$4:$A$13,0),MATCH(O$4,Calibration!$A$4:$L$4,0))</f>
        <v>-4.1003353805007361</v>
      </c>
      <c r="P224" s="292">
        <f>INDEX(Calibration!$A$4:$L$13,MATCH($D224&amp;$E224,Calibration!$A$4:$A$13,0),MATCH(P$4,Calibration!$A$4:$L$4,0))</f>
        <v>1.452786999074986</v>
      </c>
      <c r="Q224" s="292">
        <f>INDEX(Calibration!$A$4:$L$13,MATCH($D224&amp;$E224,Calibration!$A$4:$A$13,0),MATCH(Q$4,Calibration!$A$4:$L$4,0))</f>
        <v>0.73522830748735724</v>
      </c>
      <c r="R224" s="293">
        <f>IF(C224&lt;Calibration!$F$5,L224,IF(C224&lt;Calibration!$E$5,C224*M224+N224,IF(C224&lt;K224,C224*O224+P224,Q224)))</f>
        <v>1.0842669745801561</v>
      </c>
      <c r="S224" s="286">
        <f t="shared" si="6"/>
        <v>3963.5666532312521</v>
      </c>
      <c r="T224" s="293">
        <f>IF(E224="DHP",VLOOKUP(D224,Calibration!$C$20:$E$22,2,FALSE),IF(D224=1,Calibration!$D$17,Calibration!$D$18))</f>
        <v>0.85917762533929642</v>
      </c>
      <c r="U224" s="286">
        <f t="shared" si="7"/>
        <v>3405.4077849972496</v>
      </c>
      <c r="V224" s="286">
        <f>VLOOKUP(T224,Calibration!$D$17:$E$22,2,FALSE)*S224</f>
        <v>489.76963589771373</v>
      </c>
      <c r="W224" t="s">
        <v>779</v>
      </c>
      <c r="X224">
        <v>275.59807499999999</v>
      </c>
      <c r="Y224">
        <v>0</v>
      </c>
    </row>
    <row r="225" spans="1:25">
      <c r="A225" s="277" t="str">
        <f>SEEMoutput!A227</f>
        <v>NWHZ3CZ1_1568n_30gshp_des0</v>
      </c>
      <c r="B225" s="286">
        <f>SEEMoutput!O227</f>
        <v>3943.8688109999998</v>
      </c>
      <c r="C225" s="287">
        <v>7.9354950110773856E-2</v>
      </c>
      <c r="D225" s="277">
        <f>IF(SEEMoutput!G227&lt;6000,1,IF(SEEMoutput!G227&lt;7500,2,3))</f>
        <v>3</v>
      </c>
      <c r="E225" s="277" t="str">
        <f>IF(LEFT(SEEMoutput!BE227,1)="F","FUR",IF(LEFT(SEEMoutput!BE227,1)="D","DHP","HP"))</f>
        <v>HP</v>
      </c>
      <c r="F225" s="288">
        <f>SEEMoutput!E227</f>
        <v>338.77373399999999</v>
      </c>
      <c r="G225" s="289">
        <f>F225*(69-30)*SEEMoutput!N227/SEEMoutput!M227</f>
        <v>14807.516993659232</v>
      </c>
      <c r="H225" s="290">
        <f>'(Tons) (Furnsize)'!$F$52+'(Tons) (Furnsize)'!$F$53*'(Tons) (Furnsize)'!$B$15+'(Tons) (Furnsize)'!$F$54*G225</f>
        <v>1.7979049429378451</v>
      </c>
      <c r="I225" s="290">
        <f>H225/'(Tons) (Furnsize)'!$G$7</f>
        <v>1.4902058328443417</v>
      </c>
      <c r="J225" s="291">
        <f>F225*(69-VLOOKUP(D225,'(Tons) (Furnsize)'!$D$15:$E$17,2,FALSE))/3412</f>
        <v>9.3331567983587327</v>
      </c>
      <c r="K225" s="292">
        <f>INDEX(Calibration!$A$4:$L$13,MATCH($D225&amp;$E225,Calibration!$A$4:$A$13,0),MATCH(K$4,Calibration!$A$4:$L$4,0))</f>
        <v>0.15</v>
      </c>
      <c r="L225" s="292">
        <f>INDEX(Calibration!$A$4:$L$13,MATCH($D225&amp;$E225,Calibration!$A$4:$A$13,0),MATCH(L$4,Calibration!$A$4:$L$4,0))</f>
        <v>1.0259371368886356</v>
      </c>
      <c r="M225" s="292">
        <f>INDEX(Calibration!$A$4:$L$13,MATCH($D225&amp;$E225,Calibration!$A$4:$A$13,0),MATCH(M$4,Calibration!$A$4:$L$4,0))</f>
        <v>-1.8551508104013119</v>
      </c>
      <c r="N225" s="292">
        <f>INDEX(Calibration!$A$4:$L$13,MATCH($D225&amp;$E225,Calibration!$A$4:$A$13,0),MATCH(N$4,Calibration!$A$4:$L$4,0))</f>
        <v>1.1186946774087012</v>
      </c>
      <c r="O225" s="292">
        <f>INDEX(Calibration!$A$4:$L$13,MATCH($D225&amp;$E225,Calibration!$A$4:$A$13,0),MATCH(O$4,Calibration!$A$4:$L$4,0))</f>
        <v>-3.7103016208026238</v>
      </c>
      <c r="P225" s="292">
        <f>INDEX(Calibration!$A$4:$L$13,MATCH($D225&amp;$E225,Calibration!$A$4:$A$13,0),MATCH(P$4,Calibration!$A$4:$L$4,0))</f>
        <v>1.2578309881887995</v>
      </c>
      <c r="Q225" s="292">
        <f>INDEX(Calibration!$A$4:$L$13,MATCH($D225&amp;$E225,Calibration!$A$4:$A$13,0),MATCH(Q$4,Calibration!$A$4:$L$4,0))</f>
        <v>0.7012857450684058</v>
      </c>
      <c r="R225" s="293">
        <f>IF(C225&lt;Calibration!$F$5,L225,IF(C225&lt;Calibration!$E$5,C225*M225+N225,IF(C225&lt;K225,C225*O225+P225,Q225)))</f>
        <v>0.9634001881740839</v>
      </c>
      <c r="S225" s="286">
        <f t="shared" si="6"/>
        <v>3799.5239546513003</v>
      </c>
      <c r="T225" s="293">
        <f>IF(E225="DHP",VLOOKUP(D225,Calibration!$C$20:$E$22,2,FALSE),IF(D225=1,Calibration!$D$17,Calibration!$D$18))</f>
        <v>0.85917762533929642</v>
      </c>
      <c r="U225" s="286">
        <f t="shared" si="7"/>
        <v>3264.4659687770768</v>
      </c>
      <c r="V225" s="286">
        <f>VLOOKUP(T225,Calibration!$D$17:$E$22,2,FALSE)*S225</f>
        <v>469.49922296301952</v>
      </c>
      <c r="W225" t="s">
        <v>794</v>
      </c>
      <c r="X225">
        <v>300.05166300000002</v>
      </c>
      <c r="Y225">
        <v>0</v>
      </c>
    </row>
    <row r="226" spans="1:25">
      <c r="A226" s="277" t="str">
        <f>SEEMoutput!A228</f>
        <v>WxHZ3CZ1_1568e_30gshp_des0</v>
      </c>
      <c r="B226" s="286">
        <f>SEEMoutput!O228</f>
        <v>4482.0259800000003</v>
      </c>
      <c r="C226" s="287">
        <v>8.9604783779277455E-2</v>
      </c>
      <c r="D226" s="277">
        <f>IF(SEEMoutput!G228&lt;6000,1,IF(SEEMoutput!G228&lt;7500,2,3))</f>
        <v>3</v>
      </c>
      <c r="E226" s="277" t="str">
        <f>IF(LEFT(SEEMoutput!BE228,1)="F","FUR",IF(LEFT(SEEMoutput!BE228,1)="D","DHP","HP"))</f>
        <v>HP</v>
      </c>
      <c r="F226" s="288">
        <f>SEEMoutput!E228</f>
        <v>377.91815100000002</v>
      </c>
      <c r="G226" s="289">
        <f>F226*(69-30)*SEEMoutput!N228/SEEMoutput!M228</f>
        <v>16496.475330978687</v>
      </c>
      <c r="H226" s="290">
        <f>'(Tons) (Furnsize)'!$F$52+'(Tons) (Furnsize)'!$F$53*'(Tons) (Furnsize)'!$B$15+'(Tons) (Furnsize)'!$F$54*G226</f>
        <v>1.9962062088833434</v>
      </c>
      <c r="I226" s="290">
        <f>H226/'(Tons) (Furnsize)'!$G$7</f>
        <v>1.6545691960650493</v>
      </c>
      <c r="J226" s="291">
        <f>F226*(69-VLOOKUP(D226,'(Tons) (Furnsize)'!$D$15:$E$17,2,FALSE))/3412</f>
        <v>10.411578603165299</v>
      </c>
      <c r="K226" s="292">
        <f>INDEX(Calibration!$A$4:$L$13,MATCH($D226&amp;$E226,Calibration!$A$4:$A$13,0),MATCH(K$4,Calibration!$A$4:$L$4,0))</f>
        <v>0.15</v>
      </c>
      <c r="L226" s="292">
        <f>INDEX(Calibration!$A$4:$L$13,MATCH($D226&amp;$E226,Calibration!$A$4:$A$13,0),MATCH(L$4,Calibration!$A$4:$L$4,0))</f>
        <v>1.0259371368886356</v>
      </c>
      <c r="M226" s="292">
        <f>INDEX(Calibration!$A$4:$L$13,MATCH($D226&amp;$E226,Calibration!$A$4:$A$13,0),MATCH(M$4,Calibration!$A$4:$L$4,0))</f>
        <v>-1.8551508104013119</v>
      </c>
      <c r="N226" s="292">
        <f>INDEX(Calibration!$A$4:$L$13,MATCH($D226&amp;$E226,Calibration!$A$4:$A$13,0),MATCH(N$4,Calibration!$A$4:$L$4,0))</f>
        <v>1.1186946774087012</v>
      </c>
      <c r="O226" s="292">
        <f>INDEX(Calibration!$A$4:$L$13,MATCH($D226&amp;$E226,Calibration!$A$4:$A$13,0),MATCH(O$4,Calibration!$A$4:$L$4,0))</f>
        <v>-3.7103016208026238</v>
      </c>
      <c r="P226" s="292">
        <f>INDEX(Calibration!$A$4:$L$13,MATCH($D226&amp;$E226,Calibration!$A$4:$A$13,0),MATCH(P$4,Calibration!$A$4:$L$4,0))</f>
        <v>1.2578309881887995</v>
      </c>
      <c r="Q226" s="292">
        <f>INDEX(Calibration!$A$4:$L$13,MATCH($D226&amp;$E226,Calibration!$A$4:$A$13,0),MATCH(Q$4,Calibration!$A$4:$L$4,0))</f>
        <v>0.7012857450684058</v>
      </c>
      <c r="R226" s="293">
        <f>IF(C226&lt;Calibration!$F$5,L226,IF(C226&lt;Calibration!$E$5,C226*M226+N226,IF(C226&lt;K226,C226*O226+P226,Q226)))</f>
        <v>0.92537021370087769</v>
      </c>
      <c r="S226" s="286">
        <f t="shared" si="6"/>
        <v>4147.5333389254856</v>
      </c>
      <c r="T226" s="293">
        <f>IF(E226="DHP",VLOOKUP(D226,Calibration!$C$20:$E$22,2,FALSE),IF(D226=1,Calibration!$D$17,Calibration!$D$18))</f>
        <v>0.85917762533929642</v>
      </c>
      <c r="U226" s="286">
        <f t="shared" si="7"/>
        <v>3563.4678451535619</v>
      </c>
      <c r="V226" s="286">
        <f>VLOOKUP(T226,Calibration!$D$17:$E$22,2,FALSE)*S226</f>
        <v>512.50201422073746</v>
      </c>
      <c r="W226" t="s">
        <v>794</v>
      </c>
      <c r="X226">
        <v>275.59807499999999</v>
      </c>
      <c r="Y226">
        <v>0</v>
      </c>
    </row>
    <row r="227" spans="1:25">
      <c r="A227" s="277" t="str">
        <f>SEEMoutput!A229</f>
        <v>NWHZ1CZ1_2200n_30gshp_des0</v>
      </c>
      <c r="B227" s="286">
        <f>SEEMoutput!O229</f>
        <v>3000.3639880000001</v>
      </c>
      <c r="C227" s="287">
        <v>7.2918473473941134E-2</v>
      </c>
      <c r="D227" s="277">
        <f>IF(SEEMoutput!G229&lt;6000,1,IF(SEEMoutput!G229&lt;7500,2,3))</f>
        <v>1</v>
      </c>
      <c r="E227" s="277" t="str">
        <f>IF(LEFT(SEEMoutput!BE229,1)="F","FUR",IF(LEFT(SEEMoutput!BE229,1)="D","DHP","HP"))</f>
        <v>HP</v>
      </c>
      <c r="F227" s="288">
        <f>SEEMoutput!E229</f>
        <v>418.83679100000001</v>
      </c>
      <c r="G227" s="289">
        <f>F227*(69-30)*SEEMoutput!N229/SEEMoutput!M229</f>
        <v>19818.941988757044</v>
      </c>
      <c r="H227" s="290">
        <f>'(Tons) (Furnsize)'!$F$52+'(Tons) (Furnsize)'!$F$53*'(Tons) (Furnsize)'!$B$15+'(Tons) (Furnsize)'!$F$54*G227</f>
        <v>2.3862983323781224</v>
      </c>
      <c r="I227" s="290">
        <f>H227/'(Tons) (Furnsize)'!$G$7</f>
        <v>1.9778997258919822</v>
      </c>
      <c r="J227" s="291">
        <f>F227*(69-VLOOKUP(D227,'(Tons) (Furnsize)'!$D$15:$E$17,2,FALSE))/3412</f>
        <v>6.38321017936694</v>
      </c>
      <c r="K227" s="292">
        <f>INDEX(Calibration!$A$4:$L$13,MATCH($D227&amp;$E227,Calibration!$A$4:$A$13,0),MATCH(K$4,Calibration!$A$4:$L$4,0))</f>
        <v>0.2</v>
      </c>
      <c r="L227" s="292">
        <f>INDEX(Calibration!$A$4:$L$13,MATCH($D227&amp;$E227,Calibration!$A$4:$A$13,0),MATCH(L$4,Calibration!$A$4:$L$4,0))</f>
        <v>1.3869915874526988</v>
      </c>
      <c r="M227" s="292">
        <f>INDEX(Calibration!$A$4:$L$13,MATCH($D227&amp;$E227,Calibration!$A$4:$A$13,0),MATCH(M$4,Calibration!$A$4:$L$4,0))</f>
        <v>-2.2641144651923684</v>
      </c>
      <c r="N227" s="292">
        <f>INDEX(Calibration!$A$4:$L$13,MATCH($D227&amp;$E227,Calibration!$A$4:$A$13,0),MATCH(N$4,Calibration!$A$4:$L$4,0))</f>
        <v>1.5001973107123172</v>
      </c>
      <c r="O227" s="292">
        <f>INDEX(Calibration!$A$4:$L$13,MATCH($D227&amp;$E227,Calibration!$A$4:$A$13,0),MATCH(O$4,Calibration!$A$4:$L$4,0))</f>
        <v>-4.5282289303847367</v>
      </c>
      <c r="P227" s="292">
        <f>INDEX(Calibration!$A$4:$L$13,MATCH($D227&amp;$E227,Calibration!$A$4:$A$13,0),MATCH(P$4,Calibration!$A$4:$L$4,0))</f>
        <v>1.6700058956017449</v>
      </c>
      <c r="Q227" s="292">
        <f>INDEX(Calibration!$A$4:$L$13,MATCH($D227&amp;$E227,Calibration!$A$4:$A$13,0),MATCH(Q$4,Calibration!$A$4:$L$4,0))</f>
        <v>0.7643601095247976</v>
      </c>
      <c r="R227" s="293">
        <f>IF(C227&lt;Calibration!$F$5,L227,IF(C227&lt;Calibration!$E$5,C227*M227+N227,IF(C227&lt;K227,C227*O227+P227,Q227)))</f>
        <v>1.3351015401402211</v>
      </c>
      <c r="S227" s="286">
        <f t="shared" si="6"/>
        <v>4005.790581360056</v>
      </c>
      <c r="T227" s="293">
        <f>IF(E227="DHP",VLOOKUP(D227,Calibration!$C$20:$E$22,2,FALSE),IF(D227=1,Calibration!$D$17,Calibration!$D$18))</f>
        <v>0.82813167326562143</v>
      </c>
      <c r="U227" s="286">
        <f t="shared" si="7"/>
        <v>3317.3220568933698</v>
      </c>
      <c r="V227" s="286">
        <f>VLOOKUP(T227,Calibration!$D$17:$E$22,2,FALSE)*S227</f>
        <v>626.11666952748612</v>
      </c>
      <c r="W227" t="s">
        <v>764</v>
      </c>
      <c r="X227">
        <v>412.39656400000001</v>
      </c>
      <c r="Y227">
        <v>0</v>
      </c>
    </row>
    <row r="228" spans="1:25">
      <c r="A228" s="277" t="str">
        <f>SEEMoutput!A230</f>
        <v>WxHZ1CZ1_2200e_30gshp_des0</v>
      </c>
      <c r="B228" s="286">
        <f>SEEMoutput!O230</f>
        <v>3749.2211790000001</v>
      </c>
      <c r="C228" s="287">
        <v>8.5780479662461995E-2</v>
      </c>
      <c r="D228" s="277">
        <f>IF(SEEMoutput!G230&lt;6000,1,IF(SEEMoutput!G230&lt;7500,2,3))</f>
        <v>1</v>
      </c>
      <c r="E228" s="277" t="str">
        <f>IF(LEFT(SEEMoutput!BE230,1)="F","FUR",IF(LEFT(SEEMoutput!BE230,1)="D","DHP","HP"))</f>
        <v>HP</v>
      </c>
      <c r="F228" s="288">
        <f>SEEMoutput!E230</f>
        <v>484.56612999999999</v>
      </c>
      <c r="G228" s="289">
        <f>F228*(69-30)*SEEMoutput!N230/SEEMoutput!M230</f>
        <v>23448.315219298667</v>
      </c>
      <c r="H228" s="290">
        <f>'(Tons) (Furnsize)'!$F$52+'(Tons) (Furnsize)'!$F$53*'(Tons) (Furnsize)'!$B$15+'(Tons) (Furnsize)'!$F$54*G228</f>
        <v>2.8124244778858665</v>
      </c>
      <c r="I228" s="290">
        <f>H228/'(Tons) (Furnsize)'!$G$7</f>
        <v>2.3310973018024623</v>
      </c>
      <c r="J228" s="291">
        <f>F228*(69-VLOOKUP(D228,'(Tons) (Furnsize)'!$D$15:$E$17,2,FALSE))/3412</f>
        <v>7.3849468815943728</v>
      </c>
      <c r="K228" s="292">
        <f>INDEX(Calibration!$A$4:$L$13,MATCH($D228&amp;$E228,Calibration!$A$4:$A$13,0),MATCH(K$4,Calibration!$A$4:$L$4,0))</f>
        <v>0.2</v>
      </c>
      <c r="L228" s="292">
        <f>INDEX(Calibration!$A$4:$L$13,MATCH($D228&amp;$E228,Calibration!$A$4:$A$13,0),MATCH(L$4,Calibration!$A$4:$L$4,0))</f>
        <v>1.3869915874526988</v>
      </c>
      <c r="M228" s="292">
        <f>INDEX(Calibration!$A$4:$L$13,MATCH($D228&amp;$E228,Calibration!$A$4:$A$13,0),MATCH(M$4,Calibration!$A$4:$L$4,0))</f>
        <v>-2.2641144651923684</v>
      </c>
      <c r="N228" s="292">
        <f>INDEX(Calibration!$A$4:$L$13,MATCH($D228&amp;$E228,Calibration!$A$4:$A$13,0),MATCH(N$4,Calibration!$A$4:$L$4,0))</f>
        <v>1.5001973107123172</v>
      </c>
      <c r="O228" s="292">
        <f>INDEX(Calibration!$A$4:$L$13,MATCH($D228&amp;$E228,Calibration!$A$4:$A$13,0),MATCH(O$4,Calibration!$A$4:$L$4,0))</f>
        <v>-4.5282289303847367</v>
      </c>
      <c r="P228" s="292">
        <f>INDEX(Calibration!$A$4:$L$13,MATCH($D228&amp;$E228,Calibration!$A$4:$A$13,0),MATCH(P$4,Calibration!$A$4:$L$4,0))</f>
        <v>1.6700058956017449</v>
      </c>
      <c r="Q228" s="292">
        <f>INDEX(Calibration!$A$4:$L$13,MATCH($D228&amp;$E228,Calibration!$A$4:$A$13,0),MATCH(Q$4,Calibration!$A$4:$L$4,0))</f>
        <v>0.7643601095247976</v>
      </c>
      <c r="R228" s="293">
        <f>IF(C228&lt;Calibration!$F$5,L228,IF(C228&lt;Calibration!$E$5,C228*M228+N228,IF(C228&lt;K228,C228*O228+P228,Q228)))</f>
        <v>1.281572245931905</v>
      </c>
      <c r="S228" s="286">
        <f t="shared" si="6"/>
        <v>4804.8978068664946</v>
      </c>
      <c r="T228" s="293">
        <f>IF(E228="DHP",VLOOKUP(D228,Calibration!$C$20:$E$22,2,FALSE),IF(D228=1,Calibration!$D$17,Calibration!$D$18))</f>
        <v>0.82813167326562143</v>
      </c>
      <c r="U228" s="286">
        <f t="shared" si="7"/>
        <v>3979.0880606706651</v>
      </c>
      <c r="V228" s="286">
        <f>VLOOKUP(T228,Calibration!$D$17:$E$22,2,FALSE)*S228</f>
        <v>751.01944326648834</v>
      </c>
      <c r="W228" t="s">
        <v>764</v>
      </c>
      <c r="X228">
        <v>398.34715699999998</v>
      </c>
      <c r="Y228">
        <v>0</v>
      </c>
    </row>
    <row r="229" spans="1:25">
      <c r="A229" s="277" t="str">
        <f>SEEMoutput!A231</f>
        <v>NWHZ2CZ1_2200n_30gshp_des0</v>
      </c>
      <c r="B229" s="286">
        <f>SEEMoutput!O231</f>
        <v>4431.2371599999997</v>
      </c>
      <c r="C229" s="287">
        <v>7.5074956747962482E-2</v>
      </c>
      <c r="D229" s="277">
        <f>IF(SEEMoutput!G231&lt;6000,1,IF(SEEMoutput!G231&lt;7500,2,3))</f>
        <v>2</v>
      </c>
      <c r="E229" s="277" t="str">
        <f>IF(LEFT(SEEMoutput!BE231,1)="F","FUR",IF(LEFT(SEEMoutput!BE231,1)="D","DHP","HP"))</f>
        <v>HP</v>
      </c>
      <c r="F229" s="288">
        <f>SEEMoutput!E231</f>
        <v>425.82197200000002</v>
      </c>
      <c r="G229" s="289">
        <f>F229*(69-30)*SEEMoutput!N231/SEEMoutput!M231</f>
        <v>20494.034433776706</v>
      </c>
      <c r="H229" s="290">
        <f>'(Tons) (Furnsize)'!$F$52+'(Tons) (Furnsize)'!$F$53*'(Tons) (Furnsize)'!$B$15+'(Tons) (Furnsize)'!$F$54*G229</f>
        <v>2.4655612031781851</v>
      </c>
      <c r="I229" s="290">
        <f>H229/'(Tons) (Furnsize)'!$G$7</f>
        <v>2.0435972995363549</v>
      </c>
      <c r="J229" s="291">
        <f>F229*(69-VLOOKUP(D229,'(Tons) (Furnsize)'!$D$15:$E$17,2,FALSE))/3412</f>
        <v>8.6112884138335293</v>
      </c>
      <c r="K229" s="292">
        <f>INDEX(Calibration!$A$4:$L$13,MATCH($D229&amp;$E229,Calibration!$A$4:$A$13,0),MATCH(K$4,Calibration!$A$4:$L$4,0))</f>
        <v>0.17499999999999999</v>
      </c>
      <c r="L229" s="292">
        <f>INDEX(Calibration!$A$4:$L$13,MATCH($D229&amp;$E229,Calibration!$A$4:$A$13,0),MATCH(L$4,Calibration!$A$4:$L$4,0))</f>
        <v>1.1965160377936901</v>
      </c>
      <c r="M229" s="292">
        <f>INDEX(Calibration!$A$4:$L$13,MATCH($D229&amp;$E229,Calibration!$A$4:$A$13,0),MATCH(M$4,Calibration!$A$4:$L$4,0))</f>
        <v>-2.050167690250368</v>
      </c>
      <c r="N229" s="292">
        <f>INDEX(Calibration!$A$4:$L$13,MATCH($D229&amp;$E229,Calibration!$A$4:$A$13,0),MATCH(N$4,Calibration!$A$4:$L$4,0))</f>
        <v>1.2990244223062084</v>
      </c>
      <c r="O229" s="292">
        <f>INDEX(Calibration!$A$4:$L$13,MATCH($D229&amp;$E229,Calibration!$A$4:$A$13,0),MATCH(O$4,Calibration!$A$4:$L$4,0))</f>
        <v>-4.1003353805007361</v>
      </c>
      <c r="P229" s="292">
        <f>INDEX(Calibration!$A$4:$L$13,MATCH($D229&amp;$E229,Calibration!$A$4:$A$13,0),MATCH(P$4,Calibration!$A$4:$L$4,0))</f>
        <v>1.452786999074986</v>
      </c>
      <c r="Q229" s="292">
        <f>INDEX(Calibration!$A$4:$L$13,MATCH($D229&amp;$E229,Calibration!$A$4:$A$13,0),MATCH(Q$4,Calibration!$A$4:$L$4,0))</f>
        <v>0.73522830748735724</v>
      </c>
      <c r="R229" s="293">
        <f>IF(C229&lt;Calibration!$F$5,L229,IF(C229&lt;Calibration!$E$5,C229*M229+N229,IF(C229&lt;K229,C229*O229+P229,Q229)))</f>
        <v>1.144954497731753</v>
      </c>
      <c r="S229" s="286">
        <f t="shared" si="6"/>
        <v>5073.5649168580794</v>
      </c>
      <c r="T229" s="293">
        <f>IF(E229="DHP",VLOOKUP(D229,Calibration!$C$20:$E$22,2,FALSE),IF(D229=1,Calibration!$D$17,Calibration!$D$18))</f>
        <v>0.85917762533929642</v>
      </c>
      <c r="U229" s="286">
        <f t="shared" si="7"/>
        <v>4359.0934572708893</v>
      </c>
      <c r="V229" s="286">
        <f>VLOOKUP(T229,Calibration!$D$17:$E$22,2,FALSE)*S229</f>
        <v>626.92979819255152</v>
      </c>
      <c r="W229" t="s">
        <v>779</v>
      </c>
      <c r="X229">
        <v>412.39656400000001</v>
      </c>
      <c r="Y229">
        <v>0</v>
      </c>
    </row>
    <row r="230" spans="1:25">
      <c r="A230" s="277" t="str">
        <f>SEEMoutput!A232</f>
        <v>WxHZ2CZ1_2200e_30gshp_des0</v>
      </c>
      <c r="B230" s="286">
        <f>SEEMoutput!O232</f>
        <v>5497.6839840000002</v>
      </c>
      <c r="C230" s="287">
        <v>8.7964350480967332E-2</v>
      </c>
      <c r="D230" s="277">
        <f>IF(SEEMoutput!G232&lt;6000,1,IF(SEEMoutput!G232&lt;7500,2,3))</f>
        <v>2</v>
      </c>
      <c r="E230" s="277" t="str">
        <f>IF(LEFT(SEEMoutput!BE232,1)="F","FUR",IF(LEFT(SEEMoutput!BE232,1)="D","DHP","HP"))</f>
        <v>HP</v>
      </c>
      <c r="F230" s="288">
        <f>SEEMoutput!E232</f>
        <v>491.69026400000001</v>
      </c>
      <c r="G230" s="289">
        <f>F230*(69-30)*SEEMoutput!N232/SEEMoutput!M232</f>
        <v>24259.042120557715</v>
      </c>
      <c r="H230" s="290">
        <f>'(Tons) (Furnsize)'!$F$52+'(Tons) (Furnsize)'!$F$53*'(Tons) (Furnsize)'!$B$15+'(Tons) (Furnsize)'!$F$54*G230</f>
        <v>2.9076122438025171</v>
      </c>
      <c r="I230" s="290">
        <f>H230/'(Tons) (Furnsize)'!$G$7</f>
        <v>2.4099943338961767</v>
      </c>
      <c r="J230" s="291">
        <f>F230*(69-VLOOKUP(D230,'(Tons) (Furnsize)'!$D$15:$E$17,2,FALSE))/3412</f>
        <v>9.9433259718640095</v>
      </c>
      <c r="K230" s="292">
        <f>INDEX(Calibration!$A$4:$L$13,MATCH($D230&amp;$E230,Calibration!$A$4:$A$13,0),MATCH(K$4,Calibration!$A$4:$L$4,0))</f>
        <v>0.17499999999999999</v>
      </c>
      <c r="L230" s="292">
        <f>INDEX(Calibration!$A$4:$L$13,MATCH($D230&amp;$E230,Calibration!$A$4:$A$13,0),MATCH(L$4,Calibration!$A$4:$L$4,0))</f>
        <v>1.1965160377936901</v>
      </c>
      <c r="M230" s="292">
        <f>INDEX(Calibration!$A$4:$L$13,MATCH($D230&amp;$E230,Calibration!$A$4:$A$13,0),MATCH(M$4,Calibration!$A$4:$L$4,0))</f>
        <v>-2.050167690250368</v>
      </c>
      <c r="N230" s="292">
        <f>INDEX(Calibration!$A$4:$L$13,MATCH($D230&amp;$E230,Calibration!$A$4:$A$13,0),MATCH(N$4,Calibration!$A$4:$L$4,0))</f>
        <v>1.2990244223062084</v>
      </c>
      <c r="O230" s="292">
        <f>INDEX(Calibration!$A$4:$L$13,MATCH($D230&amp;$E230,Calibration!$A$4:$A$13,0),MATCH(O$4,Calibration!$A$4:$L$4,0))</f>
        <v>-4.1003353805007361</v>
      </c>
      <c r="P230" s="292">
        <f>INDEX(Calibration!$A$4:$L$13,MATCH($D230&amp;$E230,Calibration!$A$4:$A$13,0),MATCH(P$4,Calibration!$A$4:$L$4,0))</f>
        <v>1.452786999074986</v>
      </c>
      <c r="Q230" s="292">
        <f>INDEX(Calibration!$A$4:$L$13,MATCH($D230&amp;$E230,Calibration!$A$4:$A$13,0),MATCH(Q$4,Calibration!$A$4:$L$4,0))</f>
        <v>0.73522830748735724</v>
      </c>
      <c r="R230" s="293">
        <f>IF(C230&lt;Calibration!$F$5,L230,IF(C230&lt;Calibration!$E$5,C230*M230+N230,IF(C230&lt;K230,C230*O230+P230,Q230)))</f>
        <v>1.0921036605751087</v>
      </c>
      <c r="S230" s="286">
        <f t="shared" si="6"/>
        <v>6004.0408036115477</v>
      </c>
      <c r="T230" s="293">
        <f>IF(E230="DHP",VLOOKUP(D230,Calibration!$C$20:$E$22,2,FALSE),IF(D230=1,Calibration!$D$17,Calibration!$D$18))</f>
        <v>0.85917762533929642</v>
      </c>
      <c r="U230" s="286">
        <f t="shared" si="7"/>
        <v>5158.5375200872104</v>
      </c>
      <c r="V230" s="286">
        <f>VLOOKUP(T230,Calibration!$D$17:$E$22,2,FALSE)*S230</f>
        <v>741.9067561037624</v>
      </c>
      <c r="W230" t="s">
        <v>779</v>
      </c>
      <c r="X230">
        <v>398.34715699999998</v>
      </c>
      <c r="Y230">
        <v>0</v>
      </c>
    </row>
    <row r="231" spans="1:25">
      <c r="A231" s="277" t="str">
        <f>SEEMoutput!A233</f>
        <v>NWHZ3CZ1_2200n_30gshp_des0</v>
      </c>
      <c r="B231" s="286">
        <f>SEEMoutput!O233</f>
        <v>5538.2450870000002</v>
      </c>
      <c r="C231" s="287">
        <v>7.4801353545115509E-2</v>
      </c>
      <c r="D231" s="277">
        <f>IF(SEEMoutput!G233&lt;6000,1,IF(SEEMoutput!G233&lt;7500,2,3))</f>
        <v>3</v>
      </c>
      <c r="E231" s="277" t="str">
        <f>IF(LEFT(SEEMoutput!BE233,1)="F","FUR",IF(LEFT(SEEMoutput!BE233,1)="D","DHP","HP"))</f>
        <v>HP</v>
      </c>
      <c r="F231" s="288">
        <f>SEEMoutput!E233</f>
        <v>422.22977100000003</v>
      </c>
      <c r="G231" s="289">
        <f>F231*(69-30)*SEEMoutput!N233/SEEMoutput!M233</f>
        <v>20530.575874440714</v>
      </c>
      <c r="H231" s="290">
        <f>'(Tons) (Furnsize)'!$F$52+'(Tons) (Furnsize)'!$F$53*'(Tons) (Furnsize)'!$B$15+'(Tons) (Furnsize)'!$F$54*G231</f>
        <v>2.4698515481695513</v>
      </c>
      <c r="I231" s="290">
        <f>H231/'(Tons) (Furnsize)'!$G$7</f>
        <v>2.0471533813838199</v>
      </c>
      <c r="J231" s="291">
        <f>F231*(69-VLOOKUP(D231,'(Tons) (Furnsize)'!$D$15:$E$17,2,FALSE))/3412</f>
        <v>11.632355941969521</v>
      </c>
      <c r="K231" s="292">
        <f>INDEX(Calibration!$A$4:$L$13,MATCH($D231&amp;$E231,Calibration!$A$4:$A$13,0),MATCH(K$4,Calibration!$A$4:$L$4,0))</f>
        <v>0.15</v>
      </c>
      <c r="L231" s="292">
        <f>INDEX(Calibration!$A$4:$L$13,MATCH($D231&amp;$E231,Calibration!$A$4:$A$13,0),MATCH(L$4,Calibration!$A$4:$L$4,0))</f>
        <v>1.0259371368886356</v>
      </c>
      <c r="M231" s="292">
        <f>INDEX(Calibration!$A$4:$L$13,MATCH($D231&amp;$E231,Calibration!$A$4:$A$13,0),MATCH(M$4,Calibration!$A$4:$L$4,0))</f>
        <v>-1.8551508104013119</v>
      </c>
      <c r="N231" s="292">
        <f>INDEX(Calibration!$A$4:$L$13,MATCH($D231&amp;$E231,Calibration!$A$4:$A$13,0),MATCH(N$4,Calibration!$A$4:$L$4,0))</f>
        <v>1.1186946774087012</v>
      </c>
      <c r="O231" s="292">
        <f>INDEX(Calibration!$A$4:$L$13,MATCH($D231&amp;$E231,Calibration!$A$4:$A$13,0),MATCH(O$4,Calibration!$A$4:$L$4,0))</f>
        <v>-3.7103016208026238</v>
      </c>
      <c r="P231" s="292">
        <f>INDEX(Calibration!$A$4:$L$13,MATCH($D231&amp;$E231,Calibration!$A$4:$A$13,0),MATCH(P$4,Calibration!$A$4:$L$4,0))</f>
        <v>1.2578309881887995</v>
      </c>
      <c r="Q231" s="292">
        <f>INDEX(Calibration!$A$4:$L$13,MATCH($D231&amp;$E231,Calibration!$A$4:$A$13,0),MATCH(Q$4,Calibration!$A$4:$L$4,0))</f>
        <v>0.7012857450684058</v>
      </c>
      <c r="R231" s="293">
        <f>IF(C231&lt;Calibration!$F$5,L231,IF(C231&lt;Calibration!$E$5,C231*M231+N231,IF(C231&lt;K231,C231*O231+P231,Q231)))</f>
        <v>0.97992688576036513</v>
      </c>
      <c r="S231" s="286">
        <f t="shared" si="6"/>
        <v>5427.0752606815531</v>
      </c>
      <c r="T231" s="293">
        <f>IF(E231="DHP",VLOOKUP(D231,Calibration!$C$20:$E$22,2,FALSE),IF(D231=1,Calibration!$D$17,Calibration!$D$18))</f>
        <v>0.85917762533929642</v>
      </c>
      <c r="U231" s="286">
        <f t="shared" si="7"/>
        <v>4662.8216350100201</v>
      </c>
      <c r="V231" s="286">
        <f>VLOOKUP(T231,Calibration!$D$17:$E$22,2,FALSE)*S231</f>
        <v>670.61233150868713</v>
      </c>
      <c r="W231" t="s">
        <v>794</v>
      </c>
      <c r="X231">
        <v>412.39656400000001</v>
      </c>
      <c r="Y231">
        <v>0</v>
      </c>
    </row>
    <row r="232" spans="1:25">
      <c r="A232" s="277" t="str">
        <f>SEEMoutput!A234</f>
        <v>WxHZ3CZ1_2200e_30gshp_des0</v>
      </c>
      <c r="B232" s="286">
        <f>SEEMoutput!O234</f>
        <v>6920.1845219999996</v>
      </c>
      <c r="C232" s="287">
        <v>8.7768989626874808E-2</v>
      </c>
      <c r="D232" s="277">
        <f>IF(SEEMoutput!G234&lt;6000,1,IF(SEEMoutput!G234&lt;7500,2,3))</f>
        <v>3</v>
      </c>
      <c r="E232" s="277" t="str">
        <f>IF(LEFT(SEEMoutput!BE234,1)="F","FUR",IF(LEFT(SEEMoutput!BE234,1)="D","DHP","HP"))</f>
        <v>HP</v>
      </c>
      <c r="F232" s="288">
        <f>SEEMoutput!E234</f>
        <v>488.52372100000002</v>
      </c>
      <c r="G232" s="289">
        <f>F232*(69-30)*SEEMoutput!N234/SEEMoutput!M234</f>
        <v>24363.803452367007</v>
      </c>
      <c r="H232" s="290">
        <f>'(Tons) (Furnsize)'!$F$52+'(Tons) (Furnsize)'!$F$53*'(Tons) (Furnsize)'!$B$15+'(Tons) (Furnsize)'!$F$54*G232</f>
        <v>2.9199123131771652</v>
      </c>
      <c r="I232" s="290">
        <f>H232/'(Tons) (Furnsize)'!$G$7</f>
        <v>2.4201893306886872</v>
      </c>
      <c r="J232" s="291">
        <f>F232*(69-VLOOKUP(D232,'(Tons) (Furnsize)'!$D$15:$E$17,2,FALSE))/3412</f>
        <v>13.458742606682298</v>
      </c>
      <c r="K232" s="292">
        <f>INDEX(Calibration!$A$4:$L$13,MATCH($D232&amp;$E232,Calibration!$A$4:$A$13,0),MATCH(K$4,Calibration!$A$4:$L$4,0))</f>
        <v>0.15</v>
      </c>
      <c r="L232" s="292">
        <f>INDEX(Calibration!$A$4:$L$13,MATCH($D232&amp;$E232,Calibration!$A$4:$A$13,0),MATCH(L$4,Calibration!$A$4:$L$4,0))</f>
        <v>1.0259371368886356</v>
      </c>
      <c r="M232" s="292">
        <f>INDEX(Calibration!$A$4:$L$13,MATCH($D232&amp;$E232,Calibration!$A$4:$A$13,0),MATCH(M$4,Calibration!$A$4:$L$4,0))</f>
        <v>-1.8551508104013119</v>
      </c>
      <c r="N232" s="292">
        <f>INDEX(Calibration!$A$4:$L$13,MATCH($D232&amp;$E232,Calibration!$A$4:$A$13,0),MATCH(N$4,Calibration!$A$4:$L$4,0))</f>
        <v>1.1186946774087012</v>
      </c>
      <c r="O232" s="292">
        <f>INDEX(Calibration!$A$4:$L$13,MATCH($D232&amp;$E232,Calibration!$A$4:$A$13,0),MATCH(O$4,Calibration!$A$4:$L$4,0))</f>
        <v>-3.7103016208026238</v>
      </c>
      <c r="P232" s="292">
        <f>INDEX(Calibration!$A$4:$L$13,MATCH($D232&amp;$E232,Calibration!$A$4:$A$13,0),MATCH(P$4,Calibration!$A$4:$L$4,0))</f>
        <v>1.2578309881887995</v>
      </c>
      <c r="Q232" s="292">
        <f>INDEX(Calibration!$A$4:$L$13,MATCH($D232&amp;$E232,Calibration!$A$4:$A$13,0),MATCH(Q$4,Calibration!$A$4:$L$4,0))</f>
        <v>0.7012857450684058</v>
      </c>
      <c r="R232" s="293">
        <f>IF(C232&lt;Calibration!$F$5,L232,IF(C232&lt;Calibration!$E$5,C232*M232+N232,IF(C232&lt;K232,C232*O232+P232,Q232)))</f>
        <v>0.93218156371999716</v>
      </c>
      <c r="S232" s="286">
        <f t="shared" si="6"/>
        <v>6450.868428948881</v>
      </c>
      <c r="T232" s="293">
        <f>IF(E232="DHP",VLOOKUP(D232,Calibration!$C$20:$E$22,2,FALSE),IF(D232=1,Calibration!$D$17,Calibration!$D$18))</f>
        <v>0.85917762533929642</v>
      </c>
      <c r="U232" s="286">
        <f t="shared" si="7"/>
        <v>5542.4418181605379</v>
      </c>
      <c r="V232" s="286">
        <f>VLOOKUP(T232,Calibration!$D$17:$E$22,2,FALSE)*S232</f>
        <v>797.12031059062758</v>
      </c>
      <c r="W232" t="s">
        <v>794</v>
      </c>
      <c r="X232">
        <v>398.34715699999998</v>
      </c>
      <c r="Y232">
        <v>0</v>
      </c>
    </row>
    <row r="233" spans="1:25">
      <c r="A233" s="277" t="str">
        <f>SEEMoutput!A235</f>
        <v>NWHZ1CZ1_2688n_30gshp_des0</v>
      </c>
      <c r="B233" s="286">
        <f>SEEMoutput!O235</f>
        <v>2675.0843479999999</v>
      </c>
      <c r="C233" s="287">
        <v>8.2799118656228771E-2</v>
      </c>
      <c r="D233" s="277">
        <f>IF(SEEMoutput!G235&lt;6000,1,IF(SEEMoutput!G235&lt;7500,2,3))</f>
        <v>1</v>
      </c>
      <c r="E233" s="277" t="str">
        <f>IF(LEFT(SEEMoutput!BE235,1)="F","FUR",IF(LEFT(SEEMoutput!BE235,1)="D","DHP","HP"))</f>
        <v>HP</v>
      </c>
      <c r="F233" s="288">
        <f>SEEMoutput!E235</f>
        <v>439.51942100000002</v>
      </c>
      <c r="G233" s="289">
        <f>F233*(69-30)*SEEMoutput!N235/SEEMoutput!M235</f>
        <v>17380.168625860184</v>
      </c>
      <c r="H233" s="290">
        <f>'(Tons) (Furnsize)'!$F$52+'(Tons) (Furnsize)'!$F$53*'(Tons) (Furnsize)'!$B$15+'(Tons) (Furnsize)'!$F$54*G233</f>
        <v>2.0999609879151748</v>
      </c>
      <c r="I233" s="290">
        <f>H233/'(Tons) (Furnsize)'!$G$7</f>
        <v>1.7405670556882964</v>
      </c>
      <c r="J233" s="291">
        <f>F233*(69-VLOOKUP(D233,'(Tons) (Furnsize)'!$D$15:$E$17,2,FALSE))/3412</f>
        <v>6.698420249706917</v>
      </c>
      <c r="K233" s="292">
        <f>INDEX(Calibration!$A$4:$L$13,MATCH($D233&amp;$E233,Calibration!$A$4:$A$13,0),MATCH(K$4,Calibration!$A$4:$L$4,0))</f>
        <v>0.2</v>
      </c>
      <c r="L233" s="292">
        <f>INDEX(Calibration!$A$4:$L$13,MATCH($D233&amp;$E233,Calibration!$A$4:$A$13,0),MATCH(L$4,Calibration!$A$4:$L$4,0))</f>
        <v>1.3869915874526988</v>
      </c>
      <c r="M233" s="292">
        <f>INDEX(Calibration!$A$4:$L$13,MATCH($D233&amp;$E233,Calibration!$A$4:$A$13,0),MATCH(M$4,Calibration!$A$4:$L$4,0))</f>
        <v>-2.2641144651923684</v>
      </c>
      <c r="N233" s="292">
        <f>INDEX(Calibration!$A$4:$L$13,MATCH($D233&amp;$E233,Calibration!$A$4:$A$13,0),MATCH(N$4,Calibration!$A$4:$L$4,0))</f>
        <v>1.5001973107123172</v>
      </c>
      <c r="O233" s="292">
        <f>INDEX(Calibration!$A$4:$L$13,MATCH($D233&amp;$E233,Calibration!$A$4:$A$13,0),MATCH(O$4,Calibration!$A$4:$L$4,0))</f>
        <v>-4.5282289303847367</v>
      </c>
      <c r="P233" s="292">
        <f>INDEX(Calibration!$A$4:$L$13,MATCH($D233&amp;$E233,Calibration!$A$4:$A$13,0),MATCH(P$4,Calibration!$A$4:$L$4,0))</f>
        <v>1.6700058956017449</v>
      </c>
      <c r="Q233" s="292">
        <f>INDEX(Calibration!$A$4:$L$13,MATCH($D233&amp;$E233,Calibration!$A$4:$A$13,0),MATCH(Q$4,Calibration!$A$4:$L$4,0))</f>
        <v>0.7643601095247976</v>
      </c>
      <c r="R233" s="293">
        <f>IF(C233&lt;Calibration!$F$5,L233,IF(C233&lt;Calibration!$E$5,C233*M233+N233,IF(C233&lt;K233,C233*O233+P233,Q233)))</f>
        <v>1.2950725310922513</v>
      </c>
      <c r="S233" s="286">
        <f t="shared" si="6"/>
        <v>3464.4282574496247</v>
      </c>
      <c r="T233" s="293">
        <f>IF(E233="DHP",VLOOKUP(D233,Calibration!$C$20:$E$22,2,FALSE),IF(D233=1,Calibration!$D$17,Calibration!$D$18))</f>
        <v>0.82813167326562143</v>
      </c>
      <c r="U233" s="286">
        <f t="shared" si="7"/>
        <v>2869.0027697504588</v>
      </c>
      <c r="V233" s="286">
        <f>VLOOKUP(T233,Calibration!$D$17:$E$22,2,FALSE)*S233</f>
        <v>541.50017039452939</v>
      </c>
      <c r="W233" t="s">
        <v>764</v>
      </c>
      <c r="X233">
        <v>257.26333099999999</v>
      </c>
      <c r="Y233">
        <v>0</v>
      </c>
    </row>
    <row r="234" spans="1:25">
      <c r="A234" s="277" t="str">
        <f>SEEMoutput!A236</f>
        <v>WxHZ1CZ1_2688e_30gshp_des0</v>
      </c>
      <c r="B234" s="286">
        <f>SEEMoutput!O236</f>
        <v>2982.1874699999998</v>
      </c>
      <c r="C234" s="287">
        <v>9.1228273354360997E-2</v>
      </c>
      <c r="D234" s="277">
        <f>IF(SEEMoutput!G236&lt;6000,1,IF(SEEMoutput!G236&lt;7500,2,3))</f>
        <v>1</v>
      </c>
      <c r="E234" s="277" t="str">
        <f>IF(LEFT(SEEMoutput!BE236,1)="F","FUR",IF(LEFT(SEEMoutput!BE236,1)="D","DHP","HP"))</f>
        <v>HP</v>
      </c>
      <c r="F234" s="288">
        <f>SEEMoutput!E236</f>
        <v>473.94778300000002</v>
      </c>
      <c r="G234" s="289">
        <f>F234*(69-30)*SEEMoutput!N236/SEEMoutput!M236</f>
        <v>18776.13384899962</v>
      </c>
      <c r="H234" s="290">
        <f>'(Tons) (Furnsize)'!$F$52+'(Tons) (Furnsize)'!$F$53*'(Tons) (Furnsize)'!$B$15+'(Tons) (Furnsize)'!$F$54*G234</f>
        <v>2.2638618165192623</v>
      </c>
      <c r="I234" s="290">
        <f>H234/'(Tons) (Furnsize)'!$G$7</f>
        <v>1.876417380675292</v>
      </c>
      <c r="J234" s="291">
        <f>F234*(69-VLOOKUP(D234,'(Tons) (Furnsize)'!$D$15:$E$17,2,FALSE))/3412</f>
        <v>7.2231197878077378</v>
      </c>
      <c r="K234" s="292">
        <f>INDEX(Calibration!$A$4:$L$13,MATCH($D234&amp;$E234,Calibration!$A$4:$A$13,0),MATCH(K$4,Calibration!$A$4:$L$4,0))</f>
        <v>0.2</v>
      </c>
      <c r="L234" s="292">
        <f>INDEX(Calibration!$A$4:$L$13,MATCH($D234&amp;$E234,Calibration!$A$4:$A$13,0),MATCH(L$4,Calibration!$A$4:$L$4,0))</f>
        <v>1.3869915874526988</v>
      </c>
      <c r="M234" s="292">
        <f>INDEX(Calibration!$A$4:$L$13,MATCH($D234&amp;$E234,Calibration!$A$4:$A$13,0),MATCH(M$4,Calibration!$A$4:$L$4,0))</f>
        <v>-2.2641144651923684</v>
      </c>
      <c r="N234" s="292">
        <f>INDEX(Calibration!$A$4:$L$13,MATCH($D234&amp;$E234,Calibration!$A$4:$A$13,0),MATCH(N$4,Calibration!$A$4:$L$4,0))</f>
        <v>1.5001973107123172</v>
      </c>
      <c r="O234" s="292">
        <f>INDEX(Calibration!$A$4:$L$13,MATCH($D234&amp;$E234,Calibration!$A$4:$A$13,0),MATCH(O$4,Calibration!$A$4:$L$4,0))</f>
        <v>-4.5282289303847367</v>
      </c>
      <c r="P234" s="292">
        <f>INDEX(Calibration!$A$4:$L$13,MATCH($D234&amp;$E234,Calibration!$A$4:$A$13,0),MATCH(P$4,Calibration!$A$4:$L$4,0))</f>
        <v>1.6700058956017449</v>
      </c>
      <c r="Q234" s="292">
        <f>INDEX(Calibration!$A$4:$L$13,MATCH($D234&amp;$E234,Calibration!$A$4:$A$13,0),MATCH(Q$4,Calibration!$A$4:$L$4,0))</f>
        <v>0.7643601095247976</v>
      </c>
      <c r="R234" s="293">
        <f>IF(C234&lt;Calibration!$F$5,L234,IF(C234&lt;Calibration!$E$5,C234*M234+N234,IF(C234&lt;K234,C234*O234+P234,Q234)))</f>
        <v>1.2569033889294805</v>
      </c>
      <c r="S234" s="286">
        <f t="shared" si="6"/>
        <v>3748.3215374660331</v>
      </c>
      <c r="T234" s="293">
        <f>IF(E234="DHP",VLOOKUP(D234,Calibration!$C$20:$E$22,2,FALSE),IF(D234=1,Calibration!$D$17,Calibration!$D$18))</f>
        <v>0.82813167326562143</v>
      </c>
      <c r="U234" s="286">
        <f t="shared" si="7"/>
        <v>3104.1037867593127</v>
      </c>
      <c r="V234" s="286">
        <f>VLOOKUP(T234,Calibration!$D$17:$E$22,2,FALSE)*S234</f>
        <v>585.87351227920612</v>
      </c>
      <c r="W234" t="s">
        <v>764</v>
      </c>
      <c r="X234">
        <v>257.06304399999999</v>
      </c>
      <c r="Y234">
        <v>0</v>
      </c>
    </row>
    <row r="235" spans="1:25">
      <c r="A235" s="277" t="str">
        <f>SEEMoutput!A237</f>
        <v>NWHZ2CZ1_2688n_30gshp_des0</v>
      </c>
      <c r="B235" s="286">
        <f>SEEMoutput!O237</f>
        <v>3931.4440260000001</v>
      </c>
      <c r="C235" s="287">
        <v>8.5057265366549048E-2</v>
      </c>
      <c r="D235" s="277">
        <f>IF(SEEMoutput!G237&lt;6000,1,IF(SEEMoutput!G237&lt;7500,2,3))</f>
        <v>2</v>
      </c>
      <c r="E235" s="277" t="str">
        <f>IF(LEFT(SEEMoutput!BE237,1)="F","FUR",IF(LEFT(SEEMoutput!BE237,1)="D","DHP","HP"))</f>
        <v>HP</v>
      </c>
      <c r="F235" s="288">
        <f>SEEMoutput!E237</f>
        <v>445.52515899999997</v>
      </c>
      <c r="G235" s="289">
        <f>F235*(69-30)*SEEMoutput!N237/SEEMoutput!M237</f>
        <v>17635.390167722806</v>
      </c>
      <c r="H235" s="290">
        <f>'(Tons) (Furnsize)'!$F$52+'(Tons) (Furnsize)'!$F$53*'(Tons) (Furnsize)'!$B$15+'(Tons) (Furnsize)'!$F$54*G235</f>
        <v>2.1299266500215857</v>
      </c>
      <c r="I235" s="290">
        <f>H235/'(Tons) (Furnsize)'!$G$7</f>
        <v>1.7654043000773396</v>
      </c>
      <c r="J235" s="291">
        <f>F235*(69-VLOOKUP(D235,'(Tons) (Furnsize)'!$D$15:$E$17,2,FALSE))/3412</f>
        <v>9.00974090592028</v>
      </c>
      <c r="K235" s="292">
        <f>INDEX(Calibration!$A$4:$L$13,MATCH($D235&amp;$E235,Calibration!$A$4:$A$13,0),MATCH(K$4,Calibration!$A$4:$L$4,0))</f>
        <v>0.17499999999999999</v>
      </c>
      <c r="L235" s="292">
        <f>INDEX(Calibration!$A$4:$L$13,MATCH($D235&amp;$E235,Calibration!$A$4:$A$13,0),MATCH(L$4,Calibration!$A$4:$L$4,0))</f>
        <v>1.1965160377936901</v>
      </c>
      <c r="M235" s="292">
        <f>INDEX(Calibration!$A$4:$L$13,MATCH($D235&amp;$E235,Calibration!$A$4:$A$13,0),MATCH(M$4,Calibration!$A$4:$L$4,0))</f>
        <v>-2.050167690250368</v>
      </c>
      <c r="N235" s="292">
        <f>INDEX(Calibration!$A$4:$L$13,MATCH($D235&amp;$E235,Calibration!$A$4:$A$13,0),MATCH(N$4,Calibration!$A$4:$L$4,0))</f>
        <v>1.2990244223062084</v>
      </c>
      <c r="O235" s="292">
        <f>INDEX(Calibration!$A$4:$L$13,MATCH($D235&amp;$E235,Calibration!$A$4:$A$13,0),MATCH(O$4,Calibration!$A$4:$L$4,0))</f>
        <v>-4.1003353805007361</v>
      </c>
      <c r="P235" s="292">
        <f>INDEX(Calibration!$A$4:$L$13,MATCH($D235&amp;$E235,Calibration!$A$4:$A$13,0),MATCH(P$4,Calibration!$A$4:$L$4,0))</f>
        <v>1.452786999074986</v>
      </c>
      <c r="Q235" s="292">
        <f>INDEX(Calibration!$A$4:$L$13,MATCH($D235&amp;$E235,Calibration!$A$4:$A$13,0),MATCH(Q$4,Calibration!$A$4:$L$4,0))</f>
        <v>0.73522830748735724</v>
      </c>
      <c r="R235" s="293">
        <f>IF(C235&lt;Calibration!$F$5,L235,IF(C235&lt;Calibration!$E$5,C235*M235+N235,IF(C235&lt;K235,C235*O235+P235,Q235)))</f>
        <v>1.1040236845238849</v>
      </c>
      <c r="S235" s="286">
        <f t="shared" si="6"/>
        <v>4340.4073190839363</v>
      </c>
      <c r="T235" s="293">
        <f>IF(E235="DHP",VLOOKUP(D235,Calibration!$C$20:$E$22,2,FALSE),IF(D235=1,Calibration!$D$17,Calibration!$D$18))</f>
        <v>0.85917762533929642</v>
      </c>
      <c r="U235" s="286">
        <f t="shared" si="7"/>
        <v>3729.1808534158381</v>
      </c>
      <c r="V235" s="286">
        <f>VLOOKUP(T235,Calibration!$D$17:$E$22,2,FALSE)*S235</f>
        <v>536.33504827841796</v>
      </c>
      <c r="W235" t="s">
        <v>779</v>
      </c>
      <c r="X235">
        <v>257.26333099999999</v>
      </c>
      <c r="Y235">
        <v>0</v>
      </c>
    </row>
    <row r="236" spans="1:25">
      <c r="A236" s="277" t="str">
        <f>SEEMoutput!A238</f>
        <v>WxHZ2CZ1_2688e_30gshp_des0</v>
      </c>
      <c r="B236" s="286">
        <f>SEEMoutput!O238</f>
        <v>4339.7426930000001</v>
      </c>
      <c r="C236" s="287">
        <v>9.3495567395642132E-2</v>
      </c>
      <c r="D236" s="277">
        <f>IF(SEEMoutput!G238&lt;6000,1,IF(SEEMoutput!G238&lt;7500,2,3))</f>
        <v>2</v>
      </c>
      <c r="E236" s="277" t="str">
        <f>IF(LEFT(SEEMoutput!BE238,1)="F","FUR",IF(LEFT(SEEMoutput!BE238,1)="D","DHP","HP"))</f>
        <v>HP</v>
      </c>
      <c r="F236" s="288">
        <f>SEEMoutput!E238</f>
        <v>480.04144600000001</v>
      </c>
      <c r="G236" s="289">
        <f>F236*(69-30)*SEEMoutput!N238/SEEMoutput!M238</f>
        <v>19040.178950857327</v>
      </c>
      <c r="H236" s="290">
        <f>'(Tons) (Furnsize)'!$F$52+'(Tons) (Furnsize)'!$F$53*'(Tons) (Furnsize)'!$B$15+'(Tons) (Furnsize)'!$F$54*G236</f>
        <v>2.2948634562922083</v>
      </c>
      <c r="I236" s="290">
        <f>H236/'(Tons) (Furnsize)'!$G$7</f>
        <v>1.9021133022527101</v>
      </c>
      <c r="J236" s="291">
        <f>F236*(69-VLOOKUP(D236,'(Tons) (Furnsize)'!$D$15:$E$17,2,FALSE))/3412</f>
        <v>9.707754916178196</v>
      </c>
      <c r="K236" s="292">
        <f>INDEX(Calibration!$A$4:$L$13,MATCH($D236&amp;$E236,Calibration!$A$4:$A$13,0),MATCH(K$4,Calibration!$A$4:$L$4,0))</f>
        <v>0.17499999999999999</v>
      </c>
      <c r="L236" s="292">
        <f>INDEX(Calibration!$A$4:$L$13,MATCH($D236&amp;$E236,Calibration!$A$4:$A$13,0),MATCH(L$4,Calibration!$A$4:$L$4,0))</f>
        <v>1.1965160377936901</v>
      </c>
      <c r="M236" s="292">
        <f>INDEX(Calibration!$A$4:$L$13,MATCH($D236&amp;$E236,Calibration!$A$4:$A$13,0),MATCH(M$4,Calibration!$A$4:$L$4,0))</f>
        <v>-2.050167690250368</v>
      </c>
      <c r="N236" s="292">
        <f>INDEX(Calibration!$A$4:$L$13,MATCH($D236&amp;$E236,Calibration!$A$4:$A$13,0),MATCH(N$4,Calibration!$A$4:$L$4,0))</f>
        <v>1.2990244223062084</v>
      </c>
      <c r="O236" s="292">
        <f>INDEX(Calibration!$A$4:$L$13,MATCH($D236&amp;$E236,Calibration!$A$4:$A$13,0),MATCH(O$4,Calibration!$A$4:$L$4,0))</f>
        <v>-4.1003353805007361</v>
      </c>
      <c r="P236" s="292">
        <f>INDEX(Calibration!$A$4:$L$13,MATCH($D236&amp;$E236,Calibration!$A$4:$A$13,0),MATCH(P$4,Calibration!$A$4:$L$4,0))</f>
        <v>1.452786999074986</v>
      </c>
      <c r="Q236" s="292">
        <f>INDEX(Calibration!$A$4:$L$13,MATCH($D236&amp;$E236,Calibration!$A$4:$A$13,0),MATCH(Q$4,Calibration!$A$4:$L$4,0))</f>
        <v>0.73522830748735724</v>
      </c>
      <c r="R236" s="293">
        <f>IF(C236&lt;Calibration!$F$5,L236,IF(C236&lt;Calibration!$E$5,C236*M236+N236,IF(C236&lt;K236,C236*O236+P236,Q236)))</f>
        <v>1.0694238161626435</v>
      </c>
      <c r="S236" s="286">
        <f t="shared" si="6"/>
        <v>4641.0241919120072</v>
      </c>
      <c r="T236" s="293">
        <f>IF(E236="DHP",VLOOKUP(D236,Calibration!$C$20:$E$22,2,FALSE),IF(D236=1,Calibration!$D$17,Calibration!$D$18))</f>
        <v>0.85917762533929642</v>
      </c>
      <c r="U236" s="286">
        <f t="shared" si="7"/>
        <v>3987.4641443491855</v>
      </c>
      <c r="V236" s="286">
        <f>VLOOKUP(T236,Calibration!$D$17:$E$22,2,FALSE)*S236</f>
        <v>573.48164608564389</v>
      </c>
      <c r="W236" t="s">
        <v>779</v>
      </c>
      <c r="X236">
        <v>257.06304399999999</v>
      </c>
      <c r="Y236">
        <v>0</v>
      </c>
    </row>
    <row r="237" spans="1:25">
      <c r="A237" s="277" t="str">
        <f>SEEMoutput!A239</f>
        <v>NWHZ3CZ1_2688n_30gshp_des0</v>
      </c>
      <c r="B237" s="286">
        <f>SEEMoutput!O239</f>
        <v>4903.5312299999996</v>
      </c>
      <c r="C237" s="287">
        <v>8.4114504848399579E-2</v>
      </c>
      <c r="D237" s="277">
        <f>IF(SEEMoutput!G239&lt;6000,1,IF(SEEMoutput!G239&lt;7500,2,3))</f>
        <v>3</v>
      </c>
      <c r="E237" s="277" t="str">
        <f>IF(LEFT(SEEMoutput!BE239,1)="F","FUR",IF(LEFT(SEEMoutput!BE239,1)="D","DHP","HP"))</f>
        <v>HP</v>
      </c>
      <c r="F237" s="288">
        <f>SEEMoutput!E239</f>
        <v>438.56593900000001</v>
      </c>
      <c r="G237" s="289">
        <f>F237*(69-30)*SEEMoutput!N239/SEEMoutput!M239</f>
        <v>17360.866328901087</v>
      </c>
      <c r="H237" s="290">
        <f>'(Tons) (Furnsize)'!$F$52+'(Tons) (Furnsize)'!$F$53*'(Tons) (Furnsize)'!$B$15+'(Tons) (Furnsize)'!$F$54*G237</f>
        <v>2.097694697599974</v>
      </c>
      <c r="I237" s="290">
        <f>H237/'(Tons) (Furnsize)'!$G$7</f>
        <v>1.7386886254298466</v>
      </c>
      <c r="J237" s="291">
        <f>F237*(69-VLOOKUP(D237,'(Tons) (Furnsize)'!$D$15:$E$17,2,FALSE))/3412</f>
        <v>12.082414497655334</v>
      </c>
      <c r="K237" s="292">
        <f>INDEX(Calibration!$A$4:$L$13,MATCH($D237&amp;$E237,Calibration!$A$4:$A$13,0),MATCH(K$4,Calibration!$A$4:$L$4,0))</f>
        <v>0.15</v>
      </c>
      <c r="L237" s="292">
        <f>INDEX(Calibration!$A$4:$L$13,MATCH($D237&amp;$E237,Calibration!$A$4:$A$13,0),MATCH(L$4,Calibration!$A$4:$L$4,0))</f>
        <v>1.0259371368886356</v>
      </c>
      <c r="M237" s="292">
        <f>INDEX(Calibration!$A$4:$L$13,MATCH($D237&amp;$E237,Calibration!$A$4:$A$13,0),MATCH(M$4,Calibration!$A$4:$L$4,0))</f>
        <v>-1.8551508104013119</v>
      </c>
      <c r="N237" s="292">
        <f>INDEX(Calibration!$A$4:$L$13,MATCH($D237&amp;$E237,Calibration!$A$4:$A$13,0),MATCH(N$4,Calibration!$A$4:$L$4,0))</f>
        <v>1.1186946774087012</v>
      </c>
      <c r="O237" s="292">
        <f>INDEX(Calibration!$A$4:$L$13,MATCH($D237&amp;$E237,Calibration!$A$4:$A$13,0),MATCH(O$4,Calibration!$A$4:$L$4,0))</f>
        <v>-3.7103016208026238</v>
      </c>
      <c r="P237" s="292">
        <f>INDEX(Calibration!$A$4:$L$13,MATCH($D237&amp;$E237,Calibration!$A$4:$A$13,0),MATCH(P$4,Calibration!$A$4:$L$4,0))</f>
        <v>1.2578309881887995</v>
      </c>
      <c r="Q237" s="292">
        <f>INDEX(Calibration!$A$4:$L$13,MATCH($D237&amp;$E237,Calibration!$A$4:$A$13,0),MATCH(Q$4,Calibration!$A$4:$L$4,0))</f>
        <v>0.7012857450684058</v>
      </c>
      <c r="R237" s="293">
        <f>IF(C237&lt;Calibration!$F$5,L237,IF(C237&lt;Calibration!$E$5,C237*M237+N237,IF(C237&lt;K237,C237*O237+P237,Q237)))</f>
        <v>0.94574080451677234</v>
      </c>
      <c r="S237" s="286">
        <f t="shared" si="6"/>
        <v>4637.469570433318</v>
      </c>
      <c r="T237" s="293">
        <f>IF(E237="DHP",VLOOKUP(D237,Calibration!$C$20:$E$22,2,FALSE),IF(D237=1,Calibration!$D$17,Calibration!$D$18))</f>
        <v>0.85917762533929642</v>
      </c>
      <c r="U237" s="286">
        <f t="shared" si="7"/>
        <v>3984.4100931081452</v>
      </c>
      <c r="V237" s="286">
        <f>VLOOKUP(T237,Calibration!$D$17:$E$22,2,FALSE)*S237</f>
        <v>573.04240894907332</v>
      </c>
      <c r="W237" t="s">
        <v>794</v>
      </c>
      <c r="X237">
        <v>257.26333099999999</v>
      </c>
      <c r="Y237">
        <v>0</v>
      </c>
    </row>
    <row r="238" spans="1:25">
      <c r="A238" s="277" t="str">
        <f>SEEMoutput!A240</f>
        <v>WxHZ3CZ1_2688e_30gshp_des0</v>
      </c>
      <c r="B238" s="286">
        <f>SEEMoutput!O240</f>
        <v>5405.1262020000004</v>
      </c>
      <c r="C238" s="287">
        <v>9.2430818071798718E-2</v>
      </c>
      <c r="D238" s="277">
        <f>IF(SEEMoutput!G240&lt;6000,1,IF(SEEMoutput!G240&lt;7500,2,3))</f>
        <v>3</v>
      </c>
      <c r="E238" s="277" t="str">
        <f>IF(LEFT(SEEMoutput!BE240,1)="F","FUR",IF(LEFT(SEEMoutput!BE240,1)="D","DHP","HP"))</f>
        <v>HP</v>
      </c>
      <c r="F238" s="288">
        <f>SEEMoutput!E240</f>
        <v>472.47578900000002</v>
      </c>
      <c r="G238" s="289">
        <f>F238*(69-30)*SEEMoutput!N240/SEEMoutput!M240</f>
        <v>18741.572590601463</v>
      </c>
      <c r="H238" s="290">
        <f>'(Tons) (Furnsize)'!$F$52+'(Tons) (Furnsize)'!$F$53*'(Tons) (Furnsize)'!$B$15+'(Tons) (Furnsize)'!$F$54*G238</f>
        <v>2.2598039655103963</v>
      </c>
      <c r="I238" s="290">
        <f>H238/'(Tons) (Furnsize)'!$G$7</f>
        <v>1.8730540030584841</v>
      </c>
      <c r="J238" s="291">
        <f>F238*(69-VLOOKUP(D238,'(Tons) (Furnsize)'!$D$15:$E$17,2,FALSE))/3412</f>
        <v>13.0166249021102</v>
      </c>
      <c r="K238" s="292">
        <f>INDEX(Calibration!$A$4:$L$13,MATCH($D238&amp;$E238,Calibration!$A$4:$A$13,0),MATCH(K$4,Calibration!$A$4:$L$4,0))</f>
        <v>0.15</v>
      </c>
      <c r="L238" s="292">
        <f>INDEX(Calibration!$A$4:$L$13,MATCH($D238&amp;$E238,Calibration!$A$4:$A$13,0),MATCH(L$4,Calibration!$A$4:$L$4,0))</f>
        <v>1.0259371368886356</v>
      </c>
      <c r="M238" s="292">
        <f>INDEX(Calibration!$A$4:$L$13,MATCH($D238&amp;$E238,Calibration!$A$4:$A$13,0),MATCH(M$4,Calibration!$A$4:$L$4,0))</f>
        <v>-1.8551508104013119</v>
      </c>
      <c r="N238" s="292">
        <f>INDEX(Calibration!$A$4:$L$13,MATCH($D238&amp;$E238,Calibration!$A$4:$A$13,0),MATCH(N$4,Calibration!$A$4:$L$4,0))</f>
        <v>1.1186946774087012</v>
      </c>
      <c r="O238" s="292">
        <f>INDEX(Calibration!$A$4:$L$13,MATCH($D238&amp;$E238,Calibration!$A$4:$A$13,0),MATCH(O$4,Calibration!$A$4:$L$4,0))</f>
        <v>-3.7103016208026238</v>
      </c>
      <c r="P238" s="292">
        <f>INDEX(Calibration!$A$4:$L$13,MATCH($D238&amp;$E238,Calibration!$A$4:$A$13,0),MATCH(P$4,Calibration!$A$4:$L$4,0))</f>
        <v>1.2578309881887995</v>
      </c>
      <c r="Q238" s="292">
        <f>INDEX(Calibration!$A$4:$L$13,MATCH($D238&amp;$E238,Calibration!$A$4:$A$13,0),MATCH(Q$4,Calibration!$A$4:$L$4,0))</f>
        <v>0.7012857450684058</v>
      </c>
      <c r="R238" s="293">
        <f>IF(C238&lt;Calibration!$F$5,L238,IF(C238&lt;Calibration!$E$5,C238*M238+N238,IF(C238&lt;K238,C238*O238+P238,Q238)))</f>
        <v>0.91488477408489222</v>
      </c>
      <c r="S238" s="286">
        <f t="shared" si="6"/>
        <v>4945.067664217102</v>
      </c>
      <c r="T238" s="293">
        <f>IF(E238="DHP",VLOOKUP(D238,Calibration!$C$20:$E$22,2,FALSE),IF(D238=1,Calibration!$D$17,Calibration!$D$18))</f>
        <v>0.85917762533929642</v>
      </c>
      <c r="U238" s="286">
        <f t="shared" si="7"/>
        <v>4248.6914928841907</v>
      </c>
      <c r="V238" s="286">
        <f>VLOOKUP(T238,Calibration!$D$17:$E$22,2,FALSE)*S238</f>
        <v>611.05166161863474</v>
      </c>
      <c r="W238" t="s">
        <v>794</v>
      </c>
      <c r="X238">
        <v>257.06304399999999</v>
      </c>
      <c r="Y238">
        <v>0</v>
      </c>
    </row>
    <row r="239" spans="1:25">
      <c r="A239" s="277" t="str">
        <f>SEEMoutput!A241</f>
        <v>NWHZ1CZ1_5000n_30gshp_des0</v>
      </c>
      <c r="B239" s="286">
        <f>SEEMoutput!O241</f>
        <v>5764.8870020000004</v>
      </c>
      <c r="C239" s="287">
        <v>9.7570013482757678E-2</v>
      </c>
      <c r="D239" s="277">
        <f>IF(SEEMoutput!G241&lt;6000,1,IF(SEEMoutput!G241&lt;7500,2,3))</f>
        <v>1</v>
      </c>
      <c r="E239" s="277" t="str">
        <f>IF(LEFT(SEEMoutput!BE241,1)="F","FUR",IF(LEFT(SEEMoutput!BE241,1)="D","DHP","HP"))</f>
        <v>HP</v>
      </c>
      <c r="F239" s="288">
        <f>SEEMoutput!E241</f>
        <v>763.65734999999995</v>
      </c>
      <c r="G239" s="289">
        <f>F239*(69-30)*SEEMoutput!N241/SEEMoutput!M241</f>
        <v>30890.226379232703</v>
      </c>
      <c r="H239" s="290">
        <f>'(Tons) (Furnsize)'!$F$52+'(Tons) (Furnsize)'!$F$53*'(Tons) (Furnsize)'!$B$15+'(Tons) (Furnsize)'!$F$54*G239</f>
        <v>3.6861822085892766</v>
      </c>
      <c r="I239" s="290">
        <f>H239/'(Tons) (Furnsize)'!$G$7</f>
        <v>3.0553173846837134</v>
      </c>
      <c r="J239" s="291">
        <f>F239*(69-VLOOKUP(D239,'(Tons) (Furnsize)'!$D$15:$E$17,2,FALSE))/3412</f>
        <v>11.638388686987103</v>
      </c>
      <c r="K239" s="292">
        <f>INDEX(Calibration!$A$4:$L$13,MATCH($D239&amp;$E239,Calibration!$A$4:$A$13,0),MATCH(K$4,Calibration!$A$4:$L$4,0))</f>
        <v>0.2</v>
      </c>
      <c r="L239" s="292">
        <f>INDEX(Calibration!$A$4:$L$13,MATCH($D239&amp;$E239,Calibration!$A$4:$A$13,0),MATCH(L$4,Calibration!$A$4:$L$4,0))</f>
        <v>1.3869915874526988</v>
      </c>
      <c r="M239" s="292">
        <f>INDEX(Calibration!$A$4:$L$13,MATCH($D239&amp;$E239,Calibration!$A$4:$A$13,0),MATCH(M$4,Calibration!$A$4:$L$4,0))</f>
        <v>-2.2641144651923684</v>
      </c>
      <c r="N239" s="292">
        <f>INDEX(Calibration!$A$4:$L$13,MATCH($D239&amp;$E239,Calibration!$A$4:$A$13,0),MATCH(N$4,Calibration!$A$4:$L$4,0))</f>
        <v>1.5001973107123172</v>
      </c>
      <c r="O239" s="292">
        <f>INDEX(Calibration!$A$4:$L$13,MATCH($D239&amp;$E239,Calibration!$A$4:$A$13,0),MATCH(O$4,Calibration!$A$4:$L$4,0))</f>
        <v>-4.5282289303847367</v>
      </c>
      <c r="P239" s="292">
        <f>INDEX(Calibration!$A$4:$L$13,MATCH($D239&amp;$E239,Calibration!$A$4:$A$13,0),MATCH(P$4,Calibration!$A$4:$L$4,0))</f>
        <v>1.6700058956017449</v>
      </c>
      <c r="Q239" s="292">
        <f>INDEX(Calibration!$A$4:$L$13,MATCH($D239&amp;$E239,Calibration!$A$4:$A$13,0),MATCH(Q$4,Calibration!$A$4:$L$4,0))</f>
        <v>0.7643601095247976</v>
      </c>
      <c r="R239" s="293">
        <f>IF(C239&lt;Calibration!$F$5,L239,IF(C239&lt;Calibration!$E$5,C239*M239+N239,IF(C239&lt;K239,C239*O239+P239,Q239)))</f>
        <v>1.2281865378110928</v>
      </c>
      <c r="S239" s="286">
        <f t="shared" si="6"/>
        <v>7080.3566078585509</v>
      </c>
      <c r="T239" s="293">
        <f>IF(E239="DHP",VLOOKUP(D239,Calibration!$C$20:$E$22,2,FALSE),IF(D239=1,Calibration!$D$17,Calibration!$D$18))</f>
        <v>0.82813167326562143</v>
      </c>
      <c r="U239" s="286">
        <f t="shared" si="7"/>
        <v>5863.4675649832016</v>
      </c>
      <c r="V239" s="286">
        <f>VLOOKUP(T239,Calibration!$D$17:$E$22,2,FALSE)*S239</f>
        <v>1106.6802440965794</v>
      </c>
      <c r="W239" t="s">
        <v>764</v>
      </c>
      <c r="X239">
        <v>430.17884299999997</v>
      </c>
      <c r="Y239">
        <v>0</v>
      </c>
    </row>
    <row r="240" spans="1:25">
      <c r="A240" s="277" t="str">
        <f>SEEMoutput!A242</f>
        <v>WxHZ1CZ1_5000e_30gshp_des0</v>
      </c>
      <c r="B240" s="286">
        <f>SEEMoutput!O242</f>
        <v>6454.0501610000001</v>
      </c>
      <c r="C240" s="287">
        <v>0.10804503847039486</v>
      </c>
      <c r="D240" s="277">
        <f>IF(SEEMoutput!G242&lt;6000,1,IF(SEEMoutput!G242&lt;7500,2,3))</f>
        <v>1</v>
      </c>
      <c r="E240" s="277" t="str">
        <f>IF(LEFT(SEEMoutput!BE242,1)="F","FUR",IF(LEFT(SEEMoutput!BE242,1)="D","DHP","HP"))</f>
        <v>HP</v>
      </c>
      <c r="F240" s="288">
        <f>SEEMoutput!E242</f>
        <v>826.43093799999997</v>
      </c>
      <c r="G240" s="289">
        <f>F240*(69-30)*SEEMoutput!N242/SEEMoutput!M242</f>
        <v>33446.218849932142</v>
      </c>
      <c r="H240" s="290">
        <f>'(Tons) (Furnsize)'!$F$52+'(Tons) (Furnsize)'!$F$53*'(Tons) (Furnsize)'!$B$15+'(Tons) (Furnsize)'!$F$54*G240</f>
        <v>3.9862822948301799</v>
      </c>
      <c r="I240" s="290">
        <f>H240/'(Tons) (Furnsize)'!$G$7</f>
        <v>3.3040573977249617</v>
      </c>
      <c r="J240" s="291">
        <f>F240*(69-VLOOKUP(D240,'(Tons) (Furnsize)'!$D$15:$E$17,2,FALSE))/3412</f>
        <v>12.595078773739742</v>
      </c>
      <c r="K240" s="292">
        <f>INDEX(Calibration!$A$4:$L$13,MATCH($D240&amp;$E240,Calibration!$A$4:$A$13,0),MATCH(K$4,Calibration!$A$4:$L$4,0))</f>
        <v>0.2</v>
      </c>
      <c r="L240" s="292">
        <f>INDEX(Calibration!$A$4:$L$13,MATCH($D240&amp;$E240,Calibration!$A$4:$A$13,0),MATCH(L$4,Calibration!$A$4:$L$4,0))</f>
        <v>1.3869915874526988</v>
      </c>
      <c r="M240" s="292">
        <f>INDEX(Calibration!$A$4:$L$13,MATCH($D240&amp;$E240,Calibration!$A$4:$A$13,0),MATCH(M$4,Calibration!$A$4:$L$4,0))</f>
        <v>-2.2641144651923684</v>
      </c>
      <c r="N240" s="292">
        <f>INDEX(Calibration!$A$4:$L$13,MATCH($D240&amp;$E240,Calibration!$A$4:$A$13,0),MATCH(N$4,Calibration!$A$4:$L$4,0))</f>
        <v>1.5001973107123172</v>
      </c>
      <c r="O240" s="292">
        <f>INDEX(Calibration!$A$4:$L$13,MATCH($D240&amp;$E240,Calibration!$A$4:$A$13,0),MATCH(O$4,Calibration!$A$4:$L$4,0))</f>
        <v>-4.5282289303847367</v>
      </c>
      <c r="P240" s="292">
        <f>INDEX(Calibration!$A$4:$L$13,MATCH($D240&amp;$E240,Calibration!$A$4:$A$13,0),MATCH(P$4,Calibration!$A$4:$L$4,0))</f>
        <v>1.6700058956017449</v>
      </c>
      <c r="Q240" s="292">
        <f>INDEX(Calibration!$A$4:$L$13,MATCH($D240&amp;$E240,Calibration!$A$4:$A$13,0),MATCH(Q$4,Calibration!$A$4:$L$4,0))</f>
        <v>0.7643601095247976</v>
      </c>
      <c r="R240" s="293">
        <f>IF(C240&lt;Calibration!$F$5,L240,IF(C240&lt;Calibration!$E$5,C240*M240+N240,IF(C240&lt;K240,C240*O240+P240,Q240)))</f>
        <v>1.1807532266155711</v>
      </c>
      <c r="S240" s="286">
        <f t="shared" si="6"/>
        <v>7620.6405523394969</v>
      </c>
      <c r="T240" s="293">
        <f>IF(E240="DHP",VLOOKUP(D240,Calibration!$C$20:$E$22,2,FALSE),IF(D240=1,Calibration!$D$17,Calibration!$D$18))</f>
        <v>0.82813167326562143</v>
      </c>
      <c r="U240" s="286">
        <f t="shared" si="7"/>
        <v>6310.8938119647573</v>
      </c>
      <c r="V240" s="286">
        <f>VLOOKUP(T240,Calibration!$D$17:$E$22,2,FALSE)*S240</f>
        <v>1191.1281894014808</v>
      </c>
      <c r="W240" t="s">
        <v>764</v>
      </c>
      <c r="X240">
        <v>436.19147199999998</v>
      </c>
      <c r="Y240">
        <v>0</v>
      </c>
    </row>
    <row r="241" spans="1:25">
      <c r="A241" s="277" t="str">
        <f>SEEMoutput!A243</f>
        <v>NWHZ2CZ1_5000n_30gshp_des0</v>
      </c>
      <c r="B241" s="286">
        <f>SEEMoutput!O243</f>
        <v>9058.8698480000003</v>
      </c>
      <c r="C241" s="287">
        <v>0.10132396299032434</v>
      </c>
      <c r="D241" s="277">
        <f>IF(SEEMoutput!G243&lt;6000,1,IF(SEEMoutput!G243&lt;7500,2,3))</f>
        <v>2</v>
      </c>
      <c r="E241" s="277" t="str">
        <f>IF(LEFT(SEEMoutput!BE243,1)="F","FUR",IF(LEFT(SEEMoutput!BE243,1)="D","DHP","HP"))</f>
        <v>HP</v>
      </c>
      <c r="F241" s="288">
        <f>SEEMoutput!E243</f>
        <v>780.27579200000002</v>
      </c>
      <c r="G241" s="289">
        <f>F241*(69-30)*SEEMoutput!N243/SEEMoutput!M243</f>
        <v>31546.051116473249</v>
      </c>
      <c r="H241" s="290">
        <f>'(Tons) (Furnsize)'!$F$52+'(Tons) (Furnsize)'!$F$53*'(Tons) (Furnsize)'!$B$15+'(Tons) (Furnsize)'!$F$54*G241</f>
        <v>3.7631828502034317</v>
      </c>
      <c r="I241" s="290">
        <f>H241/'(Tons) (Furnsize)'!$G$7</f>
        <v>3.1191398941644817</v>
      </c>
      <c r="J241" s="291">
        <f>F241*(69-VLOOKUP(D241,'(Tons) (Furnsize)'!$D$15:$E$17,2,FALSE))/3412</f>
        <v>15.779317012895664</v>
      </c>
      <c r="K241" s="292">
        <f>INDEX(Calibration!$A$4:$L$13,MATCH($D241&amp;$E241,Calibration!$A$4:$A$13,0),MATCH(K$4,Calibration!$A$4:$L$4,0))</f>
        <v>0.17499999999999999</v>
      </c>
      <c r="L241" s="292">
        <f>INDEX(Calibration!$A$4:$L$13,MATCH($D241&amp;$E241,Calibration!$A$4:$A$13,0),MATCH(L$4,Calibration!$A$4:$L$4,0))</f>
        <v>1.1965160377936901</v>
      </c>
      <c r="M241" s="292">
        <f>INDEX(Calibration!$A$4:$L$13,MATCH($D241&amp;$E241,Calibration!$A$4:$A$13,0),MATCH(M$4,Calibration!$A$4:$L$4,0))</f>
        <v>-2.050167690250368</v>
      </c>
      <c r="N241" s="292">
        <f>INDEX(Calibration!$A$4:$L$13,MATCH($D241&amp;$E241,Calibration!$A$4:$A$13,0),MATCH(N$4,Calibration!$A$4:$L$4,0))</f>
        <v>1.2990244223062084</v>
      </c>
      <c r="O241" s="292">
        <f>INDEX(Calibration!$A$4:$L$13,MATCH($D241&amp;$E241,Calibration!$A$4:$A$13,0),MATCH(O$4,Calibration!$A$4:$L$4,0))</f>
        <v>-4.1003353805007361</v>
      </c>
      <c r="P241" s="292">
        <f>INDEX(Calibration!$A$4:$L$13,MATCH($D241&amp;$E241,Calibration!$A$4:$A$13,0),MATCH(P$4,Calibration!$A$4:$L$4,0))</f>
        <v>1.452786999074986</v>
      </c>
      <c r="Q241" s="292">
        <f>INDEX(Calibration!$A$4:$L$13,MATCH($D241&amp;$E241,Calibration!$A$4:$A$13,0),MATCH(Q$4,Calibration!$A$4:$L$4,0))</f>
        <v>0.73522830748735724</v>
      </c>
      <c r="R241" s="293">
        <f>IF(C241&lt;Calibration!$F$5,L241,IF(C241&lt;Calibration!$E$5,C241*M241+N241,IF(C241&lt;K241,C241*O241+P241,Q241)))</f>
        <v>1.0373247687332119</v>
      </c>
      <c r="S241" s="286">
        <f t="shared" si="6"/>
        <v>9396.9900700608669</v>
      </c>
      <c r="T241" s="293">
        <f>IF(E241="DHP",VLOOKUP(D241,Calibration!$C$20:$E$22,2,FALSE),IF(D241=1,Calibration!$D$17,Calibration!$D$18))</f>
        <v>0.85917762533929642</v>
      </c>
      <c r="U241" s="286">
        <f t="shared" si="7"/>
        <v>8073.6836137318442</v>
      </c>
      <c r="V241" s="286">
        <f>VLOOKUP(T241,Calibration!$D$17:$E$22,2,FALSE)*S241</f>
        <v>1161.1663957754113</v>
      </c>
      <c r="W241" t="s">
        <v>779</v>
      </c>
      <c r="X241">
        <v>430.17884299999997</v>
      </c>
      <c r="Y241">
        <v>0</v>
      </c>
    </row>
    <row r="242" spans="1:25">
      <c r="A242" s="277" t="str">
        <f>SEEMoutput!A244</f>
        <v>WxHZ2CZ1_5000e_30gshp_des0</v>
      </c>
      <c r="B242" s="286">
        <f>SEEMoutput!O244</f>
        <v>10202.305044000001</v>
      </c>
      <c r="C242" s="287">
        <v>0.11185334404329901</v>
      </c>
      <c r="D242" s="277">
        <f>IF(SEEMoutput!G244&lt;6000,1,IF(SEEMoutput!G244&lt;7500,2,3))</f>
        <v>2</v>
      </c>
      <c r="E242" s="277" t="str">
        <f>IF(LEFT(SEEMoutput!BE244,1)="F","FUR",IF(LEFT(SEEMoutput!BE244,1)="D","DHP","HP"))</f>
        <v>HP</v>
      </c>
      <c r="F242" s="288">
        <f>SEEMoutput!E244</f>
        <v>843.62888099999998</v>
      </c>
      <c r="G242" s="289">
        <f>F242*(69-30)*SEEMoutput!N244/SEEMoutput!M244</f>
        <v>34121.650816183312</v>
      </c>
      <c r="H242" s="290">
        <f>'(Tons) (Furnsize)'!$F$52+'(Tons) (Furnsize)'!$F$53*'(Tons) (Furnsize)'!$B$15+'(Tons) (Furnsize)'!$F$54*G242</f>
        <v>4.0655850289522295</v>
      </c>
      <c r="I242" s="290">
        <f>H242/'(Tons) (Furnsize)'!$G$7</f>
        <v>3.3697880123569433</v>
      </c>
      <c r="J242" s="291">
        <f>F242*(69-VLOOKUP(D242,'(Tons) (Furnsize)'!$D$15:$E$17,2,FALSE))/3412</f>
        <v>17.060490266412661</v>
      </c>
      <c r="K242" s="292">
        <f>INDEX(Calibration!$A$4:$L$13,MATCH($D242&amp;$E242,Calibration!$A$4:$A$13,0),MATCH(K$4,Calibration!$A$4:$L$4,0))</f>
        <v>0.17499999999999999</v>
      </c>
      <c r="L242" s="292">
        <f>INDEX(Calibration!$A$4:$L$13,MATCH($D242&amp;$E242,Calibration!$A$4:$A$13,0),MATCH(L$4,Calibration!$A$4:$L$4,0))</f>
        <v>1.1965160377936901</v>
      </c>
      <c r="M242" s="292">
        <f>INDEX(Calibration!$A$4:$L$13,MATCH($D242&amp;$E242,Calibration!$A$4:$A$13,0),MATCH(M$4,Calibration!$A$4:$L$4,0))</f>
        <v>-2.050167690250368</v>
      </c>
      <c r="N242" s="292">
        <f>INDEX(Calibration!$A$4:$L$13,MATCH($D242&amp;$E242,Calibration!$A$4:$A$13,0),MATCH(N$4,Calibration!$A$4:$L$4,0))</f>
        <v>1.2990244223062084</v>
      </c>
      <c r="O242" s="292">
        <f>INDEX(Calibration!$A$4:$L$13,MATCH($D242&amp;$E242,Calibration!$A$4:$A$13,0),MATCH(O$4,Calibration!$A$4:$L$4,0))</f>
        <v>-4.1003353805007361</v>
      </c>
      <c r="P242" s="292">
        <f>INDEX(Calibration!$A$4:$L$13,MATCH($D242&amp;$E242,Calibration!$A$4:$A$13,0),MATCH(P$4,Calibration!$A$4:$L$4,0))</f>
        <v>1.452786999074986</v>
      </c>
      <c r="Q242" s="292">
        <f>INDEX(Calibration!$A$4:$L$13,MATCH($D242&amp;$E242,Calibration!$A$4:$A$13,0),MATCH(Q$4,Calibration!$A$4:$L$4,0))</f>
        <v>0.73522830748735724</v>
      </c>
      <c r="R242" s="293">
        <f>IF(C242&lt;Calibration!$F$5,L242,IF(C242&lt;Calibration!$E$5,C242*M242+N242,IF(C242&lt;K242,C242*O242+P242,Q242)))</f>
        <v>0.99415077506692584</v>
      </c>
      <c r="S242" s="286">
        <f t="shared" si="6"/>
        <v>10142.629466961807</v>
      </c>
      <c r="T242" s="293">
        <f>IF(E242="DHP",VLOOKUP(D242,Calibration!$C$20:$E$22,2,FALSE),IF(D242=1,Calibration!$D$17,Calibration!$D$18))</f>
        <v>0.85917762533929642</v>
      </c>
      <c r="U242" s="286">
        <f t="shared" si="7"/>
        <v>8714.3203001206202</v>
      </c>
      <c r="V242" s="286">
        <f>VLOOKUP(T242,Calibration!$D$17:$E$22,2,FALSE)*S242</f>
        <v>1253.3034954841914</v>
      </c>
      <c r="W242" t="s">
        <v>779</v>
      </c>
      <c r="X242">
        <v>436.19147199999998</v>
      </c>
      <c r="Y242">
        <v>0</v>
      </c>
    </row>
    <row r="243" spans="1:25">
      <c r="A243" s="277" t="str">
        <f>SEEMoutput!A245</f>
        <v>NWHZ3CZ1_5000n_30gshp_des0</v>
      </c>
      <c r="B243" s="286">
        <f>SEEMoutput!O245</f>
        <v>12017.814322</v>
      </c>
      <c r="C243" s="287">
        <v>0.10051902508496761</v>
      </c>
      <c r="D243" s="277">
        <f>IF(SEEMoutput!G245&lt;6000,1,IF(SEEMoutput!G245&lt;7500,2,3))</f>
        <v>3</v>
      </c>
      <c r="E243" s="277" t="str">
        <f>IF(LEFT(SEEMoutput!BE245,1)="F","FUR",IF(LEFT(SEEMoutput!BE245,1)="D","DHP","HP"))</f>
        <v>HP</v>
      </c>
      <c r="F243" s="288">
        <f>SEEMoutput!E245</f>
        <v>769.46818199999996</v>
      </c>
      <c r="G243" s="289">
        <f>F243*(69-30)*SEEMoutput!N245/SEEMoutput!M245</f>
        <v>31042.015492156661</v>
      </c>
      <c r="H243" s="290">
        <f>'(Tons) (Furnsize)'!$F$52+'(Tons) (Furnsize)'!$F$53*'(Tons) (Furnsize)'!$B$15+'(Tons) (Furnsize)'!$F$54*G243</f>
        <v>3.7040038283323291</v>
      </c>
      <c r="I243" s="290">
        <f>H243/'(Tons) (Furnsize)'!$G$7</f>
        <v>3.0700889563377931</v>
      </c>
      <c r="J243" s="291">
        <f>F243*(69-VLOOKUP(D243,'(Tons) (Furnsize)'!$D$15:$E$17,2,FALSE))/3412</f>
        <v>21.1987131031653</v>
      </c>
      <c r="K243" s="292">
        <f>INDEX(Calibration!$A$4:$L$13,MATCH($D243&amp;$E243,Calibration!$A$4:$A$13,0),MATCH(K$4,Calibration!$A$4:$L$4,0))</f>
        <v>0.15</v>
      </c>
      <c r="L243" s="292">
        <f>INDEX(Calibration!$A$4:$L$13,MATCH($D243&amp;$E243,Calibration!$A$4:$A$13,0),MATCH(L$4,Calibration!$A$4:$L$4,0))</f>
        <v>1.0259371368886356</v>
      </c>
      <c r="M243" s="292">
        <f>INDEX(Calibration!$A$4:$L$13,MATCH($D243&amp;$E243,Calibration!$A$4:$A$13,0),MATCH(M$4,Calibration!$A$4:$L$4,0))</f>
        <v>-1.8551508104013119</v>
      </c>
      <c r="N243" s="292">
        <f>INDEX(Calibration!$A$4:$L$13,MATCH($D243&amp;$E243,Calibration!$A$4:$A$13,0),MATCH(N$4,Calibration!$A$4:$L$4,0))</f>
        <v>1.1186946774087012</v>
      </c>
      <c r="O243" s="292">
        <f>INDEX(Calibration!$A$4:$L$13,MATCH($D243&amp;$E243,Calibration!$A$4:$A$13,0),MATCH(O$4,Calibration!$A$4:$L$4,0))</f>
        <v>-3.7103016208026238</v>
      </c>
      <c r="P243" s="292">
        <f>INDEX(Calibration!$A$4:$L$13,MATCH($D243&amp;$E243,Calibration!$A$4:$A$13,0),MATCH(P$4,Calibration!$A$4:$L$4,0))</f>
        <v>1.2578309881887995</v>
      </c>
      <c r="Q243" s="292">
        <f>INDEX(Calibration!$A$4:$L$13,MATCH($D243&amp;$E243,Calibration!$A$4:$A$13,0),MATCH(Q$4,Calibration!$A$4:$L$4,0))</f>
        <v>0.7012857450684058</v>
      </c>
      <c r="R243" s="293">
        <f>IF(C243&lt;Calibration!$F$5,L243,IF(C243&lt;Calibration!$E$5,C243*M243+N243,IF(C243&lt;K243,C243*O243+P243,Q243)))</f>
        <v>0.88487508649454449</v>
      </c>
      <c r="S243" s="286">
        <f t="shared" si="6"/>
        <v>10634.264487655126</v>
      </c>
      <c r="T243" s="293">
        <f>IF(E243="DHP",VLOOKUP(D243,Calibration!$C$20:$E$22,2,FALSE),IF(D243=1,Calibration!$D$17,Calibration!$D$18))</f>
        <v>0.85917762533929642</v>
      </c>
      <c r="U243" s="286">
        <f t="shared" si="7"/>
        <v>9136.7221097335405</v>
      </c>
      <c r="V243" s="286">
        <f>VLOOKUP(T243,Calibration!$D$17:$E$22,2,FALSE)*S243</f>
        <v>1314.0538060367419</v>
      </c>
      <c r="W243" t="s">
        <v>794</v>
      </c>
      <c r="X243">
        <v>430.17884299999997</v>
      </c>
      <c r="Y243">
        <v>0</v>
      </c>
    </row>
    <row r="244" spans="1:25">
      <c r="A244" s="277" t="str">
        <f>SEEMoutput!A246</f>
        <v>WxHZ3CZ1_5000e_30gshp_des0</v>
      </c>
      <c r="B244" s="286">
        <f>SEEMoutput!O246</f>
        <v>13640.670157</v>
      </c>
      <c r="C244" s="287">
        <v>0.11082716741586686</v>
      </c>
      <c r="D244" s="277">
        <f>IF(SEEMoutput!G246&lt;6000,1,IF(SEEMoutput!G246&lt;7500,2,3))</f>
        <v>3</v>
      </c>
      <c r="E244" s="277" t="str">
        <f>IF(LEFT(SEEMoutput!BE246,1)="F","FUR",IF(LEFT(SEEMoutput!BE246,1)="D","DHP","HP"))</f>
        <v>HP</v>
      </c>
      <c r="F244" s="288">
        <f>SEEMoutput!E246</f>
        <v>831.20301400000005</v>
      </c>
      <c r="G244" s="289">
        <f>F244*(69-30)*SEEMoutput!N246/SEEMoutput!M246</f>
        <v>33542.510459143545</v>
      </c>
      <c r="H244" s="290">
        <f>'(Tons) (Furnsize)'!$F$52+'(Tons) (Furnsize)'!$F$53*'(Tons) (Furnsize)'!$B$15+'(Tons) (Furnsize)'!$F$54*G244</f>
        <v>3.9975879307269517</v>
      </c>
      <c r="I244" s="290">
        <f>H244/'(Tons) (Furnsize)'!$G$7</f>
        <v>3.3134281515145663</v>
      </c>
      <c r="J244" s="291">
        <f>F244*(69-VLOOKUP(D244,'(Tons) (Furnsize)'!$D$15:$E$17,2,FALSE))/3412</f>
        <v>22.899496868698712</v>
      </c>
      <c r="K244" s="292">
        <f>INDEX(Calibration!$A$4:$L$13,MATCH($D244&amp;$E244,Calibration!$A$4:$A$13,0),MATCH(K$4,Calibration!$A$4:$L$4,0))</f>
        <v>0.15</v>
      </c>
      <c r="L244" s="292">
        <f>INDEX(Calibration!$A$4:$L$13,MATCH($D244&amp;$E244,Calibration!$A$4:$A$13,0),MATCH(L$4,Calibration!$A$4:$L$4,0))</f>
        <v>1.0259371368886356</v>
      </c>
      <c r="M244" s="292">
        <f>INDEX(Calibration!$A$4:$L$13,MATCH($D244&amp;$E244,Calibration!$A$4:$A$13,0),MATCH(M$4,Calibration!$A$4:$L$4,0))</f>
        <v>-1.8551508104013119</v>
      </c>
      <c r="N244" s="292">
        <f>INDEX(Calibration!$A$4:$L$13,MATCH($D244&amp;$E244,Calibration!$A$4:$A$13,0),MATCH(N$4,Calibration!$A$4:$L$4,0))</f>
        <v>1.1186946774087012</v>
      </c>
      <c r="O244" s="292">
        <f>INDEX(Calibration!$A$4:$L$13,MATCH($D244&amp;$E244,Calibration!$A$4:$A$13,0),MATCH(O$4,Calibration!$A$4:$L$4,0))</f>
        <v>-3.7103016208026238</v>
      </c>
      <c r="P244" s="292">
        <f>INDEX(Calibration!$A$4:$L$13,MATCH($D244&amp;$E244,Calibration!$A$4:$A$13,0),MATCH(P$4,Calibration!$A$4:$L$4,0))</f>
        <v>1.2578309881887995</v>
      </c>
      <c r="Q244" s="292">
        <f>INDEX(Calibration!$A$4:$L$13,MATCH($D244&amp;$E244,Calibration!$A$4:$A$13,0),MATCH(Q$4,Calibration!$A$4:$L$4,0))</f>
        <v>0.7012857450684058</v>
      </c>
      <c r="R244" s="293">
        <f>IF(C244&lt;Calibration!$F$5,L244,IF(C244&lt;Calibration!$E$5,C244*M244+N244,IF(C244&lt;K244,C244*O244+P244,Q244)))</f>
        <v>0.84662876929674491</v>
      </c>
      <c r="S244" s="286">
        <f t="shared" si="6"/>
        <v>11548.583787403746</v>
      </c>
      <c r="T244" s="293">
        <f>IF(E244="DHP",VLOOKUP(D244,Calibration!$C$20:$E$22,2,FALSE),IF(D244=1,Calibration!$D$17,Calibration!$D$18))</f>
        <v>0.85917762533929642</v>
      </c>
      <c r="U244" s="286">
        <f t="shared" si="7"/>
        <v>9922.2847944934492</v>
      </c>
      <c r="V244" s="286">
        <f>VLOOKUP(T244,Calibration!$D$17:$E$22,2,FALSE)*S244</f>
        <v>1427.0343283062655</v>
      </c>
      <c r="W244" t="s">
        <v>794</v>
      </c>
      <c r="X244">
        <v>436.19147199999998</v>
      </c>
      <c r="Y244">
        <v>0</v>
      </c>
    </row>
    <row r="245" spans="1:25">
      <c r="A245" s="277" t="str">
        <f>SEEMoutput!A247</f>
        <v>NWHZ1CZ1_1568n_30gshp_des1</v>
      </c>
      <c r="B245" s="286">
        <f>SEEMoutput!O247</f>
        <v>2484.7759980000001</v>
      </c>
      <c r="C245" s="287">
        <v>7.8442206538254775E-2</v>
      </c>
      <c r="D245" s="277">
        <f>IF(SEEMoutput!G247&lt;6000,1,IF(SEEMoutput!G247&lt;7500,2,3))</f>
        <v>1</v>
      </c>
      <c r="E245" s="277" t="str">
        <f>IF(LEFT(SEEMoutput!BE247,1)="F","FUR",IF(LEFT(SEEMoutput!BE247,1)="D","DHP","HP"))</f>
        <v>HP</v>
      </c>
      <c r="F245" s="288">
        <f>SEEMoutput!E247</f>
        <v>339.42665699999998</v>
      </c>
      <c r="G245" s="289">
        <f>F245*(69-30)*SEEMoutput!N247/SEEMoutput!M247</f>
        <v>14735.796029225035</v>
      </c>
      <c r="H245" s="290">
        <f>'(Tons) (Furnsize)'!$F$52+'(Tons) (Furnsize)'!$F$53*'(Tons) (Furnsize)'!$B$15+'(Tons) (Furnsize)'!$F$54*G245</f>
        <v>1.7894841561559134</v>
      </c>
      <c r="I245" s="290">
        <f>H245/'(Tons) (Furnsize)'!$G$7</f>
        <v>1.4832262060131989</v>
      </c>
      <c r="J245" s="291">
        <f>F245*(69-VLOOKUP(D245,'(Tons) (Furnsize)'!$D$15:$E$17,2,FALSE))/3412</f>
        <v>5.1729736705744429</v>
      </c>
      <c r="K245" s="292">
        <f>INDEX(Calibration!$A$4:$L$13,MATCH($D245&amp;$E245,Calibration!$A$4:$A$13,0),MATCH(K$4,Calibration!$A$4:$L$4,0))</f>
        <v>0.2</v>
      </c>
      <c r="L245" s="292">
        <f>INDEX(Calibration!$A$4:$L$13,MATCH($D245&amp;$E245,Calibration!$A$4:$A$13,0),MATCH(L$4,Calibration!$A$4:$L$4,0))</f>
        <v>1.3869915874526988</v>
      </c>
      <c r="M245" s="292">
        <f>INDEX(Calibration!$A$4:$L$13,MATCH($D245&amp;$E245,Calibration!$A$4:$A$13,0),MATCH(M$4,Calibration!$A$4:$L$4,0))</f>
        <v>-2.2641144651923684</v>
      </c>
      <c r="N245" s="292">
        <f>INDEX(Calibration!$A$4:$L$13,MATCH($D245&amp;$E245,Calibration!$A$4:$A$13,0),MATCH(N$4,Calibration!$A$4:$L$4,0))</f>
        <v>1.5001973107123172</v>
      </c>
      <c r="O245" s="292">
        <f>INDEX(Calibration!$A$4:$L$13,MATCH($D245&amp;$E245,Calibration!$A$4:$A$13,0),MATCH(O$4,Calibration!$A$4:$L$4,0))</f>
        <v>-4.5282289303847367</v>
      </c>
      <c r="P245" s="292">
        <f>INDEX(Calibration!$A$4:$L$13,MATCH($D245&amp;$E245,Calibration!$A$4:$A$13,0),MATCH(P$4,Calibration!$A$4:$L$4,0))</f>
        <v>1.6700058956017449</v>
      </c>
      <c r="Q245" s="292">
        <f>INDEX(Calibration!$A$4:$L$13,MATCH($D245&amp;$E245,Calibration!$A$4:$A$13,0),MATCH(Q$4,Calibration!$A$4:$L$4,0))</f>
        <v>0.7643601095247976</v>
      </c>
      <c r="R245" s="293">
        <f>IF(C245&lt;Calibration!$F$5,L245,IF(C245&lt;Calibration!$E$5,C245*M245+N245,IF(C245&lt;K245,C245*O245+P245,Q245)))</f>
        <v>1.3148016265920051</v>
      </c>
      <c r="S245" s="286">
        <f t="shared" si="6"/>
        <v>3266.9875238871728</v>
      </c>
      <c r="T245" s="293">
        <f>IF(E245="DHP",VLOOKUP(D245,Calibration!$C$20:$E$22,2,FALSE),IF(D245=1,Calibration!$D$17,Calibration!$D$18))</f>
        <v>0.82813167326562143</v>
      </c>
      <c r="U245" s="286">
        <f t="shared" si="7"/>
        <v>2705.4958446945939</v>
      </c>
      <c r="V245" s="286">
        <f>VLOOKUP(T245,Calibration!$D$17:$E$22,2,FALSE)*S245</f>
        <v>510.63961190641839</v>
      </c>
      <c r="W245" t="s">
        <v>764</v>
      </c>
      <c r="X245">
        <v>300.08047399999998</v>
      </c>
      <c r="Y245">
        <v>1192.3133740000001</v>
      </c>
    </row>
    <row r="246" spans="1:25">
      <c r="A246" s="277" t="str">
        <f>SEEMoutput!A248</f>
        <v>WxHZ1CZ1_1568e_30gshp_des1</v>
      </c>
      <c r="B246" s="286">
        <f>SEEMoutput!O248</f>
        <v>2873.8362830000001</v>
      </c>
      <c r="C246" s="287">
        <v>8.8643300542636236E-2</v>
      </c>
      <c r="D246" s="277">
        <f>IF(SEEMoutput!G248&lt;6000,1,IF(SEEMoutput!G248&lt;7500,2,3))</f>
        <v>1</v>
      </c>
      <c r="E246" s="277" t="str">
        <f>IF(LEFT(SEEMoutput!BE248,1)="F","FUR",IF(LEFT(SEEMoutput!BE248,1)="D","DHP","HP"))</f>
        <v>HP</v>
      </c>
      <c r="F246" s="288">
        <f>SEEMoutput!E248</f>
        <v>378.48850700000003</v>
      </c>
      <c r="G246" s="289">
        <f>F246*(69-30)*SEEMoutput!N248/SEEMoutput!M248</f>
        <v>16410.344346357291</v>
      </c>
      <c r="H246" s="290">
        <f>'(Tons) (Furnsize)'!$F$52+'(Tons) (Furnsize)'!$F$53*'(Tons) (Furnsize)'!$B$15+'(Tons) (Furnsize)'!$F$54*G246</f>
        <v>1.9860935359356717</v>
      </c>
      <c r="I246" s="290">
        <f>H246/'(Tons) (Furnsize)'!$G$7</f>
        <v>1.6461872377910804</v>
      </c>
      <c r="J246" s="291">
        <f>F246*(69-VLOOKUP(D246,'(Tons) (Furnsize)'!$D$15:$E$17,2,FALSE))/3412</f>
        <v>5.7682890867526382</v>
      </c>
      <c r="K246" s="292">
        <f>INDEX(Calibration!$A$4:$L$13,MATCH($D246&amp;$E246,Calibration!$A$4:$A$13,0),MATCH(K$4,Calibration!$A$4:$L$4,0))</f>
        <v>0.2</v>
      </c>
      <c r="L246" s="292">
        <f>INDEX(Calibration!$A$4:$L$13,MATCH($D246&amp;$E246,Calibration!$A$4:$A$13,0),MATCH(L$4,Calibration!$A$4:$L$4,0))</f>
        <v>1.3869915874526988</v>
      </c>
      <c r="M246" s="292">
        <f>INDEX(Calibration!$A$4:$L$13,MATCH($D246&amp;$E246,Calibration!$A$4:$A$13,0),MATCH(M$4,Calibration!$A$4:$L$4,0))</f>
        <v>-2.2641144651923684</v>
      </c>
      <c r="N246" s="292">
        <f>INDEX(Calibration!$A$4:$L$13,MATCH($D246&amp;$E246,Calibration!$A$4:$A$13,0),MATCH(N$4,Calibration!$A$4:$L$4,0))</f>
        <v>1.5001973107123172</v>
      </c>
      <c r="O246" s="292">
        <f>INDEX(Calibration!$A$4:$L$13,MATCH($D246&amp;$E246,Calibration!$A$4:$A$13,0),MATCH(O$4,Calibration!$A$4:$L$4,0))</f>
        <v>-4.5282289303847367</v>
      </c>
      <c r="P246" s="292">
        <f>INDEX(Calibration!$A$4:$L$13,MATCH($D246&amp;$E246,Calibration!$A$4:$A$13,0),MATCH(P$4,Calibration!$A$4:$L$4,0))</f>
        <v>1.6700058956017449</v>
      </c>
      <c r="Q246" s="292">
        <f>INDEX(Calibration!$A$4:$L$13,MATCH($D246&amp;$E246,Calibration!$A$4:$A$13,0),MATCH(Q$4,Calibration!$A$4:$L$4,0))</f>
        <v>0.7643601095247976</v>
      </c>
      <c r="R246" s="293">
        <f>IF(C246&lt;Calibration!$F$5,L246,IF(C246&lt;Calibration!$E$5,C246*M246+N246,IF(C246&lt;K246,C246*O246+P246,Q246)))</f>
        <v>1.2686087375997905</v>
      </c>
      <c r="S246" s="286">
        <f t="shared" si="6"/>
        <v>3645.7738190451046</v>
      </c>
      <c r="T246" s="293">
        <f>IF(E246="DHP",VLOOKUP(D246,Calibration!$C$20:$E$22,2,FALSE),IF(D246=1,Calibration!$D$17,Calibration!$D$18))</f>
        <v>0.82813167326562143</v>
      </c>
      <c r="U246" s="286">
        <f t="shared" si="7"/>
        <v>3019.1807731138174</v>
      </c>
      <c r="V246" s="286">
        <f>VLOOKUP(T246,Calibration!$D$17:$E$22,2,FALSE)*S246</f>
        <v>569.84500688900312</v>
      </c>
      <c r="W246" t="s">
        <v>764</v>
      </c>
      <c r="X246">
        <v>275.63416000000001</v>
      </c>
      <c r="Y246">
        <v>1345.965931</v>
      </c>
    </row>
    <row r="247" spans="1:25">
      <c r="A247" s="277" t="str">
        <f>SEEMoutput!A249</f>
        <v>NWHZ2CZ1_1568n_30gshp_des1</v>
      </c>
      <c r="B247" s="286">
        <f>SEEMoutput!O249</f>
        <v>3598.7723740000001</v>
      </c>
      <c r="C247" s="287">
        <v>7.9810603729094473E-2</v>
      </c>
      <c r="D247" s="277">
        <f>IF(SEEMoutput!G249&lt;6000,1,IF(SEEMoutput!G249&lt;7500,2,3))</f>
        <v>2</v>
      </c>
      <c r="E247" s="277" t="str">
        <f>IF(LEFT(SEEMoutput!BE249,1)="F","FUR",IF(LEFT(SEEMoutput!BE249,1)="D","DHP","HP"))</f>
        <v>HP</v>
      </c>
      <c r="F247" s="288">
        <f>SEEMoutput!E249</f>
        <v>341.98713900000001</v>
      </c>
      <c r="G247" s="289">
        <f>F247*(69-30)*SEEMoutput!N249/SEEMoutput!M249</f>
        <v>14951.342142220128</v>
      </c>
      <c r="H247" s="290">
        <f>'(Tons) (Furnsize)'!$F$52+'(Tons) (Furnsize)'!$F$53*'(Tons) (Furnsize)'!$B$15+'(Tons) (Furnsize)'!$F$54*G247</f>
        <v>1.8147915104772729</v>
      </c>
      <c r="I247" s="290">
        <f>H247/'(Tons) (Furnsize)'!$G$7</f>
        <v>1.5042023800716138</v>
      </c>
      <c r="J247" s="291">
        <f>F247*(69-VLOOKUP(D247,'(Tons) (Furnsize)'!$D$15:$E$17,2,FALSE))/3412</f>
        <v>6.9159181099062135</v>
      </c>
      <c r="K247" s="292">
        <f>INDEX(Calibration!$A$4:$L$13,MATCH($D247&amp;$E247,Calibration!$A$4:$A$13,0),MATCH(K$4,Calibration!$A$4:$L$4,0))</f>
        <v>0.17499999999999999</v>
      </c>
      <c r="L247" s="292">
        <f>INDEX(Calibration!$A$4:$L$13,MATCH($D247&amp;$E247,Calibration!$A$4:$A$13,0),MATCH(L$4,Calibration!$A$4:$L$4,0))</f>
        <v>1.1965160377936901</v>
      </c>
      <c r="M247" s="292">
        <f>INDEX(Calibration!$A$4:$L$13,MATCH($D247&amp;$E247,Calibration!$A$4:$A$13,0),MATCH(M$4,Calibration!$A$4:$L$4,0))</f>
        <v>-2.050167690250368</v>
      </c>
      <c r="N247" s="292">
        <f>INDEX(Calibration!$A$4:$L$13,MATCH($D247&amp;$E247,Calibration!$A$4:$A$13,0),MATCH(N$4,Calibration!$A$4:$L$4,0))</f>
        <v>1.2990244223062084</v>
      </c>
      <c r="O247" s="292">
        <f>INDEX(Calibration!$A$4:$L$13,MATCH($D247&amp;$E247,Calibration!$A$4:$A$13,0),MATCH(O$4,Calibration!$A$4:$L$4,0))</f>
        <v>-4.1003353805007361</v>
      </c>
      <c r="P247" s="292">
        <f>INDEX(Calibration!$A$4:$L$13,MATCH($D247&amp;$E247,Calibration!$A$4:$A$13,0),MATCH(P$4,Calibration!$A$4:$L$4,0))</f>
        <v>1.452786999074986</v>
      </c>
      <c r="Q247" s="292">
        <f>INDEX(Calibration!$A$4:$L$13,MATCH($D247&amp;$E247,Calibration!$A$4:$A$13,0),MATCH(Q$4,Calibration!$A$4:$L$4,0))</f>
        <v>0.73522830748735724</v>
      </c>
      <c r="R247" s="293">
        <f>IF(C247&lt;Calibration!$F$5,L247,IF(C247&lt;Calibration!$E$5,C247*M247+N247,IF(C247&lt;K247,C247*O247+P247,Q247)))</f>
        <v>1.125536756865456</v>
      </c>
      <c r="S247" s="286">
        <f t="shared" si="6"/>
        <v>4050.5505865289579</v>
      </c>
      <c r="T247" s="293">
        <f>IF(E247="DHP",VLOOKUP(D247,Calibration!$C$20:$E$22,2,FALSE),IF(D247=1,Calibration!$D$17,Calibration!$D$18))</f>
        <v>0.85917762533929642</v>
      </c>
      <c r="U247" s="286">
        <f t="shared" si="7"/>
        <v>3480.1424342506443</v>
      </c>
      <c r="V247" s="286">
        <f>VLOOKUP(T247,Calibration!$D$17:$E$22,2,FALSE)*S247</f>
        <v>500.51805848458696</v>
      </c>
      <c r="W247" t="s">
        <v>779</v>
      </c>
      <c r="X247">
        <v>300.08047399999998</v>
      </c>
      <c r="Y247">
        <v>1681.6240339999999</v>
      </c>
    </row>
    <row r="248" spans="1:25">
      <c r="A248" s="277" t="str">
        <f>SEEMoutput!A250</f>
        <v>WxHZ2CZ1_1568e_30gshp_des1</v>
      </c>
      <c r="B248" s="286">
        <f>SEEMoutput!O250</f>
        <v>4104.2347410000002</v>
      </c>
      <c r="C248" s="287">
        <v>9.0072742008285092E-2</v>
      </c>
      <c r="D248" s="277">
        <f>IF(SEEMoutput!G250&lt;6000,1,IF(SEEMoutput!G250&lt;7500,2,3))</f>
        <v>2</v>
      </c>
      <c r="E248" s="277" t="str">
        <f>IF(LEFT(SEEMoutput!BE250,1)="F","FUR",IF(LEFT(SEEMoutput!BE250,1)="D","DHP","HP"))</f>
        <v>HP</v>
      </c>
      <c r="F248" s="288">
        <f>SEEMoutput!E250</f>
        <v>381.22240599999998</v>
      </c>
      <c r="G248" s="289">
        <f>F248*(69-30)*SEEMoutput!N250/SEEMoutput!M250</f>
        <v>16643.34868007285</v>
      </c>
      <c r="H248" s="290">
        <f>'(Tons) (Furnsize)'!$F$52+'(Tons) (Furnsize)'!$F$53*'(Tons) (Furnsize)'!$B$15+'(Tons) (Furnsize)'!$F$54*G248</f>
        <v>2.0134506668521839</v>
      </c>
      <c r="I248" s="290">
        <f>H248/'(Tons) (Furnsize)'!$G$7</f>
        <v>1.6688623832273328</v>
      </c>
      <c r="J248" s="291">
        <f>F248*(69-VLOOKUP(D248,'(Tons) (Furnsize)'!$D$15:$E$17,2,FALSE))/3412</f>
        <v>7.7093628411488861</v>
      </c>
      <c r="K248" s="292">
        <f>INDEX(Calibration!$A$4:$L$13,MATCH($D248&amp;$E248,Calibration!$A$4:$A$13,0),MATCH(K$4,Calibration!$A$4:$L$4,0))</f>
        <v>0.17499999999999999</v>
      </c>
      <c r="L248" s="292">
        <f>INDEX(Calibration!$A$4:$L$13,MATCH($D248&amp;$E248,Calibration!$A$4:$A$13,0),MATCH(L$4,Calibration!$A$4:$L$4,0))</f>
        <v>1.1965160377936901</v>
      </c>
      <c r="M248" s="292">
        <f>INDEX(Calibration!$A$4:$L$13,MATCH($D248&amp;$E248,Calibration!$A$4:$A$13,0),MATCH(M$4,Calibration!$A$4:$L$4,0))</f>
        <v>-2.050167690250368</v>
      </c>
      <c r="N248" s="292">
        <f>INDEX(Calibration!$A$4:$L$13,MATCH($D248&amp;$E248,Calibration!$A$4:$A$13,0),MATCH(N$4,Calibration!$A$4:$L$4,0))</f>
        <v>1.2990244223062084</v>
      </c>
      <c r="O248" s="292">
        <f>INDEX(Calibration!$A$4:$L$13,MATCH($D248&amp;$E248,Calibration!$A$4:$A$13,0),MATCH(O$4,Calibration!$A$4:$L$4,0))</f>
        <v>-4.1003353805007361</v>
      </c>
      <c r="P248" s="292">
        <f>INDEX(Calibration!$A$4:$L$13,MATCH($D248&amp;$E248,Calibration!$A$4:$A$13,0),MATCH(P$4,Calibration!$A$4:$L$4,0))</f>
        <v>1.452786999074986</v>
      </c>
      <c r="Q248" s="292">
        <f>INDEX(Calibration!$A$4:$L$13,MATCH($D248&amp;$E248,Calibration!$A$4:$A$13,0),MATCH(Q$4,Calibration!$A$4:$L$4,0))</f>
        <v>0.73522830748735724</v>
      </c>
      <c r="R248" s="293">
        <f>IF(C248&lt;Calibration!$F$5,L248,IF(C248&lt;Calibration!$E$5,C248*M248+N248,IF(C248&lt;K248,C248*O248+P248,Q248)))</f>
        <v>1.0834585481996997</v>
      </c>
      <c r="S248" s="286">
        <f t="shared" si="6"/>
        <v>4446.7682139546305</v>
      </c>
      <c r="T248" s="293">
        <f>IF(E248="DHP",VLOOKUP(D248,Calibration!$C$20:$E$22,2,FALSE),IF(D248=1,Calibration!$D$17,Calibration!$D$18))</f>
        <v>0.85917762533929642</v>
      </c>
      <c r="U248" s="286">
        <f t="shared" si="7"/>
        <v>3820.563754499804</v>
      </c>
      <c r="V248" s="286">
        <f>VLOOKUP(T248,Calibration!$D$17:$E$22,2,FALSE)*S248</f>
        <v>549.47784145236585</v>
      </c>
      <c r="W248" t="s">
        <v>779</v>
      </c>
      <c r="X248">
        <v>275.63416000000001</v>
      </c>
      <c r="Y248">
        <v>1883.9794710000001</v>
      </c>
    </row>
    <row r="249" spans="1:25">
      <c r="A249" s="277" t="str">
        <f>SEEMoutput!A251</f>
        <v>NWHZ3CZ1_1568n_30gshp_des1</v>
      </c>
      <c r="B249" s="286">
        <f>SEEMoutput!O251</f>
        <v>4437.2083650000004</v>
      </c>
      <c r="C249" s="287">
        <v>7.9565373316880725E-2</v>
      </c>
      <c r="D249" s="277">
        <f>IF(SEEMoutput!G251&lt;6000,1,IF(SEEMoutput!G251&lt;7500,2,3))</f>
        <v>3</v>
      </c>
      <c r="E249" s="277" t="str">
        <f>IF(LEFT(SEEMoutput!BE251,1)="F","FUR",IF(LEFT(SEEMoutput!BE251,1)="D","DHP","HP"))</f>
        <v>HP</v>
      </c>
      <c r="F249" s="288">
        <f>SEEMoutput!E251</f>
        <v>339.66790400000002</v>
      </c>
      <c r="G249" s="289">
        <f>F249*(69-30)*SEEMoutput!N251/SEEMoutput!M251</f>
        <v>14943.345695255459</v>
      </c>
      <c r="H249" s="290">
        <f>'(Tons) (Furnsize)'!$F$52+'(Tons) (Furnsize)'!$F$53*'(Tons) (Furnsize)'!$B$15+'(Tons) (Furnsize)'!$F$54*G249</f>
        <v>1.8138526444785552</v>
      </c>
      <c r="I249" s="290">
        <f>H249/'(Tons) (Furnsize)'!$G$7</f>
        <v>1.5034241945546074</v>
      </c>
      <c r="J249" s="291">
        <f>F249*(69-VLOOKUP(D249,'(Tons) (Furnsize)'!$D$15:$E$17,2,FALSE))/3412</f>
        <v>9.3577910246189919</v>
      </c>
      <c r="K249" s="292">
        <f>INDEX(Calibration!$A$4:$L$13,MATCH($D249&amp;$E249,Calibration!$A$4:$A$13,0),MATCH(K$4,Calibration!$A$4:$L$4,0))</f>
        <v>0.15</v>
      </c>
      <c r="L249" s="292">
        <f>INDEX(Calibration!$A$4:$L$13,MATCH($D249&amp;$E249,Calibration!$A$4:$A$13,0),MATCH(L$4,Calibration!$A$4:$L$4,0))</f>
        <v>1.0259371368886356</v>
      </c>
      <c r="M249" s="292">
        <f>INDEX(Calibration!$A$4:$L$13,MATCH($D249&amp;$E249,Calibration!$A$4:$A$13,0),MATCH(M$4,Calibration!$A$4:$L$4,0))</f>
        <v>-1.8551508104013119</v>
      </c>
      <c r="N249" s="292">
        <f>INDEX(Calibration!$A$4:$L$13,MATCH($D249&amp;$E249,Calibration!$A$4:$A$13,0),MATCH(N$4,Calibration!$A$4:$L$4,0))</f>
        <v>1.1186946774087012</v>
      </c>
      <c r="O249" s="292">
        <f>INDEX(Calibration!$A$4:$L$13,MATCH($D249&amp;$E249,Calibration!$A$4:$A$13,0),MATCH(O$4,Calibration!$A$4:$L$4,0))</f>
        <v>-3.7103016208026238</v>
      </c>
      <c r="P249" s="292">
        <f>INDEX(Calibration!$A$4:$L$13,MATCH($D249&amp;$E249,Calibration!$A$4:$A$13,0),MATCH(P$4,Calibration!$A$4:$L$4,0))</f>
        <v>1.2578309881887995</v>
      </c>
      <c r="Q249" s="292">
        <f>INDEX(Calibration!$A$4:$L$13,MATCH($D249&amp;$E249,Calibration!$A$4:$A$13,0),MATCH(Q$4,Calibration!$A$4:$L$4,0))</f>
        <v>0.7012857450684058</v>
      </c>
      <c r="R249" s="293">
        <f>IF(C249&lt;Calibration!$F$5,L249,IF(C249&lt;Calibration!$E$5,C249*M249+N249,IF(C249&lt;K249,C249*O249+P249,Q249)))</f>
        <v>0.96261945461141107</v>
      </c>
      <c r="S249" s="286">
        <f t="shared" si="6"/>
        <v>4271.3430963134915</v>
      </c>
      <c r="T249" s="293">
        <f>IF(E249="DHP",VLOOKUP(D249,Calibration!$C$20:$E$22,2,FALSE),IF(D249=1,Calibration!$D$17,Calibration!$D$18))</f>
        <v>0.85917762533929642</v>
      </c>
      <c r="U249" s="286">
        <f t="shared" si="7"/>
        <v>3669.8424185000235</v>
      </c>
      <c r="V249" s="286">
        <f>VLOOKUP(T249,Calibration!$D$17:$E$22,2,FALSE)*S249</f>
        <v>527.8009268168139</v>
      </c>
      <c r="W249" t="s">
        <v>794</v>
      </c>
      <c r="X249">
        <v>300.08047399999998</v>
      </c>
      <c r="Y249">
        <v>1966.462043</v>
      </c>
    </row>
    <row r="250" spans="1:25">
      <c r="A250" s="277" t="str">
        <f>SEEMoutput!A252</f>
        <v>WxHZ3CZ1_1568e_30gshp_des1</v>
      </c>
      <c r="B250" s="286">
        <f>SEEMoutput!O252</f>
        <v>5047.34728</v>
      </c>
      <c r="C250" s="287">
        <v>8.983067153500264E-2</v>
      </c>
      <c r="D250" s="277">
        <f>IF(SEEMoutput!G252&lt;6000,1,IF(SEEMoutput!G252&lt;7500,2,3))</f>
        <v>3</v>
      </c>
      <c r="E250" s="277" t="str">
        <f>IF(LEFT(SEEMoutput!BE252,1)="F","FUR",IF(LEFT(SEEMoutput!BE252,1)="D","DHP","HP"))</f>
        <v>HP</v>
      </c>
      <c r="F250" s="288">
        <f>SEEMoutput!E252</f>
        <v>378.87816900000001</v>
      </c>
      <c r="G250" s="289">
        <f>F250*(69-30)*SEEMoutput!N252/SEEMoutput!M252</f>
        <v>16642.002845483941</v>
      </c>
      <c r="H250" s="290">
        <f>'(Tons) (Furnsize)'!$F$52+'(Tons) (Furnsize)'!$F$53*'(Tons) (Furnsize)'!$B$15+'(Tons) (Furnsize)'!$F$54*G250</f>
        <v>2.0132926518811587</v>
      </c>
      <c r="I250" s="290">
        <f>H250/'(Tons) (Furnsize)'!$G$7</f>
        <v>1.6687314114357352</v>
      </c>
      <c r="J250" s="291">
        <f>F250*(69-VLOOKUP(D250,'(Tons) (Furnsize)'!$D$15:$E$17,2,FALSE))/3412</f>
        <v>10.43802693024619</v>
      </c>
      <c r="K250" s="292">
        <f>INDEX(Calibration!$A$4:$L$13,MATCH($D250&amp;$E250,Calibration!$A$4:$A$13,0),MATCH(K$4,Calibration!$A$4:$L$4,0))</f>
        <v>0.15</v>
      </c>
      <c r="L250" s="292">
        <f>INDEX(Calibration!$A$4:$L$13,MATCH($D250&amp;$E250,Calibration!$A$4:$A$13,0),MATCH(L$4,Calibration!$A$4:$L$4,0))</f>
        <v>1.0259371368886356</v>
      </c>
      <c r="M250" s="292">
        <f>INDEX(Calibration!$A$4:$L$13,MATCH($D250&amp;$E250,Calibration!$A$4:$A$13,0),MATCH(M$4,Calibration!$A$4:$L$4,0))</f>
        <v>-1.8551508104013119</v>
      </c>
      <c r="N250" s="292">
        <f>INDEX(Calibration!$A$4:$L$13,MATCH($D250&amp;$E250,Calibration!$A$4:$A$13,0),MATCH(N$4,Calibration!$A$4:$L$4,0))</f>
        <v>1.1186946774087012</v>
      </c>
      <c r="O250" s="292">
        <f>INDEX(Calibration!$A$4:$L$13,MATCH($D250&amp;$E250,Calibration!$A$4:$A$13,0),MATCH(O$4,Calibration!$A$4:$L$4,0))</f>
        <v>-3.7103016208026238</v>
      </c>
      <c r="P250" s="292">
        <f>INDEX(Calibration!$A$4:$L$13,MATCH($D250&amp;$E250,Calibration!$A$4:$A$13,0),MATCH(P$4,Calibration!$A$4:$L$4,0))</f>
        <v>1.2578309881887995</v>
      </c>
      <c r="Q250" s="292">
        <f>INDEX(Calibration!$A$4:$L$13,MATCH($D250&amp;$E250,Calibration!$A$4:$A$13,0),MATCH(Q$4,Calibration!$A$4:$L$4,0))</f>
        <v>0.7012857450684058</v>
      </c>
      <c r="R250" s="293">
        <f>IF(C250&lt;Calibration!$F$5,L250,IF(C250&lt;Calibration!$E$5,C250*M250+N250,IF(C250&lt;K250,C250*O250+P250,Q250)))</f>
        <v>0.92453210199469105</v>
      </c>
      <c r="S250" s="286">
        <f t="shared" si="6"/>
        <v>4666.4345902755867</v>
      </c>
      <c r="T250" s="293">
        <f>IF(E250="DHP",VLOOKUP(D250,Calibration!$C$20:$E$22,2,FALSE),IF(D250=1,Calibration!$D$17,Calibration!$D$18))</f>
        <v>0.85917762533929642</v>
      </c>
      <c r="U250" s="286">
        <f t="shared" si="7"/>
        <v>4009.2961900741311</v>
      </c>
      <c r="V250" s="286">
        <f>VLOOKUP(T250,Calibration!$D$17:$E$22,2,FALSE)*S250</f>
        <v>576.62155582940966</v>
      </c>
      <c r="W250" t="s">
        <v>794</v>
      </c>
      <c r="X250">
        <v>275.63416000000001</v>
      </c>
      <c r="Y250">
        <v>2204.8261969999999</v>
      </c>
    </row>
    <row r="251" spans="1:25">
      <c r="A251" s="277" t="str">
        <f>SEEMoutput!A253</f>
        <v>NWHZ1CZ1_2200n_30gshp_des1</v>
      </c>
      <c r="B251" s="286">
        <f>SEEMoutput!O253</f>
        <v>3399.2121059999999</v>
      </c>
      <c r="C251" s="287">
        <v>7.3137737175008738E-2</v>
      </c>
      <c r="D251" s="277">
        <f>IF(SEEMoutput!G253&lt;6000,1,IF(SEEMoutput!G253&lt;7500,2,3))</f>
        <v>1</v>
      </c>
      <c r="E251" s="277" t="str">
        <f>IF(LEFT(SEEMoutput!BE253,1)="F","FUR",IF(LEFT(SEEMoutput!BE253,1)="D","DHP","HP"))</f>
        <v>HP</v>
      </c>
      <c r="F251" s="288">
        <f>SEEMoutput!E253</f>
        <v>420.142653</v>
      </c>
      <c r="G251" s="289">
        <f>F251*(69-30)*SEEMoutput!N253/SEEMoutput!M253</f>
        <v>20096.540479961572</v>
      </c>
      <c r="H251" s="290">
        <f>'(Tons) (Furnsize)'!$F$52+'(Tons) (Furnsize)'!$F$53*'(Tons) (Furnsize)'!$B$15+'(Tons) (Furnsize)'!$F$54*G251</f>
        <v>2.4188912809512559</v>
      </c>
      <c r="I251" s="290">
        <f>H251/'(Tons) (Furnsize)'!$G$7</f>
        <v>2.0049146146735404</v>
      </c>
      <c r="J251" s="291">
        <f>F251*(69-VLOOKUP(D251,'(Tons) (Furnsize)'!$D$15:$E$17,2,FALSE))/3412</f>
        <v>6.4031119449003517</v>
      </c>
      <c r="K251" s="292">
        <f>INDEX(Calibration!$A$4:$L$13,MATCH($D251&amp;$E251,Calibration!$A$4:$A$13,0),MATCH(K$4,Calibration!$A$4:$L$4,0))</f>
        <v>0.2</v>
      </c>
      <c r="L251" s="292">
        <f>INDEX(Calibration!$A$4:$L$13,MATCH($D251&amp;$E251,Calibration!$A$4:$A$13,0),MATCH(L$4,Calibration!$A$4:$L$4,0))</f>
        <v>1.3869915874526988</v>
      </c>
      <c r="M251" s="292">
        <f>INDEX(Calibration!$A$4:$L$13,MATCH($D251&amp;$E251,Calibration!$A$4:$A$13,0),MATCH(M$4,Calibration!$A$4:$L$4,0))</f>
        <v>-2.2641144651923684</v>
      </c>
      <c r="N251" s="292">
        <f>INDEX(Calibration!$A$4:$L$13,MATCH($D251&amp;$E251,Calibration!$A$4:$A$13,0),MATCH(N$4,Calibration!$A$4:$L$4,0))</f>
        <v>1.5001973107123172</v>
      </c>
      <c r="O251" s="292">
        <f>INDEX(Calibration!$A$4:$L$13,MATCH($D251&amp;$E251,Calibration!$A$4:$A$13,0),MATCH(O$4,Calibration!$A$4:$L$4,0))</f>
        <v>-4.5282289303847367</v>
      </c>
      <c r="P251" s="292">
        <f>INDEX(Calibration!$A$4:$L$13,MATCH($D251&amp;$E251,Calibration!$A$4:$A$13,0),MATCH(P$4,Calibration!$A$4:$L$4,0))</f>
        <v>1.6700058956017449</v>
      </c>
      <c r="Q251" s="292">
        <f>INDEX(Calibration!$A$4:$L$13,MATCH($D251&amp;$E251,Calibration!$A$4:$A$13,0),MATCH(Q$4,Calibration!$A$4:$L$4,0))</f>
        <v>0.7643601095247976</v>
      </c>
      <c r="R251" s="293">
        <f>IF(C251&lt;Calibration!$F$5,L251,IF(C251&lt;Calibration!$E$5,C251*M251+N251,IF(C251&lt;K251,C251*O251+P251,Q251)))</f>
        <v>1.3346051020229424</v>
      </c>
      <c r="S251" s="286">
        <f t="shared" si="6"/>
        <v>4536.605819525751</v>
      </c>
      <c r="T251" s="293">
        <f>IF(E251="DHP",VLOOKUP(D251,Calibration!$C$20:$E$22,2,FALSE),IF(D251=1,Calibration!$D$17,Calibration!$D$18))</f>
        <v>0.82813167326562143</v>
      </c>
      <c r="U251" s="286">
        <f t="shared" si="7"/>
        <v>3756.9069682704162</v>
      </c>
      <c r="V251" s="286">
        <f>VLOOKUP(T251,Calibration!$D$17:$E$22,2,FALSE)*S251</f>
        <v>709.0846286118333</v>
      </c>
      <c r="W251" t="s">
        <v>764</v>
      </c>
      <c r="X251">
        <v>412.43655699999999</v>
      </c>
      <c r="Y251">
        <v>1589.3137650000001</v>
      </c>
    </row>
    <row r="252" spans="1:25">
      <c r="A252" s="277" t="str">
        <f>SEEMoutput!A254</f>
        <v>WxHZ1CZ1_2200e_30gshp_des1</v>
      </c>
      <c r="B252" s="286">
        <f>SEEMoutput!O254</f>
        <v>4255.7805559999997</v>
      </c>
      <c r="C252" s="287">
        <v>8.6024735178476225E-2</v>
      </c>
      <c r="D252" s="277">
        <f>IF(SEEMoutput!G254&lt;6000,1,IF(SEEMoutput!G254&lt;7500,2,3))</f>
        <v>1</v>
      </c>
      <c r="E252" s="277" t="str">
        <f>IF(LEFT(SEEMoutput!BE254,1)="F","FUR",IF(LEFT(SEEMoutput!BE254,1)="D","DHP","HP"))</f>
        <v>HP</v>
      </c>
      <c r="F252" s="288">
        <f>SEEMoutput!E254</f>
        <v>486.02175299999999</v>
      </c>
      <c r="G252" s="289">
        <f>F252*(69-30)*SEEMoutput!N254/SEEMoutput!M254</f>
        <v>23792.236576710056</v>
      </c>
      <c r="H252" s="290">
        <f>'(Tons) (Furnsize)'!$F$52+'(Tons) (Furnsize)'!$F$53*'(Tons) (Furnsize)'!$B$15+'(Tons) (Furnsize)'!$F$54*G252</f>
        <v>2.8528044203944618</v>
      </c>
      <c r="I252" s="290">
        <f>H252/'(Tons) (Furnsize)'!$G$7</f>
        <v>2.3645664938710378</v>
      </c>
      <c r="J252" s="291">
        <f>F252*(69-VLOOKUP(D252,'(Tons) (Furnsize)'!$D$15:$E$17,2,FALSE))/3412</f>
        <v>7.4071310539273156</v>
      </c>
      <c r="K252" s="292">
        <f>INDEX(Calibration!$A$4:$L$13,MATCH($D252&amp;$E252,Calibration!$A$4:$A$13,0),MATCH(K$4,Calibration!$A$4:$L$4,0))</f>
        <v>0.2</v>
      </c>
      <c r="L252" s="292">
        <f>INDEX(Calibration!$A$4:$L$13,MATCH($D252&amp;$E252,Calibration!$A$4:$A$13,0),MATCH(L$4,Calibration!$A$4:$L$4,0))</f>
        <v>1.3869915874526988</v>
      </c>
      <c r="M252" s="292">
        <f>INDEX(Calibration!$A$4:$L$13,MATCH($D252&amp;$E252,Calibration!$A$4:$A$13,0),MATCH(M$4,Calibration!$A$4:$L$4,0))</f>
        <v>-2.2641144651923684</v>
      </c>
      <c r="N252" s="292">
        <f>INDEX(Calibration!$A$4:$L$13,MATCH($D252&amp;$E252,Calibration!$A$4:$A$13,0),MATCH(N$4,Calibration!$A$4:$L$4,0))</f>
        <v>1.5001973107123172</v>
      </c>
      <c r="O252" s="292">
        <f>INDEX(Calibration!$A$4:$L$13,MATCH($D252&amp;$E252,Calibration!$A$4:$A$13,0),MATCH(O$4,Calibration!$A$4:$L$4,0))</f>
        <v>-4.5282289303847367</v>
      </c>
      <c r="P252" s="292">
        <f>INDEX(Calibration!$A$4:$L$13,MATCH($D252&amp;$E252,Calibration!$A$4:$A$13,0),MATCH(P$4,Calibration!$A$4:$L$4,0))</f>
        <v>1.6700058956017449</v>
      </c>
      <c r="Q252" s="292">
        <f>INDEX(Calibration!$A$4:$L$13,MATCH($D252&amp;$E252,Calibration!$A$4:$A$13,0),MATCH(Q$4,Calibration!$A$4:$L$4,0))</f>
        <v>0.7643601095247976</v>
      </c>
      <c r="R252" s="293">
        <f>IF(C252&lt;Calibration!$F$5,L252,IF(C252&lt;Calibration!$E$5,C252*M252+N252,IF(C252&lt;K252,C252*O252+P252,Q252)))</f>
        <v>1.2804662010378833</v>
      </c>
      <c r="S252" s="286">
        <f t="shared" si="6"/>
        <v>5449.3831609922108</v>
      </c>
      <c r="T252" s="293">
        <f>IF(E252="DHP",VLOOKUP(D252,Calibration!$C$20:$E$22,2,FALSE),IF(D252=1,Calibration!$D$17,Calibration!$D$18))</f>
        <v>0.82813167326562143</v>
      </c>
      <c r="U252" s="286">
        <f t="shared" si="7"/>
        <v>4512.806795377981</v>
      </c>
      <c r="V252" s="286">
        <f>VLOOKUP(T252,Calibration!$D$17:$E$22,2,FALSE)*S252</f>
        <v>851.75437068933695</v>
      </c>
      <c r="W252" t="s">
        <v>764</v>
      </c>
      <c r="X252">
        <v>398.39023700000001</v>
      </c>
      <c r="Y252">
        <v>1909.7454729999999</v>
      </c>
    </row>
    <row r="253" spans="1:25">
      <c r="A253" s="277" t="str">
        <f>SEEMoutput!A255</f>
        <v>NWHZ2CZ1_2200n_30gshp_des1</v>
      </c>
      <c r="B253" s="286">
        <f>SEEMoutput!O255</f>
        <v>5058.2955469999997</v>
      </c>
      <c r="C253" s="287">
        <v>7.5367998029101269E-2</v>
      </c>
      <c r="D253" s="277">
        <f>IF(SEEMoutput!G255&lt;6000,1,IF(SEEMoutput!G255&lt;7500,2,3))</f>
        <v>2</v>
      </c>
      <c r="E253" s="277" t="str">
        <f>IF(LEFT(SEEMoutput!BE255,1)="F","FUR",IF(LEFT(SEEMoutput!BE255,1)="D","DHP","HP"))</f>
        <v>HP</v>
      </c>
      <c r="F253" s="288">
        <f>SEEMoutput!E255</f>
        <v>427.48525799999999</v>
      </c>
      <c r="G253" s="289">
        <f>F253*(69-30)*SEEMoutput!N255/SEEMoutput!M255</f>
        <v>20819.704046862353</v>
      </c>
      <c r="H253" s="290">
        <f>'(Tons) (Furnsize)'!$F$52+'(Tons) (Furnsize)'!$F$53*'(Tons) (Furnsize)'!$B$15+'(Tons) (Furnsize)'!$F$54*G253</f>
        <v>2.503798201171493</v>
      </c>
      <c r="I253" s="290">
        <f>H253/'(Tons) (Furnsize)'!$G$7</f>
        <v>2.0752902973580172</v>
      </c>
      <c r="J253" s="291">
        <f>F253*(69-VLOOKUP(D253,'(Tons) (Furnsize)'!$D$15:$E$17,2,FALSE))/3412</f>
        <v>8.6449246195779601</v>
      </c>
      <c r="K253" s="292">
        <f>INDEX(Calibration!$A$4:$L$13,MATCH($D253&amp;$E253,Calibration!$A$4:$A$13,0),MATCH(K$4,Calibration!$A$4:$L$4,0))</f>
        <v>0.17499999999999999</v>
      </c>
      <c r="L253" s="292">
        <f>INDEX(Calibration!$A$4:$L$13,MATCH($D253&amp;$E253,Calibration!$A$4:$A$13,0),MATCH(L$4,Calibration!$A$4:$L$4,0))</f>
        <v>1.1965160377936901</v>
      </c>
      <c r="M253" s="292">
        <f>INDEX(Calibration!$A$4:$L$13,MATCH($D253&amp;$E253,Calibration!$A$4:$A$13,0),MATCH(M$4,Calibration!$A$4:$L$4,0))</f>
        <v>-2.050167690250368</v>
      </c>
      <c r="N253" s="292">
        <f>INDEX(Calibration!$A$4:$L$13,MATCH($D253&amp;$E253,Calibration!$A$4:$A$13,0),MATCH(N$4,Calibration!$A$4:$L$4,0))</f>
        <v>1.2990244223062084</v>
      </c>
      <c r="O253" s="292">
        <f>INDEX(Calibration!$A$4:$L$13,MATCH($D253&amp;$E253,Calibration!$A$4:$A$13,0),MATCH(O$4,Calibration!$A$4:$L$4,0))</f>
        <v>-4.1003353805007361</v>
      </c>
      <c r="P253" s="292">
        <f>INDEX(Calibration!$A$4:$L$13,MATCH($D253&amp;$E253,Calibration!$A$4:$A$13,0),MATCH(P$4,Calibration!$A$4:$L$4,0))</f>
        <v>1.452786999074986</v>
      </c>
      <c r="Q253" s="292">
        <f>INDEX(Calibration!$A$4:$L$13,MATCH($D253&amp;$E253,Calibration!$A$4:$A$13,0),MATCH(Q$4,Calibration!$A$4:$L$4,0))</f>
        <v>0.73522830748735724</v>
      </c>
      <c r="R253" s="293">
        <f>IF(C253&lt;Calibration!$F$5,L253,IF(C253&lt;Calibration!$E$5,C253*M253+N253,IF(C253&lt;K253,C253*O253+P253,Q253)))</f>
        <v>1.1437529301987523</v>
      </c>
      <c r="S253" s="286">
        <f t="shared" si="6"/>
        <v>5785.4403536925502</v>
      </c>
      <c r="T253" s="293">
        <f>IF(E253="DHP",VLOOKUP(D253,Calibration!$C$20:$E$22,2,FALSE),IF(D253=1,Calibration!$D$17,Calibration!$D$18))</f>
        <v>0.85917762533929642</v>
      </c>
      <c r="U253" s="286">
        <f t="shared" si="7"/>
        <v>4970.7209046277048</v>
      </c>
      <c r="V253" s="286">
        <f>VLOOKUP(T253,Calibration!$D$17:$E$22,2,FALSE)*S253</f>
        <v>714.89475602130597</v>
      </c>
      <c r="W253" t="s">
        <v>779</v>
      </c>
      <c r="X253">
        <v>412.43655699999999</v>
      </c>
      <c r="Y253">
        <v>2226.2961190000001</v>
      </c>
    </row>
    <row r="254" spans="1:25">
      <c r="A254" s="277" t="str">
        <f>SEEMoutput!A256</f>
        <v>WxHZ2CZ1_2200e_30gshp_des1</v>
      </c>
      <c r="B254" s="286">
        <f>SEEMoutput!O256</f>
        <v>6298.9215059999997</v>
      </c>
      <c r="C254" s="287">
        <v>8.8282274680255582E-2</v>
      </c>
      <c r="D254" s="277">
        <f>IF(SEEMoutput!G256&lt;6000,1,IF(SEEMoutput!G256&lt;7500,2,3))</f>
        <v>2</v>
      </c>
      <c r="E254" s="277" t="str">
        <f>IF(LEFT(SEEMoutput!BE256,1)="F","FUR",IF(LEFT(SEEMoutput!BE256,1)="D","DHP","HP"))</f>
        <v>HP</v>
      </c>
      <c r="F254" s="288">
        <f>SEEMoutput!E256</f>
        <v>493.49480499999999</v>
      </c>
      <c r="G254" s="289">
        <f>F254*(69-30)*SEEMoutput!N256/SEEMoutput!M256</f>
        <v>24654.094174656486</v>
      </c>
      <c r="H254" s="290">
        <f>'(Tons) (Furnsize)'!$F$52+'(Tons) (Furnsize)'!$F$53*'(Tons) (Furnsize)'!$B$15+'(Tons) (Furnsize)'!$F$54*G254</f>
        <v>2.9539954616185873</v>
      </c>
      <c r="I254" s="290">
        <f>H254/'(Tons) (Furnsize)'!$G$7</f>
        <v>2.4484393818432899</v>
      </c>
      <c r="J254" s="291">
        <f>F254*(69-VLOOKUP(D254,'(Tons) (Furnsize)'!$D$15:$E$17,2,FALSE))/3412</f>
        <v>9.9798187412075023</v>
      </c>
      <c r="K254" s="292">
        <f>INDEX(Calibration!$A$4:$L$13,MATCH($D254&amp;$E254,Calibration!$A$4:$A$13,0),MATCH(K$4,Calibration!$A$4:$L$4,0))</f>
        <v>0.17499999999999999</v>
      </c>
      <c r="L254" s="292">
        <f>INDEX(Calibration!$A$4:$L$13,MATCH($D254&amp;$E254,Calibration!$A$4:$A$13,0),MATCH(L$4,Calibration!$A$4:$L$4,0))</f>
        <v>1.1965160377936901</v>
      </c>
      <c r="M254" s="292">
        <f>INDEX(Calibration!$A$4:$L$13,MATCH($D254&amp;$E254,Calibration!$A$4:$A$13,0),MATCH(M$4,Calibration!$A$4:$L$4,0))</f>
        <v>-2.050167690250368</v>
      </c>
      <c r="N254" s="292">
        <f>INDEX(Calibration!$A$4:$L$13,MATCH($D254&amp;$E254,Calibration!$A$4:$A$13,0),MATCH(N$4,Calibration!$A$4:$L$4,0))</f>
        <v>1.2990244223062084</v>
      </c>
      <c r="O254" s="292">
        <f>INDEX(Calibration!$A$4:$L$13,MATCH($D254&amp;$E254,Calibration!$A$4:$A$13,0),MATCH(O$4,Calibration!$A$4:$L$4,0))</f>
        <v>-4.1003353805007361</v>
      </c>
      <c r="P254" s="292">
        <f>INDEX(Calibration!$A$4:$L$13,MATCH($D254&amp;$E254,Calibration!$A$4:$A$13,0),MATCH(P$4,Calibration!$A$4:$L$4,0))</f>
        <v>1.452786999074986</v>
      </c>
      <c r="Q254" s="292">
        <f>INDEX(Calibration!$A$4:$L$13,MATCH($D254&amp;$E254,Calibration!$A$4:$A$13,0),MATCH(Q$4,Calibration!$A$4:$L$4,0))</f>
        <v>0.73522830748735724</v>
      </c>
      <c r="R254" s="293">
        <f>IF(C254&lt;Calibration!$F$5,L254,IF(C254&lt;Calibration!$E$5,C254*M254+N254,IF(C254&lt;K254,C254*O254+P254,Q254)))</f>
        <v>1.0908000647324498</v>
      </c>
      <c r="S254" s="286">
        <f t="shared" si="6"/>
        <v>6870.8639864894203</v>
      </c>
      <c r="T254" s="293">
        <f>IF(E254="DHP",VLOOKUP(D254,Calibration!$C$20:$E$22,2,FALSE),IF(D254=1,Calibration!$D$17,Calibration!$D$18))</f>
        <v>0.85917762533929642</v>
      </c>
      <c r="U254" s="286">
        <f t="shared" si="7"/>
        <v>5903.2926039412714</v>
      </c>
      <c r="V254" s="286">
        <f>VLOOKUP(T254,Calibration!$D$17:$E$22,2,FALSE)*S254</f>
        <v>849.01828261731009</v>
      </c>
      <c r="W254" t="s">
        <v>779</v>
      </c>
      <c r="X254">
        <v>398.39023700000001</v>
      </c>
      <c r="Y254">
        <v>2642.8490259999999</v>
      </c>
    </row>
    <row r="255" spans="1:25">
      <c r="A255" s="277" t="str">
        <f>SEEMoutput!A257</f>
        <v>NWHZ3CZ1_2200n_30gshp_des1</v>
      </c>
      <c r="B255" s="286">
        <f>SEEMoutput!O257</f>
        <v>6361.1254310000004</v>
      </c>
      <c r="C255" s="287">
        <v>7.5117317602055006E-2</v>
      </c>
      <c r="D255" s="277">
        <f>IF(SEEMoutput!G257&lt;6000,1,IF(SEEMoutput!G257&lt;7500,2,3))</f>
        <v>3</v>
      </c>
      <c r="E255" s="277" t="str">
        <f>IF(LEFT(SEEMoutput!BE257,1)="F","FUR",IF(LEFT(SEEMoutput!BE257,1)="D","DHP","HP"))</f>
        <v>HP</v>
      </c>
      <c r="F255" s="288">
        <f>SEEMoutput!E257</f>
        <v>423.989754</v>
      </c>
      <c r="G255" s="289">
        <f>F255*(69-30)*SEEMoutput!N257/SEEMoutput!M257</f>
        <v>20866.93519554472</v>
      </c>
      <c r="H255" s="290">
        <f>'(Tons) (Furnsize)'!$F$52+'(Tons) (Furnsize)'!$F$53*'(Tons) (Furnsize)'!$B$15+'(Tons) (Furnsize)'!$F$54*G255</f>
        <v>2.5093436290064024</v>
      </c>
      <c r="I255" s="290">
        <f>H255/'(Tons) (Furnsize)'!$G$7</f>
        <v>2.0798866632213291</v>
      </c>
      <c r="J255" s="291">
        <f>F255*(69-VLOOKUP(D255,'(Tons) (Furnsize)'!$D$15:$E$17,2,FALSE))/3412</f>
        <v>11.680843164126612</v>
      </c>
      <c r="K255" s="292">
        <f>INDEX(Calibration!$A$4:$L$13,MATCH($D255&amp;$E255,Calibration!$A$4:$A$13,0),MATCH(K$4,Calibration!$A$4:$L$4,0))</f>
        <v>0.15</v>
      </c>
      <c r="L255" s="292">
        <f>INDEX(Calibration!$A$4:$L$13,MATCH($D255&amp;$E255,Calibration!$A$4:$A$13,0),MATCH(L$4,Calibration!$A$4:$L$4,0))</f>
        <v>1.0259371368886356</v>
      </c>
      <c r="M255" s="292">
        <f>INDEX(Calibration!$A$4:$L$13,MATCH($D255&amp;$E255,Calibration!$A$4:$A$13,0),MATCH(M$4,Calibration!$A$4:$L$4,0))</f>
        <v>-1.8551508104013119</v>
      </c>
      <c r="N255" s="292">
        <f>INDEX(Calibration!$A$4:$L$13,MATCH($D255&amp;$E255,Calibration!$A$4:$A$13,0),MATCH(N$4,Calibration!$A$4:$L$4,0))</f>
        <v>1.1186946774087012</v>
      </c>
      <c r="O255" s="292">
        <f>INDEX(Calibration!$A$4:$L$13,MATCH($D255&amp;$E255,Calibration!$A$4:$A$13,0),MATCH(O$4,Calibration!$A$4:$L$4,0))</f>
        <v>-3.7103016208026238</v>
      </c>
      <c r="P255" s="292">
        <f>INDEX(Calibration!$A$4:$L$13,MATCH($D255&amp;$E255,Calibration!$A$4:$A$13,0),MATCH(P$4,Calibration!$A$4:$L$4,0))</f>
        <v>1.2578309881887995</v>
      </c>
      <c r="Q255" s="292">
        <f>INDEX(Calibration!$A$4:$L$13,MATCH($D255&amp;$E255,Calibration!$A$4:$A$13,0),MATCH(Q$4,Calibration!$A$4:$L$4,0))</f>
        <v>0.7012857450684058</v>
      </c>
      <c r="R255" s="293">
        <f>IF(C255&lt;Calibration!$F$5,L255,IF(C255&lt;Calibration!$E$5,C255*M255+N255,IF(C255&lt;K255,C255*O255+P255,Q255)))</f>
        <v>0.97912308293954931</v>
      </c>
      <c r="S255" s="286">
        <f t="shared" si="6"/>
        <v>6228.3247429658895</v>
      </c>
      <c r="T255" s="293">
        <f>IF(E255="DHP",VLOOKUP(D255,Calibration!$C$20:$E$22,2,FALSE),IF(D255=1,Calibration!$D$17,Calibration!$D$18))</f>
        <v>0.85917762533929642</v>
      </c>
      <c r="U255" s="286">
        <f t="shared" si="7"/>
        <v>5351.2372625034168</v>
      </c>
      <c r="V255" s="286">
        <f>VLOOKUP(T255,Calibration!$D$17:$E$22,2,FALSE)*S255</f>
        <v>769.62105308063519</v>
      </c>
      <c r="W255" t="s">
        <v>794</v>
      </c>
      <c r="X255">
        <v>412.43655699999999</v>
      </c>
      <c r="Y255">
        <v>2565.1115100000002</v>
      </c>
    </row>
    <row r="256" spans="1:25">
      <c r="A256" s="277" t="str">
        <f>SEEMoutput!A258</f>
        <v>WxHZ3CZ1_2200e_30gshp_des1</v>
      </c>
      <c r="B256" s="286">
        <f>SEEMoutput!O258</f>
        <v>7980.0219090000001</v>
      </c>
      <c r="C256" s="287">
        <v>8.8107440872426404E-2</v>
      </c>
      <c r="D256" s="277">
        <f>IF(SEEMoutput!G258&lt;6000,1,IF(SEEMoutput!G258&lt;7500,2,3))</f>
        <v>3</v>
      </c>
      <c r="E256" s="277" t="str">
        <f>IF(LEFT(SEEMoutput!BE258,1)="F","FUR",IF(LEFT(SEEMoutput!BE258,1)="D","DHP","HP"))</f>
        <v>HP</v>
      </c>
      <c r="F256" s="288">
        <f>SEEMoutput!E258</f>
        <v>490.40903600000001</v>
      </c>
      <c r="G256" s="289">
        <f>F256*(69-30)*SEEMoutput!N258/SEEMoutput!M258</f>
        <v>24762.941272366872</v>
      </c>
      <c r="H256" s="290">
        <f>'(Tons) (Furnsize)'!$F$52+'(Tons) (Furnsize)'!$F$53*'(Tons) (Furnsize)'!$B$15+'(Tons) (Furnsize)'!$F$54*G256</f>
        <v>2.9667752423825817</v>
      </c>
      <c r="I256" s="290">
        <f>H256/'(Tons) (Furnsize)'!$G$7</f>
        <v>2.4590319907082816</v>
      </c>
      <c r="J256" s="291">
        <f>F256*(69-VLOOKUP(D256,'(Tons) (Furnsize)'!$D$15:$E$17,2,FALSE))/3412</f>
        <v>13.510682703399766</v>
      </c>
      <c r="K256" s="292">
        <f>INDEX(Calibration!$A$4:$L$13,MATCH($D256&amp;$E256,Calibration!$A$4:$A$13,0),MATCH(K$4,Calibration!$A$4:$L$4,0))</f>
        <v>0.15</v>
      </c>
      <c r="L256" s="292">
        <f>INDEX(Calibration!$A$4:$L$13,MATCH($D256&amp;$E256,Calibration!$A$4:$A$13,0),MATCH(L$4,Calibration!$A$4:$L$4,0))</f>
        <v>1.0259371368886356</v>
      </c>
      <c r="M256" s="292">
        <f>INDEX(Calibration!$A$4:$L$13,MATCH($D256&amp;$E256,Calibration!$A$4:$A$13,0),MATCH(M$4,Calibration!$A$4:$L$4,0))</f>
        <v>-1.8551508104013119</v>
      </c>
      <c r="N256" s="292">
        <f>INDEX(Calibration!$A$4:$L$13,MATCH($D256&amp;$E256,Calibration!$A$4:$A$13,0),MATCH(N$4,Calibration!$A$4:$L$4,0))</f>
        <v>1.1186946774087012</v>
      </c>
      <c r="O256" s="292">
        <f>INDEX(Calibration!$A$4:$L$13,MATCH($D256&amp;$E256,Calibration!$A$4:$A$13,0),MATCH(O$4,Calibration!$A$4:$L$4,0))</f>
        <v>-3.7103016208026238</v>
      </c>
      <c r="P256" s="292">
        <f>INDEX(Calibration!$A$4:$L$13,MATCH($D256&amp;$E256,Calibration!$A$4:$A$13,0),MATCH(P$4,Calibration!$A$4:$L$4,0))</f>
        <v>1.2578309881887995</v>
      </c>
      <c r="Q256" s="292">
        <f>INDEX(Calibration!$A$4:$L$13,MATCH($D256&amp;$E256,Calibration!$A$4:$A$13,0),MATCH(Q$4,Calibration!$A$4:$L$4,0))</f>
        <v>0.7012857450684058</v>
      </c>
      <c r="R256" s="293">
        <f>IF(C256&lt;Calibration!$F$5,L256,IF(C256&lt;Calibration!$E$5,C256*M256+N256,IF(C256&lt;K256,C256*O256+P256,Q256)))</f>
        <v>0.93092580751506437</v>
      </c>
      <c r="S256" s="286">
        <f t="shared" si="6"/>
        <v>7428.8083396237307</v>
      </c>
      <c r="T256" s="293">
        <f>IF(E256="DHP",VLOOKUP(D256,Calibration!$C$20:$E$22,2,FALSE),IF(D256=1,Calibration!$D$17,Calibration!$D$18))</f>
        <v>0.85917762533929642</v>
      </c>
      <c r="U256" s="286">
        <f t="shared" si="7"/>
        <v>6382.6659083386785</v>
      </c>
      <c r="V256" s="286">
        <f>VLOOKUP(T256,Calibration!$D$17:$E$22,2,FALSE)*S256</f>
        <v>917.96229859922914</v>
      </c>
      <c r="W256" t="s">
        <v>794</v>
      </c>
      <c r="X256">
        <v>398.39023700000001</v>
      </c>
      <c r="Y256">
        <v>3033.288153</v>
      </c>
    </row>
    <row r="257" spans="1:25">
      <c r="A257" s="277" t="str">
        <f>SEEMoutput!A259</f>
        <v>NWHZ1CZ1_2688n_30gshp_des1</v>
      </c>
      <c r="B257" s="286">
        <f>SEEMoutput!O259</f>
        <v>2994.8451679999998</v>
      </c>
      <c r="C257" s="287">
        <v>8.2812144455517031E-2</v>
      </c>
      <c r="D257" s="277">
        <f>IF(SEEMoutput!G259&lt;6000,1,IF(SEEMoutput!G259&lt;7500,2,3))</f>
        <v>1</v>
      </c>
      <c r="E257" s="277" t="str">
        <f>IF(LEFT(SEEMoutput!BE259,1)="F","FUR",IF(LEFT(SEEMoutput!BE259,1)="D","DHP","HP"))</f>
        <v>HP</v>
      </c>
      <c r="F257" s="288">
        <f>SEEMoutput!E259</f>
        <v>439.58964500000002</v>
      </c>
      <c r="G257" s="289">
        <f>F257*(69-30)*SEEMoutput!N259/SEEMoutput!M259</f>
        <v>17401.101341508431</v>
      </c>
      <c r="H257" s="290">
        <f>'(Tons) (Furnsize)'!$F$52+'(Tons) (Furnsize)'!$F$53*'(Tons) (Furnsize)'!$B$15+'(Tons) (Furnsize)'!$F$54*G257</f>
        <v>2.1024187063330917</v>
      </c>
      <c r="I257" s="290">
        <f>H257/'(Tons) (Furnsize)'!$G$7</f>
        <v>1.742604152441523</v>
      </c>
      <c r="J257" s="291">
        <f>F257*(69-VLOOKUP(D257,'(Tons) (Furnsize)'!$D$15:$E$17,2,FALSE))/3412</f>
        <v>6.6994904865181715</v>
      </c>
      <c r="K257" s="292">
        <f>INDEX(Calibration!$A$4:$L$13,MATCH($D257&amp;$E257,Calibration!$A$4:$A$13,0),MATCH(K$4,Calibration!$A$4:$L$4,0))</f>
        <v>0.2</v>
      </c>
      <c r="L257" s="292">
        <f>INDEX(Calibration!$A$4:$L$13,MATCH($D257&amp;$E257,Calibration!$A$4:$A$13,0),MATCH(L$4,Calibration!$A$4:$L$4,0))</f>
        <v>1.3869915874526988</v>
      </c>
      <c r="M257" s="292">
        <f>INDEX(Calibration!$A$4:$L$13,MATCH($D257&amp;$E257,Calibration!$A$4:$A$13,0),MATCH(M$4,Calibration!$A$4:$L$4,0))</f>
        <v>-2.2641144651923684</v>
      </c>
      <c r="N257" s="292">
        <f>INDEX(Calibration!$A$4:$L$13,MATCH($D257&amp;$E257,Calibration!$A$4:$A$13,0),MATCH(N$4,Calibration!$A$4:$L$4,0))</f>
        <v>1.5001973107123172</v>
      </c>
      <c r="O257" s="292">
        <f>INDEX(Calibration!$A$4:$L$13,MATCH($D257&amp;$E257,Calibration!$A$4:$A$13,0),MATCH(O$4,Calibration!$A$4:$L$4,0))</f>
        <v>-4.5282289303847367</v>
      </c>
      <c r="P257" s="292">
        <f>INDEX(Calibration!$A$4:$L$13,MATCH($D257&amp;$E257,Calibration!$A$4:$A$13,0),MATCH(P$4,Calibration!$A$4:$L$4,0))</f>
        <v>1.6700058956017449</v>
      </c>
      <c r="Q257" s="292">
        <f>INDEX(Calibration!$A$4:$L$13,MATCH($D257&amp;$E257,Calibration!$A$4:$A$13,0),MATCH(Q$4,Calibration!$A$4:$L$4,0))</f>
        <v>0.7643601095247976</v>
      </c>
      <c r="R257" s="293">
        <f>IF(C257&lt;Calibration!$F$5,L257,IF(C257&lt;Calibration!$E$5,C257*M257+N257,IF(C257&lt;K257,C257*O257+P257,Q257)))</f>
        <v>1.2950135472910729</v>
      </c>
      <c r="S257" s="286">
        <f t="shared" si="6"/>
        <v>3878.3650645992088</v>
      </c>
      <c r="T257" s="293">
        <f>IF(E257="DHP",VLOOKUP(D257,Calibration!$C$20:$E$22,2,FALSE),IF(D257=1,Calibration!$D$17,Calibration!$D$18))</f>
        <v>0.82813167326562143</v>
      </c>
      <c r="U257" s="286">
        <f t="shared" si="7"/>
        <v>3211.7969504814728</v>
      </c>
      <c r="V257" s="286">
        <f>VLOOKUP(T257,Calibration!$D$17:$E$22,2,FALSE)*S257</f>
        <v>606.19969220511393</v>
      </c>
      <c r="W257" t="s">
        <v>764</v>
      </c>
      <c r="X257">
        <v>257.26069200000001</v>
      </c>
      <c r="Y257">
        <v>1380.8976279999999</v>
      </c>
    </row>
    <row r="258" spans="1:25">
      <c r="A258" s="277" t="str">
        <f>SEEMoutput!A260</f>
        <v>WxHZ1CZ1_2688e_30gshp_des1</v>
      </c>
      <c r="B258" s="286">
        <f>SEEMoutput!O260</f>
        <v>3340.2249740000002</v>
      </c>
      <c r="C258" s="287">
        <v>9.1242762726602991E-2</v>
      </c>
      <c r="D258" s="277">
        <f>IF(SEEMoutput!G260&lt;6000,1,IF(SEEMoutput!G260&lt;7500,2,3))</f>
        <v>1</v>
      </c>
      <c r="E258" s="277" t="str">
        <f>IF(LEFT(SEEMoutput!BE260,1)="F","FUR",IF(LEFT(SEEMoutput!BE260,1)="D","DHP","HP"))</f>
        <v>HP</v>
      </c>
      <c r="F258" s="288">
        <f>SEEMoutput!E260</f>
        <v>474.02617500000002</v>
      </c>
      <c r="G258" s="289">
        <f>F258*(69-30)*SEEMoutput!N260/SEEMoutput!M260</f>
        <v>18801.379173374437</v>
      </c>
      <c r="H258" s="290">
        <f>'(Tons) (Furnsize)'!$F$52+'(Tons) (Furnsize)'!$F$53*'(Tons) (Furnsize)'!$B$15+'(Tons) (Furnsize)'!$F$54*G258</f>
        <v>2.2668258800323247</v>
      </c>
      <c r="I258" s="290">
        <f>H258/'(Tons) (Furnsize)'!$G$7</f>
        <v>1.87887416503057</v>
      </c>
      <c r="J258" s="291">
        <f>F258*(69-VLOOKUP(D258,'(Tons) (Furnsize)'!$D$15:$E$17,2,FALSE))/3412</f>
        <v>7.2243145076201642</v>
      </c>
      <c r="K258" s="292">
        <f>INDEX(Calibration!$A$4:$L$13,MATCH($D258&amp;$E258,Calibration!$A$4:$A$13,0),MATCH(K$4,Calibration!$A$4:$L$4,0))</f>
        <v>0.2</v>
      </c>
      <c r="L258" s="292">
        <f>INDEX(Calibration!$A$4:$L$13,MATCH($D258&amp;$E258,Calibration!$A$4:$A$13,0),MATCH(L$4,Calibration!$A$4:$L$4,0))</f>
        <v>1.3869915874526988</v>
      </c>
      <c r="M258" s="292">
        <f>INDEX(Calibration!$A$4:$L$13,MATCH($D258&amp;$E258,Calibration!$A$4:$A$13,0),MATCH(M$4,Calibration!$A$4:$L$4,0))</f>
        <v>-2.2641144651923684</v>
      </c>
      <c r="N258" s="292">
        <f>INDEX(Calibration!$A$4:$L$13,MATCH($D258&amp;$E258,Calibration!$A$4:$A$13,0),MATCH(N$4,Calibration!$A$4:$L$4,0))</f>
        <v>1.5001973107123172</v>
      </c>
      <c r="O258" s="292">
        <f>INDEX(Calibration!$A$4:$L$13,MATCH($D258&amp;$E258,Calibration!$A$4:$A$13,0),MATCH(O$4,Calibration!$A$4:$L$4,0))</f>
        <v>-4.5282289303847367</v>
      </c>
      <c r="P258" s="292">
        <f>INDEX(Calibration!$A$4:$L$13,MATCH($D258&amp;$E258,Calibration!$A$4:$A$13,0),MATCH(P$4,Calibration!$A$4:$L$4,0))</f>
        <v>1.6700058956017449</v>
      </c>
      <c r="Q258" s="292">
        <f>INDEX(Calibration!$A$4:$L$13,MATCH($D258&amp;$E258,Calibration!$A$4:$A$13,0),MATCH(Q$4,Calibration!$A$4:$L$4,0))</f>
        <v>0.7643601095247976</v>
      </c>
      <c r="R258" s="293">
        <f>IF(C258&lt;Calibration!$F$5,L258,IF(C258&lt;Calibration!$E$5,C258*M258+N258,IF(C258&lt;K258,C258*O258+P258,Q258)))</f>
        <v>1.2568377777349111</v>
      </c>
      <c r="S258" s="286">
        <f t="shared" si="6"/>
        <v>4198.1209334568111</v>
      </c>
      <c r="T258" s="293">
        <f>IF(E258="DHP",VLOOKUP(D258,Calibration!$C$20:$E$22,2,FALSE),IF(D258=1,Calibration!$D$17,Calibration!$D$18))</f>
        <v>0.82813167326562143</v>
      </c>
      <c r="U258" s="286">
        <f t="shared" si="7"/>
        <v>3476.5969131950214</v>
      </c>
      <c r="V258" s="286">
        <f>VLOOKUP(T258,Calibration!$D$17:$E$22,2,FALSE)*S258</f>
        <v>656.17846059170677</v>
      </c>
      <c r="W258" t="s">
        <v>764</v>
      </c>
      <c r="X258">
        <v>257.05850400000003</v>
      </c>
      <c r="Y258">
        <v>1522.897318</v>
      </c>
    </row>
    <row r="259" spans="1:25">
      <c r="A259" s="277" t="str">
        <f>SEEMoutput!A261</f>
        <v>NWHZ2CZ1_2688n_30gshp_des1</v>
      </c>
      <c r="B259" s="286">
        <f>SEEMoutput!O261</f>
        <v>4414.7113669999999</v>
      </c>
      <c r="C259" s="287">
        <v>8.5076511350890685E-2</v>
      </c>
      <c r="D259" s="277">
        <f>IF(SEEMoutput!G261&lt;6000,1,IF(SEEMoutput!G261&lt;7500,2,3))</f>
        <v>2</v>
      </c>
      <c r="E259" s="277" t="str">
        <f>IF(LEFT(SEEMoutput!BE261,1)="F","FUR",IF(LEFT(SEEMoutput!BE261,1)="D","DHP","HP"))</f>
        <v>HP</v>
      </c>
      <c r="F259" s="288">
        <f>SEEMoutput!E261</f>
        <v>445.62443500000001</v>
      </c>
      <c r="G259" s="289">
        <f>F259*(69-30)*SEEMoutput!N261/SEEMoutput!M261</f>
        <v>17659.138585925579</v>
      </c>
      <c r="H259" s="290">
        <f>'(Tons) (Furnsize)'!$F$52+'(Tons) (Furnsize)'!$F$53*'(Tons) (Furnsize)'!$B$15+'(Tons) (Furnsize)'!$F$54*G259</f>
        <v>2.1327149611893361</v>
      </c>
      <c r="I259" s="290">
        <f>H259/'(Tons) (Furnsize)'!$G$7</f>
        <v>1.7677154108967899</v>
      </c>
      <c r="J259" s="291">
        <f>F259*(69-VLOOKUP(D259,'(Tons) (Furnsize)'!$D$15:$E$17,2,FALSE))/3412</f>
        <v>9.0117485389800702</v>
      </c>
      <c r="K259" s="292">
        <f>INDEX(Calibration!$A$4:$L$13,MATCH($D259&amp;$E259,Calibration!$A$4:$A$13,0),MATCH(K$4,Calibration!$A$4:$L$4,0))</f>
        <v>0.17499999999999999</v>
      </c>
      <c r="L259" s="292">
        <f>INDEX(Calibration!$A$4:$L$13,MATCH($D259&amp;$E259,Calibration!$A$4:$A$13,0),MATCH(L$4,Calibration!$A$4:$L$4,0))</f>
        <v>1.1965160377936901</v>
      </c>
      <c r="M259" s="292">
        <f>INDEX(Calibration!$A$4:$L$13,MATCH($D259&amp;$E259,Calibration!$A$4:$A$13,0),MATCH(M$4,Calibration!$A$4:$L$4,0))</f>
        <v>-2.050167690250368</v>
      </c>
      <c r="N259" s="292">
        <f>INDEX(Calibration!$A$4:$L$13,MATCH($D259&amp;$E259,Calibration!$A$4:$A$13,0),MATCH(N$4,Calibration!$A$4:$L$4,0))</f>
        <v>1.2990244223062084</v>
      </c>
      <c r="O259" s="292">
        <f>INDEX(Calibration!$A$4:$L$13,MATCH($D259&amp;$E259,Calibration!$A$4:$A$13,0),MATCH(O$4,Calibration!$A$4:$L$4,0))</f>
        <v>-4.1003353805007361</v>
      </c>
      <c r="P259" s="292">
        <f>INDEX(Calibration!$A$4:$L$13,MATCH($D259&amp;$E259,Calibration!$A$4:$A$13,0),MATCH(P$4,Calibration!$A$4:$L$4,0))</f>
        <v>1.452786999074986</v>
      </c>
      <c r="Q259" s="292">
        <f>INDEX(Calibration!$A$4:$L$13,MATCH($D259&amp;$E259,Calibration!$A$4:$A$13,0),MATCH(Q$4,Calibration!$A$4:$L$4,0))</f>
        <v>0.73522830748735724</v>
      </c>
      <c r="R259" s="293">
        <f>IF(C259&lt;Calibration!$F$5,L259,IF(C259&lt;Calibration!$E$5,C259*M259+N259,IF(C259&lt;K259,C259*O259+P259,Q259)))</f>
        <v>1.1039447695333564</v>
      </c>
      <c r="S259" s="286">
        <f t="shared" si="6"/>
        <v>4873.5975225991033</v>
      </c>
      <c r="T259" s="293">
        <f>IF(E259="DHP",VLOOKUP(D259,Calibration!$C$20:$E$22,2,FALSE),IF(D259=1,Calibration!$D$17,Calibration!$D$18))</f>
        <v>0.85917762533929642</v>
      </c>
      <c r="U259" s="286">
        <f t="shared" si="7"/>
        <v>4187.2859463261757</v>
      </c>
      <c r="V259" s="286">
        <f>VLOOKUP(T259,Calibration!$D$17:$E$22,2,FALSE)*S259</f>
        <v>602.22024580044263</v>
      </c>
      <c r="W259" t="s">
        <v>779</v>
      </c>
      <c r="X259">
        <v>257.26069200000001</v>
      </c>
      <c r="Y259">
        <v>1968.0893369999999</v>
      </c>
    </row>
    <row r="260" spans="1:25">
      <c r="A260" s="277" t="str">
        <f>SEEMoutput!A262</f>
        <v>WxHZ2CZ1_2688e_30gshp_des1</v>
      </c>
      <c r="B260" s="286">
        <f>SEEMoutput!O262</f>
        <v>4880.1835899999996</v>
      </c>
      <c r="C260" s="287">
        <v>9.3516350131585199E-2</v>
      </c>
      <c r="D260" s="277">
        <f>IF(SEEMoutput!G262&lt;6000,1,IF(SEEMoutput!G262&lt;7500,2,3))</f>
        <v>2</v>
      </c>
      <c r="E260" s="277" t="str">
        <f>IF(LEFT(SEEMoutput!BE262,1)="F","FUR",IF(LEFT(SEEMoutput!BE262,1)="D","DHP","HP"))</f>
        <v>HP</v>
      </c>
      <c r="F260" s="288">
        <f>SEEMoutput!E262</f>
        <v>480.14873699999998</v>
      </c>
      <c r="G260" s="289">
        <f>F260*(69-30)*SEEMoutput!N262/SEEMoutput!M262</f>
        <v>19068.531735709632</v>
      </c>
      <c r="H260" s="290">
        <f>'(Tons) (Furnsize)'!$F$52+'(Tons) (Furnsize)'!$F$53*'(Tons) (Furnsize)'!$B$15+'(Tons) (Furnsize)'!$F$54*G260</f>
        <v>2.2981923679681562</v>
      </c>
      <c r="I260" s="290">
        <f>H260/'(Tons) (Furnsize)'!$G$7</f>
        <v>1.9048724935080692</v>
      </c>
      <c r="J260" s="291">
        <f>F260*(69-VLOOKUP(D260,'(Tons) (Furnsize)'!$D$15:$E$17,2,FALSE))/3412</f>
        <v>9.7099246345252048</v>
      </c>
      <c r="K260" s="292">
        <f>INDEX(Calibration!$A$4:$L$13,MATCH($D260&amp;$E260,Calibration!$A$4:$A$13,0),MATCH(K$4,Calibration!$A$4:$L$4,0))</f>
        <v>0.17499999999999999</v>
      </c>
      <c r="L260" s="292">
        <f>INDEX(Calibration!$A$4:$L$13,MATCH($D260&amp;$E260,Calibration!$A$4:$A$13,0),MATCH(L$4,Calibration!$A$4:$L$4,0))</f>
        <v>1.1965160377936901</v>
      </c>
      <c r="M260" s="292">
        <f>INDEX(Calibration!$A$4:$L$13,MATCH($D260&amp;$E260,Calibration!$A$4:$A$13,0),MATCH(M$4,Calibration!$A$4:$L$4,0))</f>
        <v>-2.050167690250368</v>
      </c>
      <c r="N260" s="292">
        <f>INDEX(Calibration!$A$4:$L$13,MATCH($D260&amp;$E260,Calibration!$A$4:$A$13,0),MATCH(N$4,Calibration!$A$4:$L$4,0))</f>
        <v>1.2990244223062084</v>
      </c>
      <c r="O260" s="292">
        <f>INDEX(Calibration!$A$4:$L$13,MATCH($D260&amp;$E260,Calibration!$A$4:$A$13,0),MATCH(O$4,Calibration!$A$4:$L$4,0))</f>
        <v>-4.1003353805007361</v>
      </c>
      <c r="P260" s="292">
        <f>INDEX(Calibration!$A$4:$L$13,MATCH($D260&amp;$E260,Calibration!$A$4:$A$13,0),MATCH(P$4,Calibration!$A$4:$L$4,0))</f>
        <v>1.452786999074986</v>
      </c>
      <c r="Q260" s="292">
        <f>INDEX(Calibration!$A$4:$L$13,MATCH($D260&amp;$E260,Calibration!$A$4:$A$13,0),MATCH(Q$4,Calibration!$A$4:$L$4,0))</f>
        <v>0.73522830748735724</v>
      </c>
      <c r="R260" s="293">
        <f>IF(C260&lt;Calibration!$F$5,L260,IF(C260&lt;Calibration!$E$5,C260*M260+N260,IF(C260&lt;K260,C260*O260+P260,Q260)))</f>
        <v>1.0693385999751526</v>
      </c>
      <c r="S260" s="286">
        <f t="shared" si="6"/>
        <v>5218.568687752314</v>
      </c>
      <c r="T260" s="293">
        <f>IF(E260="DHP",VLOOKUP(D260,Calibration!$C$20:$E$22,2,FALSE),IF(D260=1,Calibration!$D$17,Calibration!$D$18))</f>
        <v>0.85917762533929642</v>
      </c>
      <c r="U260" s="286">
        <f t="shared" si="7"/>
        <v>4483.6774528130418</v>
      </c>
      <c r="V260" s="286">
        <f>VLOOKUP(T260,Calibration!$D$17:$E$22,2,FALSE)*S260</f>
        <v>644.84761068014211</v>
      </c>
      <c r="W260" t="s">
        <v>779</v>
      </c>
      <c r="X260">
        <v>257.05850400000003</v>
      </c>
      <c r="Y260">
        <v>2153.1304049999999</v>
      </c>
    </row>
    <row r="261" spans="1:25">
      <c r="A261" s="277" t="str">
        <f>SEEMoutput!A263</f>
        <v>NWHZ3CZ1_2688n_30gshp_des1</v>
      </c>
      <c r="B261" s="286">
        <f>SEEMoutput!O263</f>
        <v>5527.5061809999997</v>
      </c>
      <c r="C261" s="287">
        <v>8.413550712028571E-2</v>
      </c>
      <c r="D261" s="277">
        <f>IF(SEEMoutput!G263&lt;6000,1,IF(SEEMoutput!G263&lt;7500,2,3))</f>
        <v>3</v>
      </c>
      <c r="E261" s="277" t="str">
        <f>IF(LEFT(SEEMoutput!BE263,1)="F","FUR",IF(LEFT(SEEMoutput!BE263,1)="D","DHP","HP"))</f>
        <v>HP</v>
      </c>
      <c r="F261" s="288">
        <f>SEEMoutput!E263</f>
        <v>438.672348</v>
      </c>
      <c r="G261" s="289">
        <f>F261*(69-30)*SEEMoutput!N263/SEEMoutput!M263</f>
        <v>17383.895882272995</v>
      </c>
      <c r="H261" s="290">
        <f>'(Tons) (Furnsize)'!$F$52+'(Tons) (Furnsize)'!$F$53*'(Tons) (Furnsize)'!$B$15+'(Tons) (Furnsize)'!$F$54*G261</f>
        <v>2.1003986065638012</v>
      </c>
      <c r="I261" s="290">
        <f>H261/'(Tons) (Furnsize)'!$G$7</f>
        <v>1.740929778904174</v>
      </c>
      <c r="J261" s="291">
        <f>F261*(69-VLOOKUP(D261,'(Tons) (Furnsize)'!$D$15:$E$17,2,FALSE))/3412</f>
        <v>12.085346046893317</v>
      </c>
      <c r="K261" s="292">
        <f>INDEX(Calibration!$A$4:$L$13,MATCH($D261&amp;$E261,Calibration!$A$4:$A$13,0),MATCH(K$4,Calibration!$A$4:$L$4,0))</f>
        <v>0.15</v>
      </c>
      <c r="L261" s="292">
        <f>INDEX(Calibration!$A$4:$L$13,MATCH($D261&amp;$E261,Calibration!$A$4:$A$13,0),MATCH(L$4,Calibration!$A$4:$L$4,0))</f>
        <v>1.0259371368886356</v>
      </c>
      <c r="M261" s="292">
        <f>INDEX(Calibration!$A$4:$L$13,MATCH($D261&amp;$E261,Calibration!$A$4:$A$13,0),MATCH(M$4,Calibration!$A$4:$L$4,0))</f>
        <v>-1.8551508104013119</v>
      </c>
      <c r="N261" s="292">
        <f>INDEX(Calibration!$A$4:$L$13,MATCH($D261&amp;$E261,Calibration!$A$4:$A$13,0),MATCH(N$4,Calibration!$A$4:$L$4,0))</f>
        <v>1.1186946774087012</v>
      </c>
      <c r="O261" s="292">
        <f>INDEX(Calibration!$A$4:$L$13,MATCH($D261&amp;$E261,Calibration!$A$4:$A$13,0),MATCH(O$4,Calibration!$A$4:$L$4,0))</f>
        <v>-3.7103016208026238</v>
      </c>
      <c r="P261" s="292">
        <f>INDEX(Calibration!$A$4:$L$13,MATCH($D261&amp;$E261,Calibration!$A$4:$A$13,0),MATCH(P$4,Calibration!$A$4:$L$4,0))</f>
        <v>1.2578309881887995</v>
      </c>
      <c r="Q261" s="292">
        <f>INDEX(Calibration!$A$4:$L$13,MATCH($D261&amp;$E261,Calibration!$A$4:$A$13,0),MATCH(Q$4,Calibration!$A$4:$L$4,0))</f>
        <v>0.7012857450684058</v>
      </c>
      <c r="R261" s="293">
        <f>IF(C261&lt;Calibration!$F$5,L261,IF(C261&lt;Calibration!$E$5,C261*M261+N261,IF(C261&lt;K261,C261*O261+P261,Q261)))</f>
        <v>0.94566287975335261</v>
      </c>
      <c r="S261" s="286">
        <f t="shared" ref="S261:S268" si="8">R261*B261</f>
        <v>5227.157412978916</v>
      </c>
      <c r="T261" s="293">
        <f>IF(E261="DHP",VLOOKUP(D261,Calibration!$C$20:$E$22,2,FALSE),IF(D261=1,Calibration!$D$17,Calibration!$D$18))</f>
        <v>0.85917762533929642</v>
      </c>
      <c r="U261" s="286">
        <f t="shared" ref="U261:U268" si="9">T261*S261</f>
        <v>4491.0566933579248</v>
      </c>
      <c r="V261" s="286">
        <f>VLOOKUP(T261,Calibration!$D$17:$E$22,2,FALSE)*S261</f>
        <v>645.90890148084793</v>
      </c>
      <c r="W261" t="s">
        <v>794</v>
      </c>
      <c r="X261">
        <v>257.26069200000001</v>
      </c>
      <c r="Y261">
        <v>2317.0866070000002</v>
      </c>
    </row>
    <row r="262" spans="1:25">
      <c r="A262" s="277" t="str">
        <f>SEEMoutput!A264</f>
        <v>WxHZ3CZ1_2688e_30gshp_des1</v>
      </c>
      <c r="B262" s="286">
        <f>SEEMoutput!O264</f>
        <v>6107.9681950000004</v>
      </c>
      <c r="C262" s="287">
        <v>9.2452259415570961E-2</v>
      </c>
      <c r="D262" s="277">
        <f>IF(SEEMoutput!G264&lt;6000,1,IF(SEEMoutput!G264&lt;7500,2,3))</f>
        <v>3</v>
      </c>
      <c r="E262" s="277" t="str">
        <f>IF(LEFT(SEEMoutput!BE264,1)="F","FUR",IF(LEFT(SEEMoutput!BE264,1)="D","DHP","HP"))</f>
        <v>HP</v>
      </c>
      <c r="F262" s="288">
        <f>SEEMoutput!E264</f>
        <v>472.58422200000001</v>
      </c>
      <c r="G262" s="289">
        <f>F262*(69-30)*SEEMoutput!N264/SEEMoutput!M264</f>
        <v>18768.552442639386</v>
      </c>
      <c r="H262" s="290">
        <f>'(Tons) (Furnsize)'!$F$52+'(Tons) (Furnsize)'!$F$53*'(Tons) (Furnsize)'!$B$15+'(Tons) (Furnsize)'!$F$54*G262</f>
        <v>2.262971680601956</v>
      </c>
      <c r="I262" s="290">
        <f>H262/'(Tons) (Furnsize)'!$G$7</f>
        <v>1.8756795854202066</v>
      </c>
      <c r="J262" s="291">
        <f>F262*(69-VLOOKUP(D262,'(Tons) (Furnsize)'!$D$15:$E$17,2,FALSE))/3412</f>
        <v>13.019612212192262</v>
      </c>
      <c r="K262" s="292">
        <f>INDEX(Calibration!$A$4:$L$13,MATCH($D262&amp;$E262,Calibration!$A$4:$A$13,0),MATCH(K$4,Calibration!$A$4:$L$4,0))</f>
        <v>0.15</v>
      </c>
      <c r="L262" s="292">
        <f>INDEX(Calibration!$A$4:$L$13,MATCH($D262&amp;$E262,Calibration!$A$4:$A$13,0),MATCH(L$4,Calibration!$A$4:$L$4,0))</f>
        <v>1.0259371368886356</v>
      </c>
      <c r="M262" s="292">
        <f>INDEX(Calibration!$A$4:$L$13,MATCH($D262&amp;$E262,Calibration!$A$4:$A$13,0),MATCH(M$4,Calibration!$A$4:$L$4,0))</f>
        <v>-1.8551508104013119</v>
      </c>
      <c r="N262" s="292">
        <f>INDEX(Calibration!$A$4:$L$13,MATCH($D262&amp;$E262,Calibration!$A$4:$A$13,0),MATCH(N$4,Calibration!$A$4:$L$4,0))</f>
        <v>1.1186946774087012</v>
      </c>
      <c r="O262" s="292">
        <f>INDEX(Calibration!$A$4:$L$13,MATCH($D262&amp;$E262,Calibration!$A$4:$A$13,0),MATCH(O$4,Calibration!$A$4:$L$4,0))</f>
        <v>-3.7103016208026238</v>
      </c>
      <c r="P262" s="292">
        <f>INDEX(Calibration!$A$4:$L$13,MATCH($D262&amp;$E262,Calibration!$A$4:$A$13,0),MATCH(P$4,Calibration!$A$4:$L$4,0))</f>
        <v>1.2578309881887995</v>
      </c>
      <c r="Q262" s="292">
        <f>INDEX(Calibration!$A$4:$L$13,MATCH($D262&amp;$E262,Calibration!$A$4:$A$13,0),MATCH(Q$4,Calibration!$A$4:$L$4,0))</f>
        <v>0.7012857450684058</v>
      </c>
      <c r="R262" s="293">
        <f>IF(C262&lt;Calibration!$F$5,L262,IF(C262&lt;Calibration!$E$5,C262*M262+N262,IF(C262&lt;K262,C262*O262+P262,Q262)))</f>
        <v>0.9148052202323419</v>
      </c>
      <c r="S262" s="286">
        <f t="shared" si="8"/>
        <v>5587.6011897991148</v>
      </c>
      <c r="T262" s="293">
        <f>IF(E262="DHP",VLOOKUP(D262,Calibration!$C$20:$E$22,2,FALSE),IF(D262=1,Calibration!$D$17,Calibration!$D$18))</f>
        <v>0.85917762533929642</v>
      </c>
      <c r="U262" s="286">
        <f t="shared" si="9"/>
        <v>4800.7419215946311</v>
      </c>
      <c r="V262" s="286">
        <f>VLOOKUP(T262,Calibration!$D$17:$E$22,2,FALSE)*S262</f>
        <v>690.4481846012435</v>
      </c>
      <c r="W262" t="s">
        <v>794</v>
      </c>
      <c r="X262">
        <v>257.05850400000003</v>
      </c>
      <c r="Y262">
        <v>2527.8197869999999</v>
      </c>
    </row>
    <row r="263" spans="1:25">
      <c r="A263" s="277" t="str">
        <f>SEEMoutput!A265</f>
        <v>NWHZ1CZ1_5000n_30gshp_des1</v>
      </c>
      <c r="B263" s="286">
        <f>SEEMoutput!O265</f>
        <v>6507.9062080000003</v>
      </c>
      <c r="C263" s="287">
        <v>9.7652024388354602E-2</v>
      </c>
      <c r="D263" s="277">
        <f>IF(SEEMoutput!G265&lt;6000,1,IF(SEEMoutput!G265&lt;7500,2,3))</f>
        <v>1</v>
      </c>
      <c r="E263" s="277" t="str">
        <f>IF(LEFT(SEEMoutput!BE265,1)="F","FUR",IF(LEFT(SEEMoutput!BE265,1)="D","DHP","HP"))</f>
        <v>HP</v>
      </c>
      <c r="F263" s="288">
        <f>SEEMoutput!E265</f>
        <v>764.31573300000002</v>
      </c>
      <c r="G263" s="289">
        <f>F263*(69-30)*SEEMoutput!N265/SEEMoutput!M265</f>
        <v>30965.90981265419</v>
      </c>
      <c r="H263" s="290">
        <f>'(Tons) (Furnsize)'!$F$52+'(Tons) (Furnsize)'!$F$53*'(Tons) (Furnsize)'!$B$15+'(Tons) (Furnsize)'!$F$54*G263</f>
        <v>3.6950682304211724</v>
      </c>
      <c r="I263" s="290">
        <f>H263/'(Tons) (Furnsize)'!$G$7</f>
        <v>3.0626826247742351</v>
      </c>
      <c r="J263" s="291">
        <f>F263*(69-VLOOKUP(D263,'(Tons) (Furnsize)'!$D$15:$E$17,2,FALSE))/3412</f>
        <v>11.648422660023448</v>
      </c>
      <c r="K263" s="292">
        <f>INDEX(Calibration!$A$4:$L$13,MATCH($D263&amp;$E263,Calibration!$A$4:$A$13,0),MATCH(K$4,Calibration!$A$4:$L$4,0))</f>
        <v>0.2</v>
      </c>
      <c r="L263" s="292">
        <f>INDEX(Calibration!$A$4:$L$13,MATCH($D263&amp;$E263,Calibration!$A$4:$A$13,0),MATCH(L$4,Calibration!$A$4:$L$4,0))</f>
        <v>1.3869915874526988</v>
      </c>
      <c r="M263" s="292">
        <f>INDEX(Calibration!$A$4:$L$13,MATCH($D263&amp;$E263,Calibration!$A$4:$A$13,0),MATCH(M$4,Calibration!$A$4:$L$4,0))</f>
        <v>-2.2641144651923684</v>
      </c>
      <c r="N263" s="292">
        <f>INDEX(Calibration!$A$4:$L$13,MATCH($D263&amp;$E263,Calibration!$A$4:$A$13,0),MATCH(N$4,Calibration!$A$4:$L$4,0))</f>
        <v>1.5001973107123172</v>
      </c>
      <c r="O263" s="292">
        <f>INDEX(Calibration!$A$4:$L$13,MATCH($D263&amp;$E263,Calibration!$A$4:$A$13,0),MATCH(O$4,Calibration!$A$4:$L$4,0))</f>
        <v>-4.5282289303847367</v>
      </c>
      <c r="P263" s="292">
        <f>INDEX(Calibration!$A$4:$L$13,MATCH($D263&amp;$E263,Calibration!$A$4:$A$13,0),MATCH(P$4,Calibration!$A$4:$L$4,0))</f>
        <v>1.6700058956017449</v>
      </c>
      <c r="Q263" s="292">
        <f>INDEX(Calibration!$A$4:$L$13,MATCH($D263&amp;$E263,Calibration!$A$4:$A$13,0),MATCH(Q$4,Calibration!$A$4:$L$4,0))</f>
        <v>0.7643601095247976</v>
      </c>
      <c r="R263" s="293">
        <f>IF(C263&lt;Calibration!$F$5,L263,IF(C263&lt;Calibration!$E$5,C263*M263+N263,IF(C263&lt;K263,C263*O263+P263,Q263)))</f>
        <v>1.2278151736557619</v>
      </c>
      <c r="S263" s="286">
        <f t="shared" si="8"/>
        <v>7990.5059909109314</v>
      </c>
      <c r="T263" s="293">
        <f>IF(E263="DHP",VLOOKUP(D263,Calibration!$C$20:$E$22,2,FALSE),IF(D263=1,Calibration!$D$17,Calibration!$D$18))</f>
        <v>0.82813167326562143</v>
      </c>
      <c r="U263" s="286">
        <f t="shared" si="9"/>
        <v>6617.1910964920417</v>
      </c>
      <c r="V263" s="286">
        <f>VLOOKUP(T263,Calibration!$D$17:$E$22,2,FALSE)*S263</f>
        <v>1248.9392286628099</v>
      </c>
      <c r="W263" t="s">
        <v>764</v>
      </c>
      <c r="X263">
        <v>429.98143800000003</v>
      </c>
      <c r="Y263">
        <v>2564.640292</v>
      </c>
    </row>
    <row r="264" spans="1:25">
      <c r="A264" s="277" t="str">
        <f>SEEMoutput!A266</f>
        <v>WxHZ1CZ1_5000e_30gshp_des1</v>
      </c>
      <c r="B264" s="286">
        <f>SEEMoutput!O266</f>
        <v>7290.2399740000001</v>
      </c>
      <c r="C264" s="287">
        <v>0.10812626914538884</v>
      </c>
      <c r="D264" s="277">
        <f>IF(SEEMoutput!G266&lt;6000,1,IF(SEEMoutput!G266&lt;7500,2,3))</f>
        <v>1</v>
      </c>
      <c r="E264" s="277" t="str">
        <f>IF(LEFT(SEEMoutput!BE266,1)="F","FUR",IF(LEFT(SEEMoutput!BE266,1)="D","DHP","HP"))</f>
        <v>HP</v>
      </c>
      <c r="F264" s="288">
        <f>SEEMoutput!E266</f>
        <v>827.08346300000005</v>
      </c>
      <c r="G264" s="289">
        <f>F264*(69-30)*SEEMoutput!N266/SEEMoutput!M266</f>
        <v>33525.857155738202</v>
      </c>
      <c r="H264" s="290">
        <f>'(Tons) (Furnsize)'!$F$52+'(Tons) (Furnsize)'!$F$53*'(Tons) (Furnsize)'!$B$15+'(Tons) (Furnsize)'!$F$54*G264</f>
        <v>3.9956326597919118</v>
      </c>
      <c r="I264" s="290">
        <f>H264/'(Tons) (Furnsize)'!$G$7</f>
        <v>3.3118075118007524</v>
      </c>
      <c r="J264" s="291">
        <f>F264*(69-VLOOKUP(D264,'(Tons) (Furnsize)'!$D$15:$E$17,2,FALSE))/3412</f>
        <v>12.605023468933178</v>
      </c>
      <c r="K264" s="292">
        <f>INDEX(Calibration!$A$4:$L$13,MATCH($D264&amp;$E264,Calibration!$A$4:$A$13,0),MATCH(K$4,Calibration!$A$4:$L$4,0))</f>
        <v>0.2</v>
      </c>
      <c r="L264" s="292">
        <f>INDEX(Calibration!$A$4:$L$13,MATCH($D264&amp;$E264,Calibration!$A$4:$A$13,0),MATCH(L$4,Calibration!$A$4:$L$4,0))</f>
        <v>1.3869915874526988</v>
      </c>
      <c r="M264" s="292">
        <f>INDEX(Calibration!$A$4:$L$13,MATCH($D264&amp;$E264,Calibration!$A$4:$A$13,0),MATCH(M$4,Calibration!$A$4:$L$4,0))</f>
        <v>-2.2641144651923684</v>
      </c>
      <c r="N264" s="292">
        <f>INDEX(Calibration!$A$4:$L$13,MATCH($D264&amp;$E264,Calibration!$A$4:$A$13,0),MATCH(N$4,Calibration!$A$4:$L$4,0))</f>
        <v>1.5001973107123172</v>
      </c>
      <c r="O264" s="292">
        <f>INDEX(Calibration!$A$4:$L$13,MATCH($D264&amp;$E264,Calibration!$A$4:$A$13,0),MATCH(O$4,Calibration!$A$4:$L$4,0))</f>
        <v>-4.5282289303847367</v>
      </c>
      <c r="P264" s="292">
        <f>INDEX(Calibration!$A$4:$L$13,MATCH($D264&amp;$E264,Calibration!$A$4:$A$13,0),MATCH(P$4,Calibration!$A$4:$L$4,0))</f>
        <v>1.6700058956017449</v>
      </c>
      <c r="Q264" s="292">
        <f>INDEX(Calibration!$A$4:$L$13,MATCH($D264&amp;$E264,Calibration!$A$4:$A$13,0),MATCH(Q$4,Calibration!$A$4:$L$4,0))</f>
        <v>0.7643601095247976</v>
      </c>
      <c r="R264" s="293">
        <f>IF(C264&lt;Calibration!$F$5,L264,IF(C264&lt;Calibration!$E$5,C264*M264+N264,IF(C264&lt;K264,C264*O264+P264,Q264)))</f>
        <v>1.1803853955230288</v>
      </c>
      <c r="S264" s="286">
        <f t="shared" si="8"/>
        <v>8605.2927951677848</v>
      </c>
      <c r="T264" s="293">
        <f>IF(E264="DHP",VLOOKUP(D264,Calibration!$C$20:$E$22,2,FALSE),IF(D264=1,Calibration!$D$17,Calibration!$D$18))</f>
        <v>0.82813167326562143</v>
      </c>
      <c r="U264" s="286">
        <f t="shared" si="9"/>
        <v>7126.3155214028939</v>
      </c>
      <c r="V264" s="286">
        <f>VLOOKUP(T264,Calibration!$D$17:$E$22,2,FALSE)*S264</f>
        <v>1345.0321867275463</v>
      </c>
      <c r="W264" t="s">
        <v>764</v>
      </c>
      <c r="X264">
        <v>435.93749000000003</v>
      </c>
      <c r="Y264">
        <v>2799.1415480000001</v>
      </c>
    </row>
    <row r="265" spans="1:25">
      <c r="A265" s="277" t="str">
        <f>SEEMoutput!A267</f>
        <v>NWHZ2CZ1_5000n_30gshp_des1</v>
      </c>
      <c r="B265" s="286">
        <f>SEEMoutput!O267</f>
        <v>10381.494525</v>
      </c>
      <c r="C265" s="287">
        <v>0.10142686673762195</v>
      </c>
      <c r="D265" s="277">
        <f>IF(SEEMoutput!G267&lt;6000,1,IF(SEEMoutput!G267&lt;7500,2,3))</f>
        <v>2</v>
      </c>
      <c r="E265" s="277" t="str">
        <f>IF(LEFT(SEEMoutput!BE267,1)="F","FUR",IF(LEFT(SEEMoutput!BE267,1)="D","DHP","HP"))</f>
        <v>HP</v>
      </c>
      <c r="F265" s="288">
        <f>SEEMoutput!E267</f>
        <v>781.06231700000001</v>
      </c>
      <c r="G265" s="289">
        <f>F265*(69-30)*SEEMoutput!N267/SEEMoutput!M267</f>
        <v>31619.172575923429</v>
      </c>
      <c r="H265" s="290">
        <f>'(Tons) (Furnsize)'!$F$52+'(Tons) (Furnsize)'!$F$53*'(Tons) (Furnsize)'!$B$15+'(Tons) (Furnsize)'!$F$54*G265</f>
        <v>3.7717680696587355</v>
      </c>
      <c r="I265" s="290">
        <f>H265/'(Tons) (Furnsize)'!$G$7</f>
        <v>3.1262558121437918</v>
      </c>
      <c r="J265" s="291">
        <f>F265*(69-VLOOKUP(D265,'(Tons) (Furnsize)'!$D$15:$E$17,2,FALSE))/3412</f>
        <v>15.795222706037515</v>
      </c>
      <c r="K265" s="292">
        <f>INDEX(Calibration!$A$4:$L$13,MATCH($D265&amp;$E265,Calibration!$A$4:$A$13,0),MATCH(K$4,Calibration!$A$4:$L$4,0))</f>
        <v>0.17499999999999999</v>
      </c>
      <c r="L265" s="292">
        <f>INDEX(Calibration!$A$4:$L$13,MATCH($D265&amp;$E265,Calibration!$A$4:$A$13,0),MATCH(L$4,Calibration!$A$4:$L$4,0))</f>
        <v>1.1965160377936901</v>
      </c>
      <c r="M265" s="292">
        <f>INDEX(Calibration!$A$4:$L$13,MATCH($D265&amp;$E265,Calibration!$A$4:$A$13,0),MATCH(M$4,Calibration!$A$4:$L$4,0))</f>
        <v>-2.050167690250368</v>
      </c>
      <c r="N265" s="292">
        <f>INDEX(Calibration!$A$4:$L$13,MATCH($D265&amp;$E265,Calibration!$A$4:$A$13,0),MATCH(N$4,Calibration!$A$4:$L$4,0))</f>
        <v>1.2990244223062084</v>
      </c>
      <c r="O265" s="292">
        <f>INDEX(Calibration!$A$4:$L$13,MATCH($D265&amp;$E265,Calibration!$A$4:$A$13,0),MATCH(O$4,Calibration!$A$4:$L$4,0))</f>
        <v>-4.1003353805007361</v>
      </c>
      <c r="P265" s="292">
        <f>INDEX(Calibration!$A$4:$L$13,MATCH($D265&amp;$E265,Calibration!$A$4:$A$13,0),MATCH(P$4,Calibration!$A$4:$L$4,0))</f>
        <v>1.452786999074986</v>
      </c>
      <c r="Q265" s="292">
        <f>INDEX(Calibration!$A$4:$L$13,MATCH($D265&amp;$E265,Calibration!$A$4:$A$13,0),MATCH(Q$4,Calibration!$A$4:$L$4,0))</f>
        <v>0.73522830748735724</v>
      </c>
      <c r="R265" s="293">
        <f>IF(C265&lt;Calibration!$F$5,L265,IF(C265&lt;Calibration!$E$5,C265*M265+N265,IF(C265&lt;K265,C265*O265+P265,Q265)))</f>
        <v>1.0369028288573814</v>
      </c>
      <c r="S265" s="286">
        <f t="shared" si="8"/>
        <v>10764.601040739917</v>
      </c>
      <c r="T265" s="293">
        <f>IF(E265="DHP",VLOOKUP(D265,Calibration!$C$20:$E$22,2,FALSE),IF(D265=1,Calibration!$D$17,Calibration!$D$18))</f>
        <v>0.85917762533929642</v>
      </c>
      <c r="U265" s="286">
        <f t="shared" si="9"/>
        <v>9248.7043599078406</v>
      </c>
      <c r="V265" s="286">
        <f>VLOOKUP(T265,Calibration!$D$17:$E$22,2,FALSE)*S265</f>
        <v>1330.1592211169855</v>
      </c>
      <c r="W265" t="s">
        <v>779</v>
      </c>
      <c r="X265">
        <v>429.98143800000003</v>
      </c>
      <c r="Y265">
        <v>3448.9500830000002</v>
      </c>
    </row>
    <row r="266" spans="1:25">
      <c r="A266" s="277" t="str">
        <f>SEEMoutput!A268</f>
        <v>WxHZ2CZ1_5000e_30gshp_des1</v>
      </c>
      <c r="B266" s="286">
        <f>SEEMoutput!O268</f>
        <v>11726.181877999999</v>
      </c>
      <c r="C266" s="287">
        <v>0.11195104625324376</v>
      </c>
      <c r="D266" s="277">
        <f>IF(SEEMoutput!G268&lt;6000,1,IF(SEEMoutput!G268&lt;7500,2,3))</f>
        <v>2</v>
      </c>
      <c r="E266" s="277" t="str">
        <f>IF(LEFT(SEEMoutput!BE268,1)="F","FUR",IF(LEFT(SEEMoutput!BE268,1)="D","DHP","HP"))</f>
        <v>HP</v>
      </c>
      <c r="F266" s="288">
        <f>SEEMoutput!E268</f>
        <v>844.37566200000003</v>
      </c>
      <c r="G266" s="289">
        <f>F266*(69-30)*SEEMoutput!N268/SEEMoutput!M268</f>
        <v>34193.876866331382</v>
      </c>
      <c r="H266" s="290">
        <f>'(Tons) (Furnsize)'!$F$52+'(Tons) (Furnsize)'!$F$53*'(Tons) (Furnsize)'!$B$15+'(Tons) (Furnsize)'!$F$54*G266</f>
        <v>4.0740651180474625</v>
      </c>
      <c r="I266" s="290">
        <f>H266/'(Tons) (Furnsize)'!$G$7</f>
        <v>3.3768167923168595</v>
      </c>
      <c r="J266" s="291">
        <f>F266*(69-VLOOKUP(D266,'(Tons) (Furnsize)'!$D$15:$E$17,2,FALSE))/3412</f>
        <v>17.075592226846425</v>
      </c>
      <c r="K266" s="292">
        <f>INDEX(Calibration!$A$4:$L$13,MATCH($D266&amp;$E266,Calibration!$A$4:$A$13,0),MATCH(K$4,Calibration!$A$4:$L$4,0))</f>
        <v>0.17499999999999999</v>
      </c>
      <c r="L266" s="292">
        <f>INDEX(Calibration!$A$4:$L$13,MATCH($D266&amp;$E266,Calibration!$A$4:$A$13,0),MATCH(L$4,Calibration!$A$4:$L$4,0))</f>
        <v>1.1965160377936901</v>
      </c>
      <c r="M266" s="292">
        <f>INDEX(Calibration!$A$4:$L$13,MATCH($D266&amp;$E266,Calibration!$A$4:$A$13,0),MATCH(M$4,Calibration!$A$4:$L$4,0))</f>
        <v>-2.050167690250368</v>
      </c>
      <c r="N266" s="292">
        <f>INDEX(Calibration!$A$4:$L$13,MATCH($D266&amp;$E266,Calibration!$A$4:$A$13,0),MATCH(N$4,Calibration!$A$4:$L$4,0))</f>
        <v>1.2990244223062084</v>
      </c>
      <c r="O266" s="292">
        <f>INDEX(Calibration!$A$4:$L$13,MATCH($D266&amp;$E266,Calibration!$A$4:$A$13,0),MATCH(O$4,Calibration!$A$4:$L$4,0))</f>
        <v>-4.1003353805007361</v>
      </c>
      <c r="P266" s="292">
        <f>INDEX(Calibration!$A$4:$L$13,MATCH($D266&amp;$E266,Calibration!$A$4:$A$13,0),MATCH(P$4,Calibration!$A$4:$L$4,0))</f>
        <v>1.452786999074986</v>
      </c>
      <c r="Q266" s="292">
        <f>INDEX(Calibration!$A$4:$L$13,MATCH($D266&amp;$E266,Calibration!$A$4:$A$13,0),MATCH(Q$4,Calibration!$A$4:$L$4,0))</f>
        <v>0.73522830748735724</v>
      </c>
      <c r="R266" s="293">
        <f>IF(C266&lt;Calibration!$F$5,L266,IF(C266&lt;Calibration!$E$5,C266*M266+N266,IF(C266&lt;K266,C266*O266+P266,Q266)))</f>
        <v>0.99375016323873622</v>
      </c>
      <c r="S266" s="286">
        <f t="shared" si="8"/>
        <v>11652.895155429609</v>
      </c>
      <c r="T266" s="293">
        <f>IF(E266="DHP",VLOOKUP(D266,Calibration!$C$20:$E$22,2,FALSE),IF(D266=1,Calibration!$D$17,Calibration!$D$18))</f>
        <v>0.85917762533929642</v>
      </c>
      <c r="U266" s="286">
        <f t="shared" si="9"/>
        <v>10011.906787969803</v>
      </c>
      <c r="V266" s="286">
        <f>VLOOKUP(T266,Calibration!$D$17:$E$22,2,FALSE)*S266</f>
        <v>1439.9238657375006</v>
      </c>
      <c r="W266" t="s">
        <v>779</v>
      </c>
      <c r="X266">
        <v>435.93749000000003</v>
      </c>
      <c r="Y266">
        <v>3705.3525989999998</v>
      </c>
    </row>
    <row r="267" spans="1:25">
      <c r="A267" s="277" t="str">
        <f>SEEMoutput!A269</f>
        <v>NWHZ3CZ1_5000n_30gshp_des1</v>
      </c>
      <c r="B267" s="286">
        <f>SEEMoutput!O269</f>
        <v>13856.020925999999</v>
      </c>
      <c r="C267" s="287">
        <v>0.1006138664493683</v>
      </c>
      <c r="D267" s="277">
        <f>IF(SEEMoutput!G269&lt;6000,1,IF(SEEMoutput!G269&lt;7500,2,3))</f>
        <v>3</v>
      </c>
      <c r="E267" s="277" t="str">
        <f>IF(LEFT(SEEMoutput!BE269,1)="F","FUR",IF(LEFT(SEEMoutput!BE269,1)="D","DHP","HP"))</f>
        <v>HP</v>
      </c>
      <c r="F267" s="288">
        <f>SEEMoutput!E269</f>
        <v>770.17948200000001</v>
      </c>
      <c r="G267" s="289">
        <f>F267*(69-30)*SEEMoutput!N269/SEEMoutput!M269</f>
        <v>31101.113290515059</v>
      </c>
      <c r="H267" s="290">
        <f>'(Tons) (Furnsize)'!$F$52+'(Tons) (Furnsize)'!$F$53*'(Tons) (Furnsize)'!$B$15+'(Tons) (Furnsize)'!$F$54*G267</f>
        <v>3.7109425241959944</v>
      </c>
      <c r="I267" s="290">
        <f>H267/'(Tons) (Furnsize)'!$G$7</f>
        <v>3.0758401419546875</v>
      </c>
      <c r="J267" s="291">
        <f>F267*(69-VLOOKUP(D267,'(Tons) (Furnsize)'!$D$15:$E$17,2,FALSE))/3412</f>
        <v>21.218309293083237</v>
      </c>
      <c r="K267" s="292">
        <f>INDEX(Calibration!$A$4:$L$13,MATCH($D267&amp;$E267,Calibration!$A$4:$A$13,0),MATCH(K$4,Calibration!$A$4:$L$4,0))</f>
        <v>0.15</v>
      </c>
      <c r="L267" s="292">
        <f>INDEX(Calibration!$A$4:$L$13,MATCH($D267&amp;$E267,Calibration!$A$4:$A$13,0),MATCH(L$4,Calibration!$A$4:$L$4,0))</f>
        <v>1.0259371368886356</v>
      </c>
      <c r="M267" s="292">
        <f>INDEX(Calibration!$A$4:$L$13,MATCH($D267&amp;$E267,Calibration!$A$4:$A$13,0),MATCH(M$4,Calibration!$A$4:$L$4,0))</f>
        <v>-1.8551508104013119</v>
      </c>
      <c r="N267" s="292">
        <f>INDEX(Calibration!$A$4:$L$13,MATCH($D267&amp;$E267,Calibration!$A$4:$A$13,0),MATCH(N$4,Calibration!$A$4:$L$4,0))</f>
        <v>1.1186946774087012</v>
      </c>
      <c r="O267" s="292">
        <f>INDEX(Calibration!$A$4:$L$13,MATCH($D267&amp;$E267,Calibration!$A$4:$A$13,0),MATCH(O$4,Calibration!$A$4:$L$4,0))</f>
        <v>-3.7103016208026238</v>
      </c>
      <c r="P267" s="292">
        <f>INDEX(Calibration!$A$4:$L$13,MATCH($D267&amp;$E267,Calibration!$A$4:$A$13,0),MATCH(P$4,Calibration!$A$4:$L$4,0))</f>
        <v>1.2578309881887995</v>
      </c>
      <c r="Q267" s="292">
        <f>INDEX(Calibration!$A$4:$L$13,MATCH($D267&amp;$E267,Calibration!$A$4:$A$13,0),MATCH(Q$4,Calibration!$A$4:$L$4,0))</f>
        <v>0.7012857450684058</v>
      </c>
      <c r="R267" s="293">
        <f>IF(C267&lt;Calibration!$F$5,L267,IF(C267&lt;Calibration!$E$5,C267*M267+N267,IF(C267&lt;K267,C267*O267+P267,Q267)))</f>
        <v>0.88452319642648947</v>
      </c>
      <c r="S267" s="286">
        <f t="shared" si="8"/>
        <v>12255.971919217845</v>
      </c>
      <c r="T267" s="293">
        <f>IF(E267="DHP",VLOOKUP(D267,Calibration!$C$20:$E$22,2,FALSE),IF(D267=1,Calibration!$D$17,Calibration!$D$18))</f>
        <v>0.85917762533929642</v>
      </c>
      <c r="U267" s="286">
        <f t="shared" si="9"/>
        <v>10530.056849778688</v>
      </c>
      <c r="V267" s="286">
        <f>VLOOKUP(T267,Calibration!$D$17:$E$22,2,FALSE)*S267</f>
        <v>1514.4447992452392</v>
      </c>
      <c r="W267" t="s">
        <v>794</v>
      </c>
      <c r="X267">
        <v>429.98143800000003</v>
      </c>
      <c r="Y267">
        <v>3857.846235</v>
      </c>
    </row>
    <row r="268" spans="1:25">
      <c r="A268" s="277" t="str">
        <f>SEEMoutput!A270</f>
        <v>WxHZ3CZ1_5000e_30gshp_des1</v>
      </c>
      <c r="B268" s="286">
        <f>SEEMoutput!O270</f>
        <v>15726.211187000001</v>
      </c>
      <c r="C268" s="287">
        <v>0.11091359962821373</v>
      </c>
      <c r="D268" s="277">
        <f>IF(SEEMoutput!G270&lt;6000,1,IF(SEEMoutput!G270&lt;7500,2,3))</f>
        <v>3</v>
      </c>
      <c r="E268" s="277" t="str">
        <f>IF(LEFT(SEEMoutput!BE270,1)="F","FUR",IF(LEFT(SEEMoutput!BE270,1)="D","DHP","HP"))</f>
        <v>HP</v>
      </c>
      <c r="F268" s="288">
        <f>SEEMoutput!E270</f>
        <v>831.85139700000002</v>
      </c>
      <c r="G268" s="289">
        <f>F268*(69-30)*SEEMoutput!N270/SEEMoutput!M270</f>
        <v>33598.89692868018</v>
      </c>
      <c r="H268" s="290">
        <f>'(Tons) (Furnsize)'!$F$52+'(Tons) (Furnsize)'!$F$53*'(Tons) (Furnsize)'!$B$15+'(Tons) (Furnsize)'!$F$54*G268</f>
        <v>4.0042082884020012</v>
      </c>
      <c r="I268" s="290">
        <f>H268/'(Tons) (Furnsize)'!$G$7</f>
        <v>3.3189154803422816</v>
      </c>
      <c r="J268" s="291">
        <f>F268*(69-VLOOKUP(D268,'(Tons) (Furnsize)'!$D$15:$E$17,2,FALSE))/3412</f>
        <v>22.9173597063306</v>
      </c>
      <c r="K268" s="292">
        <f>INDEX(Calibration!$A$4:$L$13,MATCH($D268&amp;$E268,Calibration!$A$4:$A$13,0),MATCH(K$4,Calibration!$A$4:$L$4,0))</f>
        <v>0.15</v>
      </c>
      <c r="L268" s="292">
        <f>INDEX(Calibration!$A$4:$L$13,MATCH($D268&amp;$E268,Calibration!$A$4:$A$13,0),MATCH(L$4,Calibration!$A$4:$L$4,0))</f>
        <v>1.0259371368886356</v>
      </c>
      <c r="M268" s="292">
        <f>INDEX(Calibration!$A$4:$L$13,MATCH($D268&amp;$E268,Calibration!$A$4:$A$13,0),MATCH(M$4,Calibration!$A$4:$L$4,0))</f>
        <v>-1.8551508104013119</v>
      </c>
      <c r="N268" s="292">
        <f>INDEX(Calibration!$A$4:$L$13,MATCH($D268&amp;$E268,Calibration!$A$4:$A$13,0),MATCH(N$4,Calibration!$A$4:$L$4,0))</f>
        <v>1.1186946774087012</v>
      </c>
      <c r="O268" s="292">
        <f>INDEX(Calibration!$A$4:$L$13,MATCH($D268&amp;$E268,Calibration!$A$4:$A$13,0),MATCH(O$4,Calibration!$A$4:$L$4,0))</f>
        <v>-3.7103016208026238</v>
      </c>
      <c r="P268" s="292">
        <f>INDEX(Calibration!$A$4:$L$13,MATCH($D268&amp;$E268,Calibration!$A$4:$A$13,0),MATCH(P$4,Calibration!$A$4:$L$4,0))</f>
        <v>1.2578309881887995</v>
      </c>
      <c r="Q268" s="292">
        <f>INDEX(Calibration!$A$4:$L$13,MATCH($D268&amp;$E268,Calibration!$A$4:$A$13,0),MATCH(Q$4,Calibration!$A$4:$L$4,0))</f>
        <v>0.7012857450684058</v>
      </c>
      <c r="R268" s="293">
        <f>IF(C268&lt;Calibration!$F$5,L268,IF(C268&lt;Calibration!$E$5,C268*M268+N268,IF(C268&lt;K268,C268*O268+P268,Q268)))</f>
        <v>0.84630807971918476</v>
      </c>
      <c r="S268" s="286">
        <f t="shared" si="8"/>
        <v>13309.219590928331</v>
      </c>
      <c r="T268" s="293">
        <f>IF(E268="DHP",VLOOKUP(D268,Calibration!$C$20:$E$22,2,FALSE),IF(D268=1,Calibration!$D$17,Calibration!$D$18))</f>
        <v>0.85917762533929642</v>
      </c>
      <c r="U268" s="286">
        <f t="shared" si="9"/>
        <v>11434.983683253045</v>
      </c>
      <c r="V268" s="286">
        <f>VLOOKUP(T268,Calibration!$D$17:$E$22,2,FALSE)*S268</f>
        <v>1644.592409671626</v>
      </c>
      <c r="W268" t="s">
        <v>794</v>
      </c>
      <c r="X268">
        <v>435.93749000000003</v>
      </c>
      <c r="Y268">
        <v>4117.085478</v>
      </c>
    </row>
    <row r="269" spans="1:25">
      <c r="A269" s="277"/>
      <c r="B269" s="286"/>
      <c r="C269" s="287"/>
      <c r="F269" s="288"/>
      <c r="G269" s="289"/>
      <c r="H269" s="290"/>
      <c r="I269" s="290"/>
      <c r="J269" s="291"/>
      <c r="K269" s="292"/>
      <c r="L269" s="292"/>
      <c r="M269" s="292"/>
      <c r="N269" s="292"/>
      <c r="O269" s="292"/>
      <c r="P269" s="292"/>
      <c r="Q269" s="292"/>
      <c r="R269" s="293"/>
      <c r="S269" s="286"/>
      <c r="T269" s="293"/>
      <c r="U269" s="286"/>
      <c r="V269" s="286"/>
      <c r="W269" s="286"/>
      <c r="X269" s="286"/>
    </row>
    <row r="270" spans="1:25">
      <c r="A270" s="277"/>
      <c r="B270" s="286"/>
      <c r="C270" s="287"/>
      <c r="F270" s="288"/>
      <c r="G270" s="289"/>
      <c r="H270" s="290"/>
      <c r="I270" s="290"/>
      <c r="J270" s="291"/>
      <c r="K270" s="292"/>
      <c r="L270" s="292"/>
      <c r="M270" s="292"/>
      <c r="N270" s="292"/>
      <c r="O270" s="292"/>
      <c r="P270" s="292"/>
      <c r="Q270" s="292"/>
      <c r="R270" s="293"/>
      <c r="S270" s="286"/>
      <c r="T270" s="293"/>
      <c r="U270" s="286"/>
      <c r="V270" s="286"/>
      <c r="W270" s="286"/>
      <c r="X270" s="286"/>
    </row>
    <row r="271" spans="1:25">
      <c r="B271" s="294"/>
      <c r="C271" s="295"/>
      <c r="M271" s="293"/>
      <c r="N271" s="293"/>
      <c r="R271" s="293"/>
      <c r="S271" s="293"/>
      <c r="T271" s="286"/>
      <c r="U271" s="293"/>
      <c r="V271" s="286"/>
      <c r="W271" s="286"/>
      <c r="X271" s="286"/>
    </row>
    <row r="272" spans="1:25">
      <c r="B272" s="294"/>
      <c r="C272" s="295"/>
      <c r="M272" s="293"/>
      <c r="N272" s="293"/>
      <c r="R272" s="293"/>
      <c r="S272" s="293"/>
      <c r="T272" s="286"/>
      <c r="U272" s="293"/>
      <c r="V272" s="286"/>
      <c r="W272" s="286"/>
      <c r="X272" s="286"/>
    </row>
    <row r="273" spans="2:24">
      <c r="B273" s="294"/>
      <c r="C273" s="295"/>
      <c r="M273" s="293"/>
      <c r="N273" s="293"/>
      <c r="R273" s="293"/>
      <c r="S273" s="293"/>
      <c r="T273" s="286"/>
      <c r="U273" s="293"/>
      <c r="V273" s="286"/>
      <c r="W273" s="286"/>
      <c r="X273" s="286"/>
    </row>
    <row r="274" spans="2:24">
      <c r="B274" s="294"/>
      <c r="C274" s="295"/>
      <c r="M274" s="293"/>
      <c r="N274" s="293"/>
      <c r="R274" s="293"/>
      <c r="S274" s="293"/>
      <c r="T274" s="286"/>
      <c r="U274" s="293"/>
      <c r="V274" s="286"/>
      <c r="W274" s="286"/>
      <c r="X274" s="286"/>
    </row>
    <row r="275" spans="2:24">
      <c r="B275" s="294"/>
      <c r="C275" s="295"/>
      <c r="M275" s="293"/>
      <c r="N275" s="293"/>
      <c r="R275" s="293"/>
      <c r="S275" s="293"/>
      <c r="T275" s="286"/>
      <c r="U275" s="293"/>
      <c r="V275" s="286"/>
      <c r="W275" s="286"/>
      <c r="X275" s="286"/>
    </row>
    <row r="276" spans="2:24">
      <c r="B276" s="294"/>
      <c r="C276" s="295"/>
      <c r="M276" s="293"/>
      <c r="N276" s="293"/>
      <c r="R276" s="293"/>
      <c r="S276" s="293"/>
      <c r="T276" s="286"/>
      <c r="U276" s="293"/>
      <c r="V276" s="286"/>
      <c r="W276" s="286"/>
      <c r="X276" s="286"/>
    </row>
    <row r="277" spans="2:24">
      <c r="B277" s="294"/>
      <c r="C277" s="295"/>
      <c r="M277" s="293"/>
      <c r="N277" s="293"/>
      <c r="R277" s="293"/>
      <c r="S277" s="293"/>
      <c r="T277" s="286"/>
      <c r="U277" s="293"/>
      <c r="V277" s="286"/>
      <c r="W277" s="286"/>
      <c r="X277" s="286"/>
    </row>
    <row r="278" spans="2:24">
      <c r="B278" s="294"/>
      <c r="C278" s="295"/>
      <c r="M278" s="293"/>
      <c r="N278" s="293"/>
      <c r="R278" s="293"/>
      <c r="S278" s="293"/>
      <c r="T278" s="286"/>
      <c r="U278" s="293"/>
      <c r="V278" s="286"/>
      <c r="W278" s="286"/>
      <c r="X278" s="286"/>
    </row>
    <row r="279" spans="2:24">
      <c r="B279" s="294"/>
      <c r="C279" s="295"/>
      <c r="M279" s="293"/>
      <c r="N279" s="293"/>
      <c r="R279" s="293"/>
      <c r="S279" s="293"/>
      <c r="T279" s="286"/>
      <c r="U279" s="293"/>
      <c r="V279" s="286"/>
      <c r="W279" s="286"/>
      <c r="X279" s="286"/>
    </row>
    <row r="280" spans="2:24">
      <c r="B280" s="294"/>
      <c r="C280" s="295"/>
      <c r="M280" s="293"/>
      <c r="N280" s="293"/>
      <c r="R280" s="293"/>
      <c r="S280" s="293"/>
      <c r="T280" s="286"/>
      <c r="U280" s="293"/>
      <c r="V280" s="286"/>
      <c r="W280" s="286"/>
      <c r="X280" s="286"/>
    </row>
    <row r="281" spans="2:24">
      <c r="B281" s="294"/>
      <c r="C281" s="295"/>
      <c r="M281" s="293"/>
      <c r="N281" s="293"/>
      <c r="R281" s="293"/>
      <c r="S281" s="293"/>
      <c r="T281" s="286"/>
      <c r="U281" s="293"/>
      <c r="V281" s="286"/>
      <c r="W281" s="286"/>
      <c r="X281" s="286"/>
    </row>
    <row r="282" spans="2:24">
      <c r="B282" s="294"/>
      <c r="C282" s="295"/>
      <c r="M282" s="293"/>
      <c r="N282" s="293"/>
      <c r="R282" s="293"/>
      <c r="S282" s="293"/>
      <c r="T282" s="286"/>
      <c r="U282" s="293"/>
      <c r="V282" s="286"/>
      <c r="W282" s="286"/>
      <c r="X282" s="286"/>
    </row>
    <row r="283" spans="2:24">
      <c r="B283" s="294"/>
      <c r="C283" s="295"/>
      <c r="M283" s="293"/>
      <c r="N283" s="293"/>
      <c r="R283" s="293"/>
      <c r="S283" s="293"/>
      <c r="T283" s="286"/>
      <c r="U283" s="293"/>
      <c r="V283" s="286"/>
      <c r="W283" s="286"/>
      <c r="X283" s="286"/>
    </row>
    <row r="284" spans="2:24">
      <c r="B284" s="294"/>
      <c r="C284" s="295"/>
      <c r="M284" s="293"/>
      <c r="N284" s="293"/>
      <c r="R284" s="293"/>
      <c r="S284" s="293"/>
      <c r="T284" s="286"/>
      <c r="U284" s="293"/>
      <c r="V284" s="286"/>
      <c r="W284" s="286"/>
      <c r="X284" s="286"/>
    </row>
    <row r="285" spans="2:24">
      <c r="B285" s="294"/>
      <c r="C285" s="295"/>
      <c r="M285" s="293"/>
      <c r="N285" s="293"/>
      <c r="R285" s="293"/>
      <c r="S285" s="293"/>
      <c r="T285" s="286"/>
      <c r="U285" s="293"/>
      <c r="V285" s="286"/>
      <c r="W285" s="286"/>
      <c r="X285" s="286"/>
    </row>
    <row r="286" spans="2:24">
      <c r="B286" s="294"/>
      <c r="C286" s="295"/>
      <c r="M286" s="293"/>
      <c r="N286" s="293"/>
      <c r="R286" s="293"/>
      <c r="S286" s="293"/>
      <c r="T286" s="286"/>
      <c r="U286" s="293"/>
      <c r="V286" s="286"/>
      <c r="W286" s="286"/>
      <c r="X286" s="286"/>
    </row>
    <row r="287" spans="2:24">
      <c r="B287" s="294"/>
      <c r="C287" s="295"/>
      <c r="M287" s="293"/>
      <c r="N287" s="293"/>
      <c r="R287" s="293"/>
      <c r="S287" s="293"/>
      <c r="T287" s="286"/>
      <c r="U287" s="293"/>
      <c r="V287" s="286"/>
      <c r="W287" s="286"/>
      <c r="X287" s="286"/>
    </row>
    <row r="288" spans="2:24">
      <c r="B288" s="294"/>
      <c r="C288" s="295"/>
      <c r="M288" s="293"/>
      <c r="N288" s="293"/>
      <c r="R288" s="293"/>
      <c r="S288" s="293"/>
      <c r="T288" s="286"/>
      <c r="U288" s="293"/>
      <c r="V288" s="286"/>
      <c r="W288" s="286"/>
      <c r="X288" s="286"/>
    </row>
    <row r="289" spans="2:24">
      <c r="B289" s="294"/>
      <c r="C289" s="295"/>
      <c r="M289" s="293"/>
      <c r="N289" s="293"/>
      <c r="R289" s="293"/>
      <c r="S289" s="293"/>
      <c r="T289" s="286"/>
      <c r="U289" s="293"/>
      <c r="V289" s="286"/>
      <c r="W289" s="286"/>
      <c r="X289" s="286"/>
    </row>
    <row r="290" spans="2:24">
      <c r="B290" s="294"/>
      <c r="C290" s="295"/>
      <c r="M290" s="293"/>
      <c r="N290" s="293"/>
      <c r="R290" s="293"/>
      <c r="S290" s="293"/>
      <c r="T290" s="286"/>
      <c r="U290" s="293"/>
      <c r="V290" s="286"/>
      <c r="W290" s="286"/>
      <c r="X290" s="286"/>
    </row>
    <row r="291" spans="2:24">
      <c r="B291" s="294"/>
      <c r="C291" s="295"/>
      <c r="M291" s="293"/>
      <c r="N291" s="293"/>
      <c r="R291" s="293"/>
      <c r="S291" s="293"/>
      <c r="T291" s="286"/>
      <c r="U291" s="293"/>
      <c r="V291" s="286"/>
      <c r="W291" s="286"/>
      <c r="X291" s="286"/>
    </row>
    <row r="292" spans="2:24">
      <c r="B292" s="294"/>
      <c r="C292" s="295"/>
      <c r="M292" s="293"/>
      <c r="N292" s="293"/>
      <c r="R292" s="293"/>
      <c r="S292" s="293"/>
      <c r="T292" s="286"/>
      <c r="U292" s="293"/>
      <c r="V292" s="286"/>
      <c r="W292" s="286"/>
      <c r="X292" s="286"/>
    </row>
    <row r="293" spans="2:24">
      <c r="B293" s="294"/>
      <c r="C293" s="295"/>
      <c r="M293" s="293"/>
      <c r="N293" s="293"/>
      <c r="R293" s="293"/>
      <c r="S293" s="293"/>
      <c r="T293" s="286"/>
      <c r="U293" s="293"/>
      <c r="V293" s="286"/>
      <c r="W293" s="286"/>
      <c r="X293" s="286"/>
    </row>
    <row r="294" spans="2:24">
      <c r="B294" s="294"/>
      <c r="C294" s="295"/>
      <c r="M294" s="293"/>
      <c r="N294" s="293"/>
      <c r="R294" s="293"/>
      <c r="S294" s="293"/>
      <c r="T294" s="286"/>
      <c r="U294" s="293"/>
      <c r="V294" s="286"/>
      <c r="W294" s="286"/>
      <c r="X294" s="286"/>
    </row>
    <row r="295" spans="2:24">
      <c r="B295" s="294"/>
      <c r="C295" s="295"/>
      <c r="M295" s="293"/>
      <c r="N295" s="293"/>
      <c r="R295" s="293"/>
      <c r="S295" s="293"/>
      <c r="T295" s="286"/>
      <c r="U295" s="293"/>
      <c r="V295" s="286"/>
      <c r="W295" s="286"/>
      <c r="X295" s="286"/>
    </row>
    <row r="296" spans="2:24">
      <c r="B296" s="294"/>
      <c r="C296" s="295"/>
      <c r="M296" s="293"/>
      <c r="N296" s="293"/>
      <c r="R296" s="293"/>
      <c r="S296" s="293"/>
      <c r="T296" s="286"/>
      <c r="U296" s="293"/>
      <c r="V296" s="286"/>
      <c r="W296" s="286"/>
      <c r="X296" s="286"/>
    </row>
    <row r="297" spans="2:24">
      <c r="B297" s="294"/>
      <c r="C297" s="295"/>
      <c r="M297" s="293"/>
      <c r="N297" s="293"/>
      <c r="R297" s="293"/>
      <c r="S297" s="293"/>
      <c r="T297" s="286"/>
      <c r="U297" s="293"/>
      <c r="V297" s="286"/>
      <c r="W297" s="286"/>
      <c r="X297" s="286"/>
    </row>
    <row r="298" spans="2:24">
      <c r="B298" s="294"/>
      <c r="C298" s="295"/>
      <c r="M298" s="293"/>
      <c r="N298" s="293"/>
      <c r="R298" s="293"/>
      <c r="S298" s="293"/>
      <c r="T298" s="286"/>
      <c r="U298" s="293"/>
      <c r="V298" s="286"/>
      <c r="W298" s="286"/>
      <c r="X298" s="286"/>
    </row>
    <row r="299" spans="2:24">
      <c r="B299" s="294"/>
      <c r="C299" s="295"/>
      <c r="M299" s="293"/>
      <c r="N299" s="293"/>
      <c r="R299" s="293"/>
      <c r="S299" s="293"/>
      <c r="T299" s="286"/>
      <c r="U299" s="293"/>
      <c r="V299" s="286"/>
      <c r="W299" s="286"/>
      <c r="X299" s="286"/>
    </row>
    <row r="300" spans="2:24">
      <c r="B300" s="294"/>
      <c r="C300" s="295"/>
      <c r="M300" s="293"/>
      <c r="N300" s="293"/>
      <c r="R300" s="293"/>
      <c r="S300" s="293"/>
      <c r="T300" s="286"/>
      <c r="U300" s="293"/>
      <c r="V300" s="286"/>
      <c r="W300" s="286"/>
      <c r="X300" s="286"/>
    </row>
    <row r="301" spans="2:24">
      <c r="B301" s="294"/>
      <c r="C301" s="295"/>
      <c r="M301" s="293"/>
      <c r="N301" s="293"/>
      <c r="R301" s="293"/>
      <c r="S301" s="293"/>
      <c r="T301" s="286"/>
      <c r="U301" s="293"/>
      <c r="V301" s="286"/>
      <c r="W301" s="286"/>
      <c r="X301" s="286"/>
    </row>
    <row r="302" spans="2:24">
      <c r="B302" s="294"/>
      <c r="C302" s="295"/>
      <c r="M302" s="293"/>
      <c r="N302" s="293"/>
      <c r="R302" s="293"/>
      <c r="S302" s="293"/>
      <c r="T302" s="286"/>
      <c r="U302" s="293"/>
      <c r="V302" s="286"/>
      <c r="W302" s="286"/>
      <c r="X302" s="286"/>
    </row>
    <row r="303" spans="2:24">
      <c r="B303" s="294"/>
      <c r="C303" s="295"/>
      <c r="M303" s="293"/>
      <c r="N303" s="293"/>
      <c r="R303" s="293"/>
      <c r="S303" s="293"/>
      <c r="T303" s="286"/>
      <c r="U303" s="293"/>
      <c r="V303" s="286"/>
      <c r="W303" s="286"/>
      <c r="X303" s="286"/>
    </row>
    <row r="304" spans="2:24">
      <c r="B304" s="294"/>
      <c r="C304" s="295"/>
      <c r="M304" s="293"/>
      <c r="N304" s="293"/>
      <c r="R304" s="293"/>
      <c r="S304" s="293"/>
      <c r="T304" s="286"/>
      <c r="U304" s="293"/>
      <c r="V304" s="286"/>
      <c r="W304" s="286"/>
      <c r="X304" s="286"/>
    </row>
    <row r="305" spans="2:24">
      <c r="B305" s="294"/>
      <c r="C305" s="295"/>
      <c r="M305" s="293"/>
      <c r="N305" s="293"/>
      <c r="R305" s="293"/>
      <c r="S305" s="293"/>
      <c r="T305" s="286"/>
      <c r="U305" s="293"/>
      <c r="V305" s="286"/>
      <c r="W305" s="286"/>
      <c r="X305" s="286"/>
    </row>
    <row r="306" spans="2:24">
      <c r="B306" s="294"/>
      <c r="C306" s="295"/>
      <c r="M306" s="293"/>
      <c r="N306" s="293"/>
      <c r="R306" s="293"/>
      <c r="S306" s="293"/>
      <c r="T306" s="286"/>
      <c r="U306" s="293"/>
      <c r="V306" s="286"/>
      <c r="W306" s="286"/>
      <c r="X306" s="286"/>
    </row>
    <row r="307" spans="2:24">
      <c r="B307" s="294"/>
      <c r="C307" s="295"/>
      <c r="M307" s="293"/>
      <c r="N307" s="293"/>
      <c r="R307" s="293"/>
      <c r="S307" s="293"/>
      <c r="T307" s="286"/>
      <c r="U307" s="293"/>
      <c r="V307" s="286"/>
      <c r="W307" s="286"/>
      <c r="X307" s="286"/>
    </row>
    <row r="308" spans="2:24">
      <c r="B308" s="294"/>
      <c r="C308" s="295"/>
      <c r="M308" s="293"/>
      <c r="N308" s="293"/>
      <c r="R308" s="293"/>
      <c r="S308" s="293"/>
      <c r="T308" s="286"/>
      <c r="U308" s="293"/>
      <c r="V308" s="286"/>
      <c r="W308" s="286"/>
      <c r="X308" s="286"/>
    </row>
    <row r="309" spans="2:24">
      <c r="B309" s="294"/>
      <c r="C309" s="295"/>
      <c r="M309" s="293"/>
      <c r="N309" s="293"/>
      <c r="R309" s="293"/>
      <c r="S309" s="293"/>
      <c r="T309" s="286"/>
      <c r="U309" s="293"/>
      <c r="V309" s="286"/>
      <c r="W309" s="286"/>
      <c r="X309" s="286"/>
    </row>
    <row r="310" spans="2:24">
      <c r="B310" s="294"/>
      <c r="C310" s="295"/>
      <c r="M310" s="293"/>
      <c r="N310" s="293"/>
      <c r="R310" s="293"/>
      <c r="S310" s="293"/>
      <c r="T310" s="286"/>
      <c r="U310" s="293"/>
      <c r="V310" s="286"/>
      <c r="W310" s="286"/>
      <c r="X310" s="286"/>
    </row>
    <row r="311" spans="2:24">
      <c r="B311" s="294"/>
      <c r="C311" s="295"/>
      <c r="M311" s="293"/>
      <c r="N311" s="293"/>
      <c r="R311" s="293"/>
      <c r="S311" s="293"/>
      <c r="T311" s="286"/>
      <c r="U311" s="293"/>
      <c r="V311" s="286"/>
      <c r="W311" s="286"/>
      <c r="X311" s="286"/>
    </row>
    <row r="312" spans="2:24">
      <c r="B312" s="294"/>
      <c r="C312" s="295"/>
      <c r="M312" s="293"/>
      <c r="N312" s="293"/>
      <c r="R312" s="293"/>
      <c r="S312" s="293"/>
      <c r="T312" s="286"/>
      <c r="U312" s="293"/>
      <c r="V312" s="286"/>
      <c r="W312" s="286"/>
      <c r="X312" s="286"/>
    </row>
    <row r="313" spans="2:24">
      <c r="B313" s="294"/>
      <c r="C313" s="295"/>
      <c r="M313" s="293"/>
      <c r="N313" s="293"/>
      <c r="R313" s="293"/>
      <c r="S313" s="293"/>
      <c r="T313" s="286"/>
      <c r="U313" s="293"/>
      <c r="V313" s="286"/>
      <c r="W313" s="286"/>
      <c r="X313" s="286"/>
    </row>
    <row r="314" spans="2:24">
      <c r="B314" s="294"/>
      <c r="C314" s="295"/>
      <c r="M314" s="293"/>
      <c r="N314" s="293"/>
      <c r="R314" s="293"/>
      <c r="S314" s="293"/>
      <c r="T314" s="286"/>
      <c r="U314" s="293"/>
      <c r="V314" s="286"/>
      <c r="W314" s="286"/>
      <c r="X314" s="286"/>
    </row>
    <row r="315" spans="2:24">
      <c r="B315" s="294"/>
      <c r="C315" s="295"/>
      <c r="M315" s="293"/>
      <c r="N315" s="293"/>
      <c r="R315" s="293"/>
      <c r="S315" s="293"/>
      <c r="T315" s="286"/>
      <c r="U315" s="293"/>
      <c r="V315" s="286"/>
      <c r="W315" s="286"/>
      <c r="X315" s="286"/>
    </row>
    <row r="316" spans="2:24">
      <c r="B316" s="294"/>
      <c r="C316" s="295"/>
      <c r="M316" s="293"/>
      <c r="N316" s="293"/>
      <c r="R316" s="293"/>
      <c r="S316" s="293"/>
      <c r="T316" s="286"/>
      <c r="U316" s="293"/>
      <c r="V316" s="286"/>
      <c r="W316" s="286"/>
      <c r="X316" s="286"/>
    </row>
    <row r="317" spans="2:24">
      <c r="B317" s="294"/>
      <c r="C317" s="295"/>
      <c r="M317" s="293"/>
      <c r="N317" s="293"/>
      <c r="R317" s="293"/>
      <c r="S317" s="293"/>
      <c r="T317" s="286"/>
      <c r="U317" s="293"/>
      <c r="V317" s="286"/>
      <c r="W317" s="286"/>
      <c r="X317" s="286"/>
    </row>
    <row r="318" spans="2:24">
      <c r="B318" s="294"/>
      <c r="C318" s="295"/>
      <c r="M318" s="293"/>
      <c r="N318" s="293"/>
      <c r="R318" s="293"/>
      <c r="S318" s="293"/>
      <c r="T318" s="286"/>
      <c r="U318" s="293"/>
      <c r="V318" s="286"/>
      <c r="W318" s="286"/>
      <c r="X318" s="286"/>
    </row>
    <row r="319" spans="2:24">
      <c r="B319" s="294"/>
      <c r="C319" s="295"/>
      <c r="M319" s="293"/>
      <c r="N319" s="293"/>
      <c r="R319" s="293"/>
      <c r="S319" s="293"/>
      <c r="T319" s="286"/>
      <c r="U319" s="293"/>
      <c r="V319" s="286"/>
      <c r="W319" s="286"/>
      <c r="X319" s="286"/>
    </row>
    <row r="320" spans="2:24">
      <c r="B320" s="294"/>
      <c r="C320" s="295"/>
      <c r="M320" s="293"/>
      <c r="N320" s="293"/>
      <c r="R320" s="293"/>
      <c r="S320" s="293"/>
      <c r="T320" s="286"/>
      <c r="U320" s="293"/>
      <c r="V320" s="286"/>
      <c r="W320" s="286"/>
      <c r="X320" s="286"/>
    </row>
    <row r="321" spans="2:24">
      <c r="B321" s="294"/>
      <c r="C321" s="295"/>
      <c r="M321" s="293"/>
      <c r="N321" s="293"/>
      <c r="R321" s="293"/>
      <c r="S321" s="293"/>
      <c r="T321" s="286"/>
      <c r="U321" s="293"/>
      <c r="V321" s="286"/>
      <c r="W321" s="286"/>
      <c r="X321" s="286"/>
    </row>
    <row r="322" spans="2:24">
      <c r="B322" s="294"/>
      <c r="C322" s="295"/>
      <c r="M322" s="293"/>
      <c r="N322" s="293"/>
      <c r="R322" s="293"/>
      <c r="S322" s="293"/>
      <c r="T322" s="286"/>
      <c r="U322" s="293"/>
      <c r="V322" s="286"/>
      <c r="W322" s="286"/>
      <c r="X322" s="286"/>
    </row>
    <row r="323" spans="2:24">
      <c r="B323" s="294"/>
      <c r="C323" s="295"/>
      <c r="M323" s="293"/>
      <c r="N323" s="293"/>
      <c r="R323" s="293"/>
      <c r="S323" s="293"/>
      <c r="T323" s="286"/>
      <c r="U323" s="293"/>
      <c r="V323" s="286"/>
      <c r="W323" s="286"/>
      <c r="X323" s="286"/>
    </row>
    <row r="324" spans="2:24">
      <c r="B324" s="294"/>
      <c r="C324" s="295"/>
      <c r="M324" s="293"/>
      <c r="N324" s="293"/>
      <c r="R324" s="293"/>
      <c r="S324" s="293"/>
      <c r="T324" s="286"/>
      <c r="U324" s="293"/>
      <c r="V324" s="286"/>
      <c r="W324" s="286"/>
      <c r="X324" s="286"/>
    </row>
    <row r="325" spans="2:24">
      <c r="B325" s="294"/>
      <c r="C325" s="295"/>
      <c r="M325" s="293"/>
      <c r="N325" s="293"/>
      <c r="R325" s="293"/>
      <c r="S325" s="293"/>
      <c r="T325" s="286"/>
      <c r="U325" s="293"/>
      <c r="V325" s="286"/>
      <c r="W325" s="286"/>
      <c r="X325" s="286"/>
    </row>
    <row r="326" spans="2:24">
      <c r="B326" s="294"/>
      <c r="C326" s="295"/>
      <c r="M326" s="293"/>
      <c r="N326" s="293"/>
      <c r="R326" s="293"/>
      <c r="S326" s="293"/>
      <c r="T326" s="286"/>
      <c r="U326" s="293"/>
      <c r="V326" s="286"/>
      <c r="W326" s="286"/>
      <c r="X326" s="286"/>
    </row>
    <row r="327" spans="2:24">
      <c r="B327" s="294"/>
      <c r="C327" s="295"/>
      <c r="M327" s="293"/>
      <c r="N327" s="293"/>
      <c r="R327" s="293"/>
      <c r="S327" s="293"/>
      <c r="T327" s="286"/>
      <c r="U327" s="293"/>
      <c r="V327" s="286"/>
      <c r="W327" s="286"/>
      <c r="X327" s="286"/>
    </row>
    <row r="328" spans="2:24">
      <c r="B328" s="294"/>
      <c r="C328" s="295"/>
      <c r="M328" s="293"/>
      <c r="N328" s="293"/>
      <c r="R328" s="293"/>
      <c r="S328" s="293"/>
      <c r="T328" s="286"/>
      <c r="U328" s="293"/>
      <c r="V328" s="286"/>
      <c r="W328" s="286"/>
      <c r="X328" s="286"/>
    </row>
    <row r="329" spans="2:24">
      <c r="B329" s="294"/>
      <c r="C329" s="295"/>
      <c r="M329" s="293"/>
      <c r="N329" s="293"/>
      <c r="R329" s="293"/>
      <c r="S329" s="293"/>
      <c r="T329" s="286"/>
      <c r="U329" s="293"/>
      <c r="V329" s="286"/>
      <c r="W329" s="286"/>
      <c r="X329" s="286"/>
    </row>
    <row r="330" spans="2:24">
      <c r="B330" s="294"/>
      <c r="C330" s="295"/>
      <c r="M330" s="293"/>
      <c r="N330" s="293"/>
      <c r="R330" s="293"/>
      <c r="S330" s="293"/>
      <c r="T330" s="286"/>
      <c r="U330" s="293"/>
      <c r="V330" s="286"/>
      <c r="W330" s="286"/>
      <c r="X330" s="286"/>
    </row>
    <row r="331" spans="2:24">
      <c r="B331" s="294"/>
      <c r="C331" s="295"/>
      <c r="M331" s="293"/>
      <c r="N331" s="293"/>
      <c r="R331" s="293"/>
      <c r="S331" s="293"/>
      <c r="T331" s="286"/>
      <c r="U331" s="293"/>
      <c r="V331" s="286"/>
      <c r="W331" s="286"/>
      <c r="X331" s="286"/>
    </row>
    <row r="332" spans="2:24">
      <c r="B332" s="294"/>
      <c r="C332" s="295"/>
      <c r="M332" s="293"/>
      <c r="N332" s="293"/>
      <c r="R332" s="293"/>
      <c r="S332" s="293"/>
      <c r="T332" s="286"/>
      <c r="U332" s="293"/>
      <c r="V332" s="286"/>
      <c r="W332" s="286"/>
      <c r="X332" s="286"/>
    </row>
    <row r="333" spans="2:24">
      <c r="B333" s="294"/>
      <c r="C333" s="295"/>
      <c r="M333" s="293"/>
      <c r="N333" s="293"/>
      <c r="R333" s="293"/>
      <c r="S333" s="293"/>
      <c r="T333" s="286"/>
      <c r="U333" s="293"/>
      <c r="V333" s="286"/>
      <c r="W333" s="286"/>
      <c r="X333" s="286"/>
    </row>
    <row r="334" spans="2:24">
      <c r="B334" s="294"/>
      <c r="C334" s="295"/>
      <c r="M334" s="293"/>
      <c r="N334" s="293"/>
      <c r="R334" s="293"/>
      <c r="S334" s="293"/>
      <c r="T334" s="286"/>
      <c r="U334" s="293"/>
      <c r="V334" s="286"/>
      <c r="W334" s="286"/>
      <c r="X334" s="286"/>
    </row>
    <row r="335" spans="2:24">
      <c r="B335" s="294"/>
      <c r="C335" s="295"/>
      <c r="M335" s="293"/>
      <c r="N335" s="293"/>
      <c r="R335" s="293"/>
      <c r="S335" s="293"/>
      <c r="T335" s="286"/>
      <c r="U335" s="293"/>
      <c r="V335" s="286"/>
      <c r="W335" s="286"/>
      <c r="X335" s="286"/>
    </row>
    <row r="336" spans="2:24">
      <c r="B336" s="294"/>
      <c r="C336" s="295"/>
      <c r="M336" s="293"/>
      <c r="N336" s="293"/>
      <c r="R336" s="293"/>
      <c r="S336" s="293"/>
      <c r="T336" s="286"/>
      <c r="U336" s="293"/>
      <c r="V336" s="286"/>
      <c r="W336" s="286"/>
      <c r="X336" s="286"/>
    </row>
    <row r="337" spans="2:24">
      <c r="B337" s="294"/>
      <c r="C337" s="295"/>
      <c r="M337" s="293"/>
      <c r="N337" s="293"/>
      <c r="R337" s="293"/>
      <c r="S337" s="293"/>
      <c r="T337" s="286"/>
      <c r="U337" s="293"/>
      <c r="V337" s="286"/>
      <c r="W337" s="286"/>
      <c r="X337" s="286"/>
    </row>
    <row r="338" spans="2:24">
      <c r="B338" s="294"/>
      <c r="C338" s="295"/>
      <c r="M338" s="293"/>
      <c r="N338" s="293"/>
      <c r="R338" s="293"/>
      <c r="S338" s="293"/>
      <c r="T338" s="286"/>
      <c r="U338" s="293"/>
      <c r="V338" s="286"/>
      <c r="W338" s="286"/>
      <c r="X338" s="286"/>
    </row>
    <row r="339" spans="2:24">
      <c r="B339" s="294"/>
      <c r="C339" s="295"/>
      <c r="M339" s="293"/>
      <c r="N339" s="293"/>
      <c r="R339" s="293"/>
      <c r="S339" s="293"/>
      <c r="T339" s="286"/>
      <c r="U339" s="293"/>
      <c r="V339" s="286"/>
      <c r="W339" s="286"/>
      <c r="X339" s="286"/>
    </row>
    <row r="340" spans="2:24">
      <c r="B340" s="294"/>
      <c r="C340" s="295"/>
      <c r="M340" s="293"/>
      <c r="N340" s="293"/>
      <c r="R340" s="293"/>
      <c r="S340" s="293"/>
      <c r="T340" s="286"/>
      <c r="U340" s="293"/>
      <c r="V340" s="286"/>
      <c r="W340" s="286"/>
      <c r="X340" s="286"/>
    </row>
    <row r="341" spans="2:24">
      <c r="B341" s="294"/>
      <c r="C341" s="295"/>
      <c r="M341" s="293"/>
      <c r="N341" s="293"/>
      <c r="R341" s="293"/>
      <c r="S341" s="293"/>
      <c r="T341" s="286"/>
      <c r="U341" s="293"/>
      <c r="V341" s="286"/>
      <c r="W341" s="286"/>
      <c r="X341" s="286"/>
    </row>
    <row r="342" spans="2:24">
      <c r="B342" s="294"/>
      <c r="C342" s="295"/>
      <c r="M342" s="293"/>
      <c r="N342" s="293"/>
      <c r="R342" s="293"/>
      <c r="S342" s="293"/>
      <c r="T342" s="286"/>
      <c r="U342" s="293"/>
      <c r="V342" s="286"/>
      <c r="W342" s="286"/>
      <c r="X342" s="286"/>
    </row>
    <row r="343" spans="2:24">
      <c r="B343" s="294"/>
      <c r="C343" s="295"/>
      <c r="M343" s="293"/>
      <c r="N343" s="293"/>
      <c r="R343" s="293"/>
      <c r="S343" s="293"/>
      <c r="T343" s="286"/>
      <c r="U343" s="293"/>
      <c r="V343" s="286"/>
      <c r="W343" s="286"/>
      <c r="X343" s="286"/>
    </row>
    <row r="344" spans="2:24">
      <c r="B344" s="294"/>
      <c r="C344" s="295"/>
      <c r="M344" s="293"/>
      <c r="N344" s="293"/>
      <c r="R344" s="293"/>
      <c r="S344" s="293"/>
      <c r="T344" s="286"/>
      <c r="U344" s="293"/>
      <c r="V344" s="286"/>
      <c r="W344" s="286"/>
      <c r="X344" s="286"/>
    </row>
    <row r="345" spans="2:24">
      <c r="B345" s="294"/>
      <c r="C345" s="295"/>
      <c r="M345" s="293"/>
      <c r="N345" s="293"/>
      <c r="R345" s="293"/>
      <c r="S345" s="293"/>
      <c r="T345" s="286"/>
      <c r="U345" s="293"/>
      <c r="V345" s="286"/>
      <c r="W345" s="286"/>
      <c r="X345" s="286"/>
    </row>
    <row r="346" spans="2:24">
      <c r="B346" s="294"/>
      <c r="C346" s="295"/>
      <c r="M346" s="293"/>
      <c r="N346" s="293"/>
      <c r="R346" s="293"/>
      <c r="S346" s="293"/>
      <c r="T346" s="286"/>
      <c r="U346" s="293"/>
      <c r="V346" s="286"/>
      <c r="W346" s="286"/>
      <c r="X346" s="286"/>
    </row>
    <row r="347" spans="2:24">
      <c r="B347" s="294"/>
      <c r="C347" s="295"/>
      <c r="M347" s="293"/>
      <c r="N347" s="293"/>
      <c r="R347" s="293"/>
      <c r="S347" s="293"/>
      <c r="T347" s="286"/>
      <c r="U347" s="293"/>
      <c r="V347" s="286"/>
      <c r="W347" s="286"/>
      <c r="X347" s="286"/>
    </row>
    <row r="348" spans="2:24">
      <c r="B348" s="294"/>
      <c r="C348" s="295"/>
      <c r="M348" s="293"/>
      <c r="N348" s="293"/>
      <c r="R348" s="293"/>
      <c r="S348" s="293"/>
      <c r="T348" s="286"/>
      <c r="U348" s="293"/>
      <c r="V348" s="286"/>
      <c r="W348" s="286"/>
      <c r="X348" s="286"/>
    </row>
    <row r="349" spans="2:24">
      <c r="B349" s="294"/>
      <c r="C349" s="295"/>
      <c r="M349" s="293"/>
      <c r="N349" s="293"/>
      <c r="R349" s="293"/>
      <c r="S349" s="293"/>
      <c r="T349" s="286"/>
      <c r="U349" s="293"/>
      <c r="V349" s="286"/>
      <c r="W349" s="286"/>
      <c r="X349" s="286"/>
    </row>
    <row r="350" spans="2:24">
      <c r="B350" s="294"/>
      <c r="C350" s="295"/>
      <c r="M350" s="293"/>
      <c r="N350" s="293"/>
      <c r="R350" s="293"/>
      <c r="S350" s="293"/>
      <c r="T350" s="286"/>
      <c r="U350" s="293"/>
      <c r="V350" s="286"/>
      <c r="W350" s="286"/>
      <c r="X350" s="286"/>
    </row>
    <row r="351" spans="2:24">
      <c r="B351" s="294"/>
      <c r="C351" s="295"/>
      <c r="M351" s="293"/>
      <c r="N351" s="293"/>
      <c r="R351" s="293"/>
      <c r="S351" s="293"/>
      <c r="T351" s="286"/>
      <c r="U351" s="293"/>
      <c r="V351" s="286"/>
      <c r="W351" s="286"/>
      <c r="X351" s="286"/>
    </row>
    <row r="352" spans="2:24">
      <c r="B352" s="294"/>
      <c r="C352" s="295"/>
      <c r="M352" s="293"/>
      <c r="N352" s="293"/>
      <c r="R352" s="293"/>
      <c r="S352" s="293"/>
      <c r="T352" s="286"/>
      <c r="U352" s="293"/>
      <c r="V352" s="286"/>
      <c r="W352" s="286"/>
      <c r="X352" s="286"/>
    </row>
    <row r="353" spans="2:24">
      <c r="B353" s="294"/>
      <c r="C353" s="295"/>
      <c r="M353" s="293"/>
      <c r="N353" s="293"/>
      <c r="R353" s="293"/>
      <c r="S353" s="293"/>
      <c r="T353" s="286"/>
      <c r="U353" s="293"/>
      <c r="V353" s="286"/>
      <c r="W353" s="286"/>
      <c r="X353" s="286"/>
    </row>
    <row r="354" spans="2:24">
      <c r="B354" s="294"/>
      <c r="C354" s="295"/>
      <c r="M354" s="293"/>
      <c r="N354" s="293"/>
      <c r="R354" s="293"/>
      <c r="S354" s="293"/>
      <c r="T354" s="286"/>
      <c r="U354" s="293"/>
      <c r="V354" s="286"/>
      <c r="W354" s="286"/>
      <c r="X354" s="286"/>
    </row>
    <row r="355" spans="2:24">
      <c r="B355" s="294"/>
      <c r="C355" s="295"/>
      <c r="M355" s="293"/>
      <c r="N355" s="293"/>
      <c r="R355" s="293"/>
      <c r="S355" s="293"/>
      <c r="T355" s="286"/>
      <c r="U355" s="293"/>
      <c r="V355" s="286"/>
      <c r="W355" s="286"/>
      <c r="X355" s="286"/>
    </row>
    <row r="356" spans="2:24">
      <c r="B356" s="294"/>
      <c r="C356" s="295"/>
      <c r="M356" s="293"/>
      <c r="N356" s="293"/>
      <c r="R356" s="293"/>
      <c r="S356" s="293"/>
      <c r="T356" s="286"/>
      <c r="U356" s="293"/>
      <c r="V356" s="286"/>
      <c r="W356" s="286"/>
      <c r="X356" s="286"/>
    </row>
    <row r="357" spans="2:24">
      <c r="B357" s="294"/>
      <c r="C357" s="295"/>
      <c r="M357" s="293"/>
      <c r="N357" s="293"/>
      <c r="R357" s="293"/>
      <c r="S357" s="293"/>
      <c r="T357" s="286"/>
      <c r="U357" s="293"/>
      <c r="V357" s="286"/>
      <c r="W357" s="286"/>
      <c r="X357" s="286"/>
    </row>
    <row r="358" spans="2:24">
      <c r="B358" s="294"/>
      <c r="C358" s="295"/>
      <c r="M358" s="293"/>
      <c r="N358" s="293"/>
      <c r="R358" s="293"/>
      <c r="S358" s="293"/>
      <c r="T358" s="286"/>
      <c r="U358" s="293"/>
      <c r="V358" s="286"/>
      <c r="W358" s="286"/>
      <c r="X358" s="286"/>
    </row>
    <row r="359" spans="2:24">
      <c r="B359" s="294"/>
      <c r="C359" s="295"/>
      <c r="M359" s="293"/>
      <c r="N359" s="293"/>
      <c r="R359" s="293"/>
      <c r="S359" s="293"/>
      <c r="T359" s="286"/>
      <c r="U359" s="293"/>
      <c r="V359" s="286"/>
      <c r="W359" s="286"/>
      <c r="X359" s="286"/>
    </row>
    <row r="360" spans="2:24">
      <c r="B360" s="294"/>
      <c r="C360" s="295"/>
      <c r="M360" s="293"/>
      <c r="N360" s="293"/>
      <c r="R360" s="293"/>
      <c r="S360" s="293"/>
      <c r="T360" s="286"/>
      <c r="U360" s="293"/>
      <c r="V360" s="286"/>
      <c r="W360" s="286"/>
      <c r="X360" s="286"/>
    </row>
    <row r="361" spans="2:24">
      <c r="B361" s="294"/>
      <c r="C361" s="295"/>
      <c r="M361" s="293"/>
      <c r="N361" s="293"/>
      <c r="R361" s="293"/>
      <c r="S361" s="293"/>
      <c r="T361" s="286"/>
      <c r="U361" s="293"/>
      <c r="V361" s="286"/>
      <c r="W361" s="286"/>
      <c r="X361" s="286"/>
    </row>
    <row r="362" spans="2:24">
      <c r="B362" s="294"/>
      <c r="C362" s="295"/>
      <c r="M362" s="293"/>
      <c r="N362" s="293"/>
      <c r="R362" s="293"/>
      <c r="S362" s="293"/>
      <c r="T362" s="286"/>
      <c r="U362" s="293"/>
      <c r="V362" s="286"/>
      <c r="W362" s="286"/>
      <c r="X362" s="286"/>
    </row>
    <row r="363" spans="2:24">
      <c r="B363" s="294"/>
      <c r="C363" s="295"/>
      <c r="M363" s="293"/>
      <c r="N363" s="293"/>
      <c r="R363" s="293"/>
      <c r="S363" s="293"/>
      <c r="T363" s="286"/>
      <c r="U363" s="293"/>
      <c r="V363" s="286"/>
      <c r="W363" s="286"/>
      <c r="X363" s="286"/>
    </row>
    <row r="364" spans="2:24">
      <c r="B364" s="294"/>
      <c r="C364" s="295"/>
      <c r="M364" s="293"/>
      <c r="N364" s="293"/>
      <c r="R364" s="293"/>
      <c r="S364" s="293"/>
      <c r="T364" s="286"/>
      <c r="U364" s="293"/>
      <c r="V364" s="286"/>
      <c r="W364" s="286"/>
      <c r="X364" s="286"/>
    </row>
    <row r="365" spans="2:24">
      <c r="B365" s="294"/>
      <c r="C365" s="295"/>
      <c r="M365" s="293"/>
      <c r="N365" s="293"/>
      <c r="R365" s="293"/>
      <c r="S365" s="293"/>
      <c r="T365" s="286"/>
      <c r="U365" s="293"/>
      <c r="V365" s="286"/>
      <c r="W365" s="286"/>
      <c r="X365" s="286"/>
    </row>
    <row r="366" spans="2:24">
      <c r="B366" s="294"/>
      <c r="C366" s="295"/>
      <c r="M366" s="293"/>
      <c r="N366" s="293"/>
      <c r="R366" s="293"/>
      <c r="S366" s="293"/>
      <c r="T366" s="286"/>
      <c r="U366" s="293"/>
      <c r="V366" s="286"/>
      <c r="W366" s="286"/>
      <c r="X366" s="286"/>
    </row>
    <row r="367" spans="2:24">
      <c r="B367" s="294"/>
      <c r="C367" s="295"/>
      <c r="M367" s="293"/>
      <c r="N367" s="293"/>
      <c r="R367" s="293"/>
      <c r="S367" s="293"/>
      <c r="T367" s="286"/>
      <c r="U367" s="293"/>
      <c r="V367" s="286"/>
      <c r="W367" s="286"/>
      <c r="X367" s="286"/>
    </row>
    <row r="368" spans="2:24">
      <c r="B368" s="294"/>
      <c r="C368" s="295"/>
      <c r="M368" s="293"/>
      <c r="N368" s="293"/>
      <c r="R368" s="293"/>
      <c r="S368" s="293"/>
      <c r="T368" s="286"/>
      <c r="U368" s="293"/>
      <c r="V368" s="286"/>
      <c r="W368" s="286"/>
      <c r="X368" s="286"/>
    </row>
    <row r="369" spans="2:24">
      <c r="B369" s="294"/>
      <c r="C369" s="295"/>
      <c r="M369" s="293"/>
      <c r="N369" s="293"/>
      <c r="R369" s="293"/>
      <c r="S369" s="293"/>
      <c r="T369" s="286"/>
      <c r="U369" s="293"/>
      <c r="V369" s="286"/>
      <c r="W369" s="286"/>
      <c r="X369" s="286"/>
    </row>
    <row r="370" spans="2:24">
      <c r="B370" s="294"/>
      <c r="C370" s="295"/>
      <c r="M370" s="293"/>
      <c r="N370" s="293"/>
      <c r="R370" s="293"/>
      <c r="S370" s="293"/>
      <c r="T370" s="286"/>
      <c r="U370" s="293"/>
      <c r="V370" s="286"/>
      <c r="W370" s="286"/>
      <c r="X370" s="286"/>
    </row>
    <row r="371" spans="2:24">
      <c r="B371" s="294"/>
      <c r="C371" s="295"/>
      <c r="M371" s="293"/>
      <c r="N371" s="293"/>
      <c r="R371" s="293"/>
      <c r="S371" s="293"/>
      <c r="T371" s="286"/>
      <c r="U371" s="293"/>
      <c r="V371" s="286"/>
      <c r="W371" s="286"/>
      <c r="X371" s="286"/>
    </row>
    <row r="372" spans="2:24">
      <c r="B372" s="294"/>
      <c r="C372" s="295"/>
      <c r="M372" s="293"/>
      <c r="N372" s="293"/>
      <c r="R372" s="293"/>
      <c r="S372" s="293"/>
      <c r="T372" s="286"/>
      <c r="U372" s="293"/>
      <c r="V372" s="286"/>
      <c r="W372" s="286"/>
      <c r="X372" s="286"/>
    </row>
    <row r="373" spans="2:24">
      <c r="B373" s="294"/>
      <c r="C373" s="295"/>
      <c r="M373" s="293"/>
      <c r="N373" s="293"/>
      <c r="R373" s="293"/>
      <c r="S373" s="293"/>
      <c r="T373" s="286"/>
      <c r="U373" s="293"/>
      <c r="V373" s="286"/>
      <c r="W373" s="286"/>
      <c r="X373" s="286"/>
    </row>
    <row r="374" spans="2:24">
      <c r="B374" s="294"/>
      <c r="C374" s="295"/>
      <c r="M374" s="293"/>
      <c r="N374" s="293"/>
      <c r="R374" s="293"/>
      <c r="S374" s="293"/>
      <c r="T374" s="286"/>
      <c r="U374" s="293"/>
      <c r="V374" s="286"/>
      <c r="W374" s="286"/>
      <c r="X374" s="286"/>
    </row>
    <row r="375" spans="2:24">
      <c r="B375" s="294"/>
      <c r="C375" s="295"/>
      <c r="M375" s="293"/>
      <c r="N375" s="293"/>
      <c r="R375" s="293"/>
      <c r="S375" s="293"/>
      <c r="T375" s="286"/>
      <c r="U375" s="293"/>
      <c r="V375" s="286"/>
      <c r="W375" s="286"/>
      <c r="X375" s="286"/>
    </row>
    <row r="376" spans="2:24">
      <c r="B376" s="294"/>
      <c r="C376" s="295"/>
      <c r="M376" s="293"/>
      <c r="N376" s="293"/>
      <c r="R376" s="293"/>
      <c r="S376" s="293"/>
      <c r="T376" s="286"/>
      <c r="U376" s="293"/>
      <c r="V376" s="286"/>
      <c r="W376" s="286"/>
      <c r="X376" s="286"/>
    </row>
    <row r="377" spans="2:24">
      <c r="B377" s="294"/>
      <c r="C377" s="295"/>
      <c r="M377" s="293"/>
      <c r="N377" s="293"/>
      <c r="R377" s="293"/>
      <c r="S377" s="293"/>
      <c r="T377" s="286"/>
      <c r="U377" s="293"/>
      <c r="V377" s="286"/>
      <c r="W377" s="286"/>
      <c r="X377" s="286"/>
    </row>
    <row r="378" spans="2:24">
      <c r="B378" s="294"/>
      <c r="C378" s="295"/>
      <c r="M378" s="293"/>
      <c r="N378" s="293"/>
      <c r="R378" s="293"/>
      <c r="S378" s="293"/>
      <c r="T378" s="286"/>
      <c r="U378" s="293"/>
      <c r="V378" s="286"/>
      <c r="W378" s="286"/>
      <c r="X378" s="286"/>
    </row>
    <row r="379" spans="2:24">
      <c r="B379" s="294"/>
      <c r="C379" s="295"/>
      <c r="M379" s="293"/>
      <c r="N379" s="293"/>
      <c r="R379" s="293"/>
      <c r="S379" s="293"/>
      <c r="T379" s="286"/>
      <c r="U379" s="293"/>
      <c r="V379" s="286"/>
      <c r="W379" s="286"/>
      <c r="X379" s="286"/>
    </row>
    <row r="380" spans="2:24">
      <c r="B380" s="294"/>
      <c r="C380" s="295"/>
      <c r="M380" s="293"/>
      <c r="N380" s="293"/>
      <c r="R380" s="293"/>
      <c r="S380" s="293"/>
      <c r="T380" s="286"/>
      <c r="U380" s="293"/>
      <c r="V380" s="286"/>
      <c r="W380" s="286"/>
      <c r="X380" s="286"/>
    </row>
    <row r="381" spans="2:24">
      <c r="B381" s="294"/>
      <c r="C381" s="295"/>
      <c r="M381" s="293"/>
      <c r="N381" s="293"/>
      <c r="R381" s="293"/>
      <c r="S381" s="293"/>
      <c r="T381" s="286"/>
      <c r="U381" s="293"/>
      <c r="V381" s="286"/>
      <c r="W381" s="286"/>
      <c r="X381" s="286"/>
    </row>
    <row r="382" spans="2:24">
      <c r="B382" s="294"/>
      <c r="C382" s="295"/>
      <c r="M382" s="293"/>
      <c r="N382" s="293"/>
      <c r="R382" s="293"/>
      <c r="S382" s="293"/>
      <c r="T382" s="286"/>
      <c r="U382" s="293"/>
      <c r="V382" s="286"/>
      <c r="W382" s="286"/>
      <c r="X382" s="286"/>
    </row>
    <row r="383" spans="2:24">
      <c r="B383" s="294"/>
      <c r="C383" s="295"/>
      <c r="M383" s="293"/>
      <c r="N383" s="293"/>
      <c r="R383" s="293"/>
      <c r="S383" s="293"/>
      <c r="T383" s="286"/>
      <c r="U383" s="293"/>
      <c r="V383" s="286"/>
      <c r="W383" s="286"/>
      <c r="X383" s="286"/>
    </row>
    <row r="384" spans="2:24">
      <c r="B384" s="294"/>
      <c r="C384" s="295"/>
      <c r="M384" s="293"/>
      <c r="N384" s="293"/>
      <c r="R384" s="293"/>
      <c r="S384" s="293"/>
      <c r="T384" s="286"/>
      <c r="U384" s="293"/>
      <c r="V384" s="286"/>
      <c r="W384" s="286"/>
      <c r="X384" s="286"/>
    </row>
    <row r="385" spans="2:24">
      <c r="B385" s="294"/>
      <c r="C385" s="295"/>
      <c r="M385" s="293"/>
      <c r="N385" s="293"/>
      <c r="R385" s="293"/>
      <c r="S385" s="293"/>
      <c r="T385" s="286"/>
      <c r="U385" s="293"/>
      <c r="V385" s="286"/>
      <c r="W385" s="286"/>
      <c r="X385" s="286"/>
    </row>
    <row r="386" spans="2:24">
      <c r="B386" s="294"/>
      <c r="C386" s="295"/>
      <c r="M386" s="293"/>
      <c r="N386" s="293"/>
      <c r="R386" s="293"/>
      <c r="S386" s="293"/>
      <c r="T386" s="286"/>
      <c r="U386" s="293"/>
      <c r="V386" s="286"/>
      <c r="W386" s="286"/>
      <c r="X386" s="286"/>
    </row>
    <row r="387" spans="2:24">
      <c r="B387" s="294"/>
      <c r="C387" s="295"/>
      <c r="M387" s="293"/>
      <c r="N387" s="293"/>
      <c r="R387" s="293"/>
      <c r="S387" s="293"/>
      <c r="T387" s="286"/>
      <c r="U387" s="293"/>
      <c r="V387" s="286"/>
      <c r="W387" s="286"/>
      <c r="X387" s="286"/>
    </row>
    <row r="388" spans="2:24">
      <c r="B388" s="294"/>
      <c r="C388" s="295"/>
      <c r="M388" s="293"/>
      <c r="N388" s="293"/>
      <c r="R388" s="293"/>
      <c r="S388" s="293"/>
      <c r="T388" s="286"/>
      <c r="U388" s="293"/>
      <c r="V388" s="286"/>
      <c r="W388" s="286"/>
      <c r="X388" s="286"/>
    </row>
    <row r="389" spans="2:24">
      <c r="B389" s="294"/>
      <c r="C389" s="295"/>
      <c r="M389" s="293"/>
      <c r="N389" s="293"/>
      <c r="R389" s="293"/>
      <c r="S389" s="293"/>
      <c r="T389" s="286"/>
      <c r="U389" s="293"/>
      <c r="V389" s="286"/>
      <c r="W389" s="286"/>
      <c r="X389" s="286"/>
    </row>
    <row r="390" spans="2:24">
      <c r="B390" s="294"/>
      <c r="C390" s="295"/>
      <c r="M390" s="293"/>
      <c r="N390" s="293"/>
      <c r="R390" s="293"/>
      <c r="S390" s="293"/>
      <c r="T390" s="286"/>
      <c r="U390" s="293"/>
      <c r="V390" s="286"/>
      <c r="W390" s="286"/>
      <c r="X390" s="286"/>
    </row>
    <row r="391" spans="2:24">
      <c r="B391" s="294"/>
      <c r="C391" s="295"/>
      <c r="M391" s="293"/>
      <c r="N391" s="293"/>
      <c r="R391" s="293"/>
      <c r="S391" s="293"/>
      <c r="T391" s="286"/>
      <c r="U391" s="293"/>
      <c r="V391" s="286"/>
      <c r="W391" s="286"/>
      <c r="X391" s="286"/>
    </row>
    <row r="392" spans="2:24">
      <c r="B392" s="294"/>
      <c r="C392" s="295"/>
      <c r="M392" s="293"/>
      <c r="N392" s="293"/>
      <c r="R392" s="293"/>
      <c r="S392" s="293"/>
      <c r="T392" s="286"/>
      <c r="U392" s="293"/>
      <c r="V392" s="286"/>
      <c r="W392" s="286"/>
      <c r="X392" s="286"/>
    </row>
    <row r="393" spans="2:24">
      <c r="B393" s="294"/>
      <c r="C393" s="295"/>
      <c r="M393" s="293"/>
      <c r="N393" s="293"/>
      <c r="R393" s="293"/>
      <c r="S393" s="293"/>
      <c r="T393" s="286"/>
      <c r="U393" s="293"/>
      <c r="V393" s="286"/>
      <c r="W393" s="286"/>
      <c r="X393" s="286"/>
    </row>
    <row r="394" spans="2:24">
      <c r="B394" s="294"/>
      <c r="C394" s="295"/>
      <c r="M394" s="293"/>
      <c r="N394" s="293"/>
      <c r="R394" s="293"/>
      <c r="S394" s="293"/>
      <c r="T394" s="286"/>
      <c r="U394" s="293"/>
      <c r="V394" s="286"/>
      <c r="W394" s="286"/>
      <c r="X394" s="286"/>
    </row>
    <row r="395" spans="2:24">
      <c r="B395" s="294"/>
      <c r="C395" s="295"/>
      <c r="M395" s="293"/>
      <c r="N395" s="293"/>
      <c r="R395" s="293"/>
      <c r="S395" s="293"/>
      <c r="T395" s="286"/>
      <c r="U395" s="293"/>
      <c r="V395" s="286"/>
      <c r="W395" s="286"/>
      <c r="X395" s="286"/>
    </row>
    <row r="396" spans="2:24">
      <c r="B396" s="294"/>
      <c r="C396" s="295"/>
      <c r="M396" s="293"/>
      <c r="N396" s="293"/>
      <c r="R396" s="293"/>
      <c r="S396" s="293"/>
      <c r="T396" s="286"/>
      <c r="U396" s="293"/>
      <c r="V396" s="286"/>
      <c r="W396" s="286"/>
      <c r="X396" s="286"/>
    </row>
    <row r="397" spans="2:24">
      <c r="B397" s="294"/>
      <c r="C397" s="295"/>
      <c r="M397" s="293"/>
      <c r="N397" s="293"/>
      <c r="R397" s="293"/>
      <c r="S397" s="293"/>
      <c r="T397" s="286"/>
      <c r="U397" s="293"/>
      <c r="V397" s="286"/>
      <c r="W397" s="286"/>
      <c r="X397" s="286"/>
    </row>
    <row r="398" spans="2:24">
      <c r="B398" s="294"/>
      <c r="C398" s="295"/>
      <c r="M398" s="293"/>
      <c r="N398" s="293"/>
      <c r="R398" s="293"/>
      <c r="S398" s="293"/>
      <c r="T398" s="286"/>
      <c r="U398" s="293"/>
      <c r="V398" s="286"/>
      <c r="W398" s="286"/>
      <c r="X398" s="286"/>
    </row>
    <row r="399" spans="2:24">
      <c r="B399" s="294"/>
      <c r="C399" s="295"/>
      <c r="M399" s="293"/>
      <c r="N399" s="293"/>
      <c r="R399" s="293"/>
      <c r="S399" s="293"/>
      <c r="T399" s="286"/>
      <c r="U399" s="293"/>
      <c r="V399" s="286"/>
      <c r="W399" s="286"/>
      <c r="X399" s="286"/>
    </row>
    <row r="400" spans="2:24">
      <c r="B400" s="294"/>
      <c r="C400" s="295"/>
      <c r="M400" s="293"/>
      <c r="N400" s="293"/>
      <c r="R400" s="293"/>
      <c r="S400" s="293"/>
      <c r="T400" s="286"/>
      <c r="U400" s="293"/>
      <c r="V400" s="286"/>
      <c r="W400" s="286"/>
      <c r="X400" s="286"/>
    </row>
    <row r="401" spans="2:24">
      <c r="B401" s="294"/>
      <c r="C401" s="295"/>
      <c r="M401" s="293"/>
      <c r="N401" s="293"/>
      <c r="R401" s="293"/>
      <c r="S401" s="293"/>
      <c r="T401" s="286"/>
      <c r="U401" s="293"/>
      <c r="V401" s="286"/>
      <c r="W401" s="286"/>
      <c r="X401" s="286"/>
    </row>
    <row r="402" spans="2:24">
      <c r="B402" s="294"/>
      <c r="C402" s="295"/>
      <c r="M402" s="293"/>
      <c r="N402" s="293"/>
      <c r="R402" s="293"/>
      <c r="S402" s="293"/>
      <c r="T402" s="286"/>
      <c r="U402" s="293"/>
      <c r="V402" s="286"/>
      <c r="W402" s="286"/>
      <c r="X402" s="286"/>
    </row>
    <row r="403" spans="2:24">
      <c r="B403" s="294"/>
      <c r="C403" s="295"/>
      <c r="M403" s="293"/>
      <c r="N403" s="293"/>
      <c r="R403" s="293"/>
      <c r="S403" s="293"/>
      <c r="T403" s="286"/>
      <c r="U403" s="293"/>
      <c r="V403" s="286"/>
      <c r="W403" s="286"/>
      <c r="X403" s="286"/>
    </row>
    <row r="404" spans="2:24">
      <c r="B404" s="294"/>
      <c r="C404" s="295"/>
      <c r="M404" s="293"/>
      <c r="N404" s="293"/>
      <c r="R404" s="293"/>
      <c r="S404" s="293"/>
      <c r="T404" s="286"/>
      <c r="U404" s="293"/>
      <c r="V404" s="286"/>
      <c r="W404" s="286"/>
      <c r="X404" s="286"/>
    </row>
    <row r="405" spans="2:24">
      <c r="B405" s="294"/>
      <c r="C405" s="295"/>
      <c r="M405" s="293"/>
      <c r="N405" s="293"/>
      <c r="R405" s="293"/>
      <c r="S405" s="293"/>
      <c r="T405" s="286"/>
      <c r="U405" s="293"/>
      <c r="V405" s="286"/>
      <c r="W405" s="286"/>
      <c r="X405" s="286"/>
    </row>
    <row r="406" spans="2:24">
      <c r="B406" s="294"/>
      <c r="C406" s="295"/>
      <c r="M406" s="293"/>
      <c r="N406" s="293"/>
      <c r="R406" s="293"/>
      <c r="S406" s="293"/>
      <c r="T406" s="286"/>
      <c r="U406" s="293"/>
      <c r="V406" s="286"/>
      <c r="W406" s="286"/>
      <c r="X406" s="286"/>
    </row>
    <row r="407" spans="2:24">
      <c r="B407" s="294"/>
      <c r="C407" s="295"/>
      <c r="M407" s="293"/>
      <c r="N407" s="293"/>
      <c r="R407" s="293"/>
      <c r="S407" s="293"/>
      <c r="T407" s="286"/>
      <c r="U407" s="293"/>
      <c r="V407" s="286"/>
      <c r="W407" s="286"/>
      <c r="X407" s="286"/>
    </row>
    <row r="408" spans="2:24">
      <c r="B408" s="294"/>
      <c r="C408" s="295"/>
      <c r="M408" s="293"/>
      <c r="N408" s="293"/>
      <c r="R408" s="293"/>
      <c r="S408" s="293"/>
      <c r="T408" s="286"/>
      <c r="U408" s="293"/>
      <c r="V408" s="286"/>
      <c r="W408" s="286"/>
      <c r="X408" s="286"/>
    </row>
    <row r="409" spans="2:24">
      <c r="B409" s="294"/>
      <c r="C409" s="295"/>
      <c r="M409" s="293"/>
      <c r="N409" s="293"/>
      <c r="R409" s="293"/>
      <c r="S409" s="293"/>
      <c r="T409" s="286"/>
      <c r="U409" s="293"/>
      <c r="V409" s="286"/>
      <c r="W409" s="286"/>
      <c r="X409" s="286"/>
    </row>
    <row r="410" spans="2:24">
      <c r="B410" s="294"/>
      <c r="C410" s="295"/>
      <c r="M410" s="293"/>
      <c r="N410" s="293"/>
      <c r="R410" s="293"/>
      <c r="S410" s="293"/>
      <c r="T410" s="286"/>
      <c r="U410" s="293"/>
      <c r="V410" s="286"/>
      <c r="W410" s="286"/>
      <c r="X410" s="286"/>
    </row>
    <row r="411" spans="2:24">
      <c r="B411" s="294"/>
      <c r="C411" s="295"/>
      <c r="M411" s="293"/>
      <c r="N411" s="293"/>
      <c r="R411" s="293"/>
      <c r="S411" s="293"/>
      <c r="T411" s="286"/>
      <c r="U411" s="293"/>
      <c r="V411" s="286"/>
      <c r="W411" s="286"/>
      <c r="X411" s="286"/>
    </row>
    <row r="412" spans="2:24">
      <c r="B412" s="294"/>
      <c r="C412" s="295"/>
      <c r="M412" s="293"/>
      <c r="N412" s="293"/>
      <c r="R412" s="293"/>
      <c r="S412" s="293"/>
      <c r="T412" s="286"/>
      <c r="U412" s="293"/>
      <c r="V412" s="286"/>
      <c r="W412" s="286"/>
      <c r="X412" s="286"/>
    </row>
    <row r="413" spans="2:24">
      <c r="B413" s="294"/>
      <c r="C413" s="295"/>
      <c r="M413" s="293"/>
      <c r="N413" s="293"/>
      <c r="R413" s="293"/>
      <c r="S413" s="293"/>
      <c r="T413" s="286"/>
      <c r="U413" s="293"/>
      <c r="V413" s="286"/>
      <c r="W413" s="286"/>
      <c r="X413" s="286"/>
    </row>
    <row r="414" spans="2:24">
      <c r="B414" s="294"/>
      <c r="C414" s="295"/>
      <c r="M414" s="293"/>
      <c r="N414" s="293"/>
      <c r="R414" s="293"/>
      <c r="S414" s="293"/>
      <c r="T414" s="286"/>
      <c r="U414" s="293"/>
      <c r="V414" s="286"/>
      <c r="W414" s="286"/>
      <c r="X414" s="286"/>
    </row>
    <row r="415" spans="2:24">
      <c r="B415" s="294"/>
      <c r="C415" s="295"/>
      <c r="M415" s="293"/>
      <c r="N415" s="293"/>
      <c r="R415" s="293"/>
      <c r="S415" s="293"/>
      <c r="T415" s="286"/>
      <c r="U415" s="293"/>
      <c r="V415" s="286"/>
      <c r="W415" s="286"/>
      <c r="X415" s="286"/>
    </row>
    <row r="416" spans="2:24">
      <c r="B416" s="294"/>
      <c r="C416" s="295"/>
      <c r="M416" s="293"/>
      <c r="N416" s="293"/>
      <c r="R416" s="293"/>
      <c r="S416" s="293"/>
      <c r="T416" s="286"/>
      <c r="U416" s="293"/>
      <c r="V416" s="286"/>
      <c r="W416" s="286"/>
      <c r="X416" s="286"/>
    </row>
    <row r="417" spans="2:24">
      <c r="B417" s="294"/>
      <c r="C417" s="295"/>
      <c r="M417" s="293"/>
      <c r="N417" s="293"/>
      <c r="R417" s="293"/>
      <c r="S417" s="293"/>
      <c r="T417" s="286"/>
      <c r="U417" s="293"/>
      <c r="V417" s="286"/>
      <c r="W417" s="286"/>
      <c r="X417" s="286"/>
    </row>
    <row r="418" spans="2:24">
      <c r="B418" s="294"/>
      <c r="C418" s="295"/>
      <c r="M418" s="293"/>
      <c r="N418" s="293"/>
      <c r="R418" s="293"/>
      <c r="S418" s="293"/>
      <c r="T418" s="286"/>
      <c r="U418" s="293"/>
      <c r="V418" s="286"/>
      <c r="W418" s="286"/>
      <c r="X418" s="286"/>
    </row>
    <row r="419" spans="2:24">
      <c r="B419" s="294"/>
      <c r="C419" s="295"/>
      <c r="M419" s="293"/>
      <c r="N419" s="293"/>
      <c r="R419" s="293"/>
      <c r="S419" s="293"/>
      <c r="T419" s="286"/>
      <c r="U419" s="293"/>
      <c r="V419" s="286"/>
      <c r="W419" s="286"/>
      <c r="X419" s="286"/>
    </row>
    <row r="420" spans="2:24">
      <c r="B420" s="294"/>
      <c r="C420" s="295"/>
      <c r="M420" s="293"/>
      <c r="N420" s="293"/>
      <c r="R420" s="293"/>
      <c r="S420" s="293"/>
      <c r="T420" s="286"/>
      <c r="U420" s="293"/>
      <c r="V420" s="286"/>
      <c r="W420" s="286"/>
      <c r="X420" s="286"/>
    </row>
    <row r="421" spans="2:24">
      <c r="B421" s="294"/>
      <c r="C421" s="295"/>
      <c r="M421" s="293"/>
      <c r="N421" s="293"/>
      <c r="R421" s="293"/>
      <c r="S421" s="293"/>
      <c r="T421" s="286"/>
      <c r="U421" s="293"/>
      <c r="V421" s="286"/>
      <c r="W421" s="286"/>
      <c r="X421" s="286"/>
    </row>
    <row r="422" spans="2:24">
      <c r="B422" s="294"/>
      <c r="C422" s="295"/>
      <c r="M422" s="293"/>
      <c r="N422" s="293"/>
      <c r="R422" s="293"/>
      <c r="S422" s="293"/>
      <c r="T422" s="286"/>
      <c r="U422" s="293"/>
      <c r="V422" s="286"/>
      <c r="W422" s="286"/>
      <c r="X422" s="286"/>
    </row>
    <row r="423" spans="2:24">
      <c r="B423" s="294"/>
      <c r="C423" s="295"/>
      <c r="M423" s="293"/>
      <c r="N423" s="293"/>
      <c r="R423" s="293"/>
      <c r="S423" s="293"/>
      <c r="T423" s="286"/>
      <c r="U423" s="293"/>
      <c r="V423" s="286"/>
      <c r="W423" s="286"/>
      <c r="X423" s="286"/>
    </row>
    <row r="424" spans="2:24">
      <c r="B424" s="294"/>
      <c r="C424" s="295"/>
      <c r="M424" s="293"/>
      <c r="N424" s="293"/>
      <c r="R424" s="293"/>
      <c r="S424" s="293"/>
      <c r="T424" s="286"/>
      <c r="U424" s="293"/>
      <c r="V424" s="286"/>
      <c r="W424" s="286"/>
      <c r="X424" s="286"/>
    </row>
    <row r="425" spans="2:24">
      <c r="B425" s="294"/>
      <c r="C425" s="295"/>
      <c r="M425" s="293"/>
      <c r="N425" s="293"/>
      <c r="R425" s="293"/>
      <c r="S425" s="293"/>
      <c r="T425" s="286"/>
      <c r="U425" s="293"/>
      <c r="V425" s="286"/>
      <c r="W425" s="286"/>
      <c r="X425" s="286"/>
    </row>
    <row r="426" spans="2:24">
      <c r="B426" s="294"/>
      <c r="C426" s="295"/>
      <c r="M426" s="293"/>
      <c r="N426" s="293"/>
      <c r="R426" s="293"/>
      <c r="S426" s="293"/>
      <c r="T426" s="286"/>
      <c r="U426" s="293"/>
      <c r="V426" s="286"/>
      <c r="W426" s="286"/>
      <c r="X426" s="286"/>
    </row>
    <row r="427" spans="2:24">
      <c r="B427" s="294"/>
      <c r="C427" s="295"/>
      <c r="M427" s="293"/>
      <c r="N427" s="293"/>
      <c r="R427" s="293"/>
      <c r="S427" s="293"/>
      <c r="T427" s="286"/>
      <c r="U427" s="293"/>
      <c r="V427" s="286"/>
      <c r="W427" s="286"/>
      <c r="X427" s="286"/>
    </row>
    <row r="428" spans="2:24">
      <c r="B428" s="294"/>
      <c r="C428" s="295"/>
      <c r="M428" s="293"/>
      <c r="N428" s="293"/>
      <c r="R428" s="293"/>
      <c r="S428" s="293"/>
      <c r="T428" s="286"/>
      <c r="U428" s="293"/>
      <c r="V428" s="286"/>
      <c r="W428" s="286"/>
      <c r="X428" s="286"/>
    </row>
    <row r="429" spans="2:24">
      <c r="B429" s="294"/>
      <c r="C429" s="295"/>
      <c r="M429" s="293"/>
      <c r="N429" s="293"/>
      <c r="R429" s="293"/>
      <c r="S429" s="293"/>
      <c r="T429" s="286"/>
      <c r="U429" s="293"/>
      <c r="V429" s="286"/>
      <c r="W429" s="286"/>
      <c r="X429" s="286"/>
    </row>
    <row r="430" spans="2:24">
      <c r="B430" s="294"/>
      <c r="C430" s="295"/>
      <c r="M430" s="293"/>
      <c r="N430" s="293"/>
      <c r="R430" s="293"/>
      <c r="S430" s="293"/>
      <c r="T430" s="286"/>
      <c r="U430" s="293"/>
      <c r="V430" s="286"/>
      <c r="W430" s="286"/>
      <c r="X430" s="286"/>
    </row>
    <row r="431" spans="2:24">
      <c r="B431" s="294"/>
      <c r="C431" s="295"/>
      <c r="M431" s="293"/>
      <c r="N431" s="293"/>
      <c r="R431" s="293"/>
      <c r="S431" s="293"/>
      <c r="T431" s="286"/>
      <c r="U431" s="293"/>
      <c r="V431" s="286"/>
      <c r="W431" s="286"/>
      <c r="X431" s="286"/>
    </row>
    <row r="432" spans="2:24">
      <c r="B432" s="294"/>
      <c r="C432" s="295"/>
      <c r="M432" s="293"/>
      <c r="N432" s="293"/>
      <c r="R432" s="293"/>
      <c r="S432" s="293"/>
      <c r="T432" s="286"/>
      <c r="U432" s="293"/>
      <c r="V432" s="286"/>
      <c r="W432" s="286"/>
      <c r="X432" s="286"/>
    </row>
    <row r="433" spans="2:24">
      <c r="B433" s="294"/>
      <c r="C433" s="295"/>
      <c r="M433" s="293"/>
      <c r="N433" s="293"/>
      <c r="R433" s="293"/>
      <c r="S433" s="293"/>
      <c r="T433" s="286"/>
      <c r="U433" s="293"/>
      <c r="V433" s="286"/>
      <c r="W433" s="286"/>
      <c r="X433" s="286"/>
    </row>
    <row r="434" spans="2:24">
      <c r="B434" s="294"/>
      <c r="C434" s="295"/>
      <c r="M434" s="293"/>
      <c r="N434" s="293"/>
      <c r="R434" s="293"/>
      <c r="S434" s="293"/>
      <c r="T434" s="286"/>
      <c r="U434" s="293"/>
      <c r="V434" s="286"/>
      <c r="W434" s="286"/>
      <c r="X434" s="286"/>
    </row>
    <row r="435" spans="2:24">
      <c r="B435" s="294"/>
      <c r="C435" s="295"/>
      <c r="M435" s="293"/>
      <c r="N435" s="293"/>
      <c r="R435" s="293"/>
      <c r="S435" s="293"/>
      <c r="T435" s="286"/>
      <c r="U435" s="293"/>
      <c r="V435" s="286"/>
      <c r="W435" s="286"/>
      <c r="X435" s="286"/>
    </row>
    <row r="436" spans="2:24">
      <c r="B436" s="294"/>
      <c r="C436" s="295"/>
      <c r="M436" s="293"/>
      <c r="N436" s="293"/>
      <c r="R436" s="293"/>
      <c r="S436" s="293"/>
      <c r="T436" s="286"/>
      <c r="U436" s="293"/>
      <c r="V436" s="286"/>
      <c r="W436" s="286"/>
      <c r="X436" s="286"/>
    </row>
    <row r="437" spans="2:24">
      <c r="B437" s="294"/>
      <c r="C437" s="295"/>
      <c r="M437" s="293"/>
      <c r="N437" s="293"/>
      <c r="R437" s="293"/>
      <c r="S437" s="293"/>
      <c r="T437" s="286"/>
      <c r="U437" s="293"/>
      <c r="V437" s="286"/>
      <c r="W437" s="286"/>
      <c r="X437" s="286"/>
    </row>
    <row r="438" spans="2:24">
      <c r="B438" s="294"/>
      <c r="C438" s="295"/>
      <c r="M438" s="293"/>
      <c r="N438" s="293"/>
      <c r="R438" s="293"/>
      <c r="S438" s="293"/>
      <c r="T438" s="286"/>
      <c r="U438" s="293"/>
      <c r="V438" s="286"/>
      <c r="W438" s="286"/>
      <c r="X438" s="286"/>
    </row>
    <row r="439" spans="2:24">
      <c r="B439" s="294"/>
      <c r="C439" s="295"/>
      <c r="M439" s="293"/>
      <c r="N439" s="293"/>
      <c r="R439" s="293"/>
      <c r="S439" s="293"/>
      <c r="T439" s="286"/>
      <c r="U439" s="293"/>
      <c r="V439" s="286"/>
      <c r="W439" s="286"/>
      <c r="X439" s="286"/>
    </row>
    <row r="440" spans="2:24">
      <c r="B440" s="294"/>
      <c r="C440" s="295"/>
      <c r="M440" s="293"/>
      <c r="N440" s="293"/>
      <c r="R440" s="293"/>
      <c r="S440" s="293"/>
      <c r="T440" s="286"/>
      <c r="U440" s="293"/>
      <c r="V440" s="286"/>
      <c r="W440" s="286"/>
      <c r="X440" s="286"/>
    </row>
    <row r="441" spans="2:24">
      <c r="B441" s="294"/>
      <c r="C441" s="295"/>
      <c r="M441" s="293"/>
      <c r="N441" s="293"/>
      <c r="R441" s="293"/>
      <c r="S441" s="293"/>
      <c r="T441" s="286"/>
      <c r="U441" s="293"/>
      <c r="V441" s="286"/>
      <c r="W441" s="286"/>
      <c r="X441" s="286"/>
    </row>
    <row r="442" spans="2:24">
      <c r="B442" s="294"/>
      <c r="C442" s="295"/>
      <c r="M442" s="293"/>
      <c r="N442" s="293"/>
      <c r="R442" s="293"/>
      <c r="S442" s="293"/>
      <c r="T442" s="286"/>
      <c r="U442" s="293"/>
      <c r="V442" s="286"/>
      <c r="W442" s="286"/>
      <c r="X442" s="286"/>
    </row>
    <row r="443" spans="2:24">
      <c r="B443" s="294"/>
      <c r="C443" s="295"/>
      <c r="M443" s="293"/>
      <c r="N443" s="293"/>
      <c r="R443" s="293"/>
      <c r="S443" s="293"/>
      <c r="T443" s="286"/>
      <c r="U443" s="293"/>
      <c r="V443" s="286"/>
      <c r="W443" s="286"/>
      <c r="X443" s="286"/>
    </row>
    <row r="444" spans="2:24">
      <c r="B444" s="294"/>
      <c r="C444" s="295"/>
      <c r="M444" s="293"/>
      <c r="N444" s="293"/>
      <c r="R444" s="293"/>
      <c r="S444" s="293"/>
      <c r="T444" s="286"/>
      <c r="U444" s="293"/>
      <c r="V444" s="286"/>
      <c r="W444" s="286"/>
      <c r="X444" s="286"/>
    </row>
    <row r="445" spans="2:24">
      <c r="B445" s="294"/>
      <c r="C445" s="295"/>
      <c r="M445" s="293"/>
      <c r="N445" s="293"/>
      <c r="R445" s="293"/>
      <c r="S445" s="293"/>
      <c r="T445" s="286"/>
      <c r="U445" s="293"/>
      <c r="V445" s="286"/>
      <c r="W445" s="286"/>
      <c r="X445" s="286"/>
    </row>
    <row r="446" spans="2:24">
      <c r="B446" s="294"/>
      <c r="C446" s="295"/>
      <c r="M446" s="293"/>
      <c r="N446" s="293"/>
      <c r="R446" s="293"/>
      <c r="S446" s="293"/>
      <c r="T446" s="286"/>
      <c r="U446" s="293"/>
      <c r="V446" s="286"/>
      <c r="W446" s="286"/>
      <c r="X446" s="286"/>
    </row>
    <row r="447" spans="2:24">
      <c r="B447" s="294"/>
      <c r="C447" s="295"/>
      <c r="M447" s="293"/>
      <c r="N447" s="293"/>
      <c r="R447" s="293"/>
      <c r="S447" s="293"/>
      <c r="T447" s="286"/>
      <c r="U447" s="293"/>
      <c r="V447" s="286"/>
      <c r="W447" s="286"/>
      <c r="X447" s="286"/>
    </row>
    <row r="448" spans="2:24">
      <c r="B448" s="294"/>
      <c r="C448" s="295"/>
      <c r="M448" s="293"/>
      <c r="N448" s="293"/>
      <c r="R448" s="293"/>
      <c r="S448" s="293"/>
      <c r="T448" s="286"/>
      <c r="U448" s="293"/>
      <c r="V448" s="286"/>
      <c r="W448" s="286"/>
      <c r="X448" s="286"/>
    </row>
    <row r="449" spans="2:24">
      <c r="B449" s="294"/>
      <c r="C449" s="295"/>
      <c r="M449" s="293"/>
      <c r="N449" s="293"/>
      <c r="R449" s="293"/>
      <c r="S449" s="293"/>
      <c r="T449" s="286"/>
      <c r="U449" s="293"/>
      <c r="V449" s="286"/>
      <c r="W449" s="286"/>
      <c r="X449" s="286"/>
    </row>
    <row r="450" spans="2:24">
      <c r="B450" s="294"/>
      <c r="C450" s="295"/>
      <c r="M450" s="293"/>
      <c r="N450" s="293"/>
      <c r="R450" s="293"/>
      <c r="S450" s="293"/>
      <c r="T450" s="286"/>
      <c r="U450" s="293"/>
      <c r="V450" s="286"/>
      <c r="W450" s="286"/>
      <c r="X450" s="286"/>
    </row>
    <row r="451" spans="2:24">
      <c r="B451" s="294"/>
      <c r="C451" s="295"/>
      <c r="M451" s="293"/>
      <c r="N451" s="293"/>
      <c r="R451" s="293"/>
      <c r="S451" s="293"/>
      <c r="T451" s="286"/>
      <c r="U451" s="293"/>
      <c r="V451" s="286"/>
      <c r="W451" s="286"/>
      <c r="X451" s="286"/>
    </row>
    <row r="452" spans="2:24">
      <c r="B452" s="294"/>
      <c r="C452" s="295"/>
      <c r="M452" s="293"/>
      <c r="N452" s="293"/>
      <c r="R452" s="293"/>
      <c r="S452" s="293"/>
      <c r="T452" s="286"/>
      <c r="U452" s="293"/>
      <c r="V452" s="286"/>
      <c r="W452" s="286"/>
      <c r="X452" s="286"/>
    </row>
    <row r="453" spans="2:24">
      <c r="B453" s="294"/>
      <c r="C453" s="295"/>
      <c r="M453" s="293"/>
      <c r="N453" s="293"/>
      <c r="R453" s="293"/>
      <c r="S453" s="293"/>
      <c r="T453" s="286"/>
      <c r="U453" s="293"/>
      <c r="V453" s="286"/>
      <c r="W453" s="286"/>
      <c r="X453" s="286"/>
    </row>
    <row r="454" spans="2:24">
      <c r="B454" s="294"/>
      <c r="C454" s="295"/>
      <c r="M454" s="293"/>
      <c r="N454" s="293"/>
      <c r="R454" s="293"/>
      <c r="S454" s="293"/>
      <c r="T454" s="286"/>
      <c r="U454" s="293"/>
      <c r="V454" s="286"/>
      <c r="W454" s="286"/>
      <c r="X454" s="286"/>
    </row>
    <row r="455" spans="2:24">
      <c r="B455" s="294"/>
      <c r="C455" s="295"/>
      <c r="M455" s="293"/>
      <c r="N455" s="293"/>
      <c r="R455" s="293"/>
      <c r="S455" s="293"/>
      <c r="T455" s="286"/>
      <c r="U455" s="293"/>
      <c r="V455" s="286"/>
      <c r="W455" s="286"/>
      <c r="X455" s="286"/>
    </row>
    <row r="456" spans="2:24">
      <c r="B456" s="294"/>
      <c r="C456" s="295"/>
      <c r="M456" s="293"/>
      <c r="N456" s="293"/>
      <c r="R456" s="293"/>
      <c r="S456" s="293"/>
      <c r="T456" s="286"/>
      <c r="U456" s="293"/>
      <c r="V456" s="286"/>
      <c r="W456" s="286"/>
      <c r="X456" s="286"/>
    </row>
    <row r="457" spans="2:24">
      <c r="B457" s="294"/>
      <c r="C457" s="295"/>
      <c r="M457" s="293"/>
      <c r="N457" s="293"/>
      <c r="R457" s="293"/>
      <c r="S457" s="293"/>
      <c r="T457" s="286"/>
      <c r="U457" s="293"/>
      <c r="V457" s="286"/>
      <c r="W457" s="286"/>
      <c r="X457" s="286"/>
    </row>
    <row r="458" spans="2:24">
      <c r="B458" s="294"/>
      <c r="C458" s="295"/>
      <c r="M458" s="293"/>
      <c r="N458" s="293"/>
      <c r="R458" s="293"/>
      <c r="S458" s="293"/>
      <c r="T458" s="286"/>
      <c r="U458" s="293"/>
      <c r="V458" s="286"/>
      <c r="W458" s="286"/>
      <c r="X458" s="286"/>
    </row>
    <row r="459" spans="2:24">
      <c r="B459" s="294"/>
      <c r="C459" s="295"/>
      <c r="M459" s="293"/>
      <c r="N459" s="293"/>
      <c r="R459" s="293"/>
      <c r="S459" s="293"/>
      <c r="T459" s="286"/>
      <c r="U459" s="293"/>
      <c r="V459" s="286"/>
      <c r="W459" s="286"/>
      <c r="X459" s="286"/>
    </row>
    <row r="460" spans="2:24">
      <c r="B460" s="294"/>
      <c r="C460" s="295"/>
      <c r="M460" s="293"/>
      <c r="N460" s="293"/>
      <c r="R460" s="293"/>
      <c r="S460" s="293"/>
      <c r="T460" s="286"/>
      <c r="U460" s="293"/>
      <c r="V460" s="286"/>
      <c r="W460" s="286"/>
      <c r="X460" s="286"/>
    </row>
    <row r="461" spans="2:24">
      <c r="B461" s="294"/>
      <c r="C461" s="295"/>
      <c r="M461" s="293"/>
      <c r="N461" s="293"/>
      <c r="R461" s="293"/>
      <c r="S461" s="293"/>
      <c r="T461" s="286"/>
      <c r="U461" s="293"/>
      <c r="V461" s="286"/>
      <c r="W461" s="286"/>
      <c r="X461" s="286"/>
    </row>
    <row r="462" spans="2:24">
      <c r="B462" s="294"/>
      <c r="C462" s="295"/>
      <c r="M462" s="293"/>
      <c r="N462" s="293"/>
      <c r="R462" s="293"/>
      <c r="S462" s="293"/>
      <c r="T462" s="286"/>
      <c r="U462" s="293"/>
      <c r="V462" s="286"/>
      <c r="W462" s="286"/>
      <c r="X462" s="286"/>
    </row>
    <row r="463" spans="2:24">
      <c r="B463" s="294"/>
      <c r="C463" s="295"/>
      <c r="M463" s="293"/>
      <c r="N463" s="293"/>
      <c r="R463" s="293"/>
      <c r="S463" s="293"/>
      <c r="T463" s="286"/>
      <c r="U463" s="293"/>
      <c r="V463" s="286"/>
      <c r="W463" s="286"/>
      <c r="X463" s="286"/>
    </row>
    <row r="464" spans="2:24">
      <c r="B464" s="294"/>
      <c r="C464" s="295"/>
      <c r="M464" s="293"/>
      <c r="N464" s="293"/>
      <c r="R464" s="293"/>
      <c r="S464" s="293"/>
      <c r="T464" s="286"/>
      <c r="U464" s="293"/>
      <c r="V464" s="286"/>
      <c r="W464" s="286"/>
      <c r="X464" s="286"/>
    </row>
    <row r="465" spans="2:24">
      <c r="B465" s="294"/>
      <c r="C465" s="295"/>
      <c r="M465" s="293"/>
      <c r="N465" s="293"/>
      <c r="R465" s="293"/>
      <c r="S465" s="293"/>
      <c r="T465" s="286"/>
      <c r="U465" s="293"/>
      <c r="V465" s="286"/>
      <c r="W465" s="286"/>
      <c r="X465" s="286"/>
    </row>
    <row r="466" spans="2:24">
      <c r="B466" s="294"/>
      <c r="C466" s="295"/>
      <c r="M466" s="293"/>
      <c r="N466" s="293"/>
      <c r="R466" s="293"/>
      <c r="S466" s="293"/>
      <c r="T466" s="286"/>
      <c r="U466" s="293"/>
      <c r="V466" s="286"/>
      <c r="W466" s="286"/>
      <c r="X466" s="286"/>
    </row>
    <row r="467" spans="2:24">
      <c r="B467" s="294"/>
      <c r="C467" s="295"/>
      <c r="M467" s="293"/>
      <c r="N467" s="293"/>
      <c r="R467" s="293"/>
      <c r="S467" s="293"/>
      <c r="T467" s="286"/>
      <c r="U467" s="293"/>
      <c r="V467" s="286"/>
      <c r="W467" s="286"/>
      <c r="X467" s="286"/>
    </row>
    <row r="468" spans="2:24">
      <c r="B468" s="294"/>
      <c r="C468" s="295"/>
      <c r="M468" s="293"/>
      <c r="N468" s="293"/>
      <c r="R468" s="293"/>
      <c r="S468" s="293"/>
      <c r="T468" s="286"/>
      <c r="U468" s="293"/>
      <c r="V468" s="286"/>
      <c r="W468" s="286"/>
      <c r="X468" s="286"/>
    </row>
    <row r="469" spans="2:24">
      <c r="B469" s="294"/>
      <c r="C469" s="295"/>
      <c r="M469" s="293"/>
      <c r="N469" s="293"/>
      <c r="R469" s="293"/>
      <c r="S469" s="293"/>
      <c r="T469" s="286"/>
      <c r="U469" s="293"/>
      <c r="V469" s="286"/>
      <c r="W469" s="286"/>
      <c r="X469" s="286"/>
    </row>
    <row r="470" spans="2:24">
      <c r="B470" s="294"/>
      <c r="C470" s="295"/>
      <c r="M470" s="293"/>
      <c r="N470" s="293"/>
      <c r="R470" s="293"/>
      <c r="S470" s="293"/>
      <c r="T470" s="286"/>
      <c r="U470" s="293"/>
      <c r="V470" s="286"/>
      <c r="W470" s="286"/>
      <c r="X470" s="286"/>
    </row>
    <row r="471" spans="2:24">
      <c r="B471" s="294"/>
      <c r="C471" s="295"/>
      <c r="M471" s="293"/>
      <c r="N471" s="293"/>
      <c r="R471" s="293"/>
      <c r="S471" s="293"/>
      <c r="T471" s="286"/>
      <c r="U471" s="293"/>
      <c r="V471" s="286"/>
      <c r="W471" s="286"/>
      <c r="X471" s="286"/>
    </row>
    <row r="472" spans="2:24">
      <c r="B472" s="294"/>
      <c r="C472" s="295"/>
      <c r="M472" s="293"/>
      <c r="N472" s="293"/>
      <c r="R472" s="293"/>
      <c r="S472" s="293"/>
      <c r="T472" s="286"/>
      <c r="U472" s="293"/>
      <c r="V472" s="286"/>
      <c r="W472" s="286"/>
      <c r="X472" s="286"/>
    </row>
    <row r="473" spans="2:24">
      <c r="B473" s="294"/>
      <c r="C473" s="295"/>
      <c r="M473" s="293"/>
      <c r="N473" s="293"/>
      <c r="R473" s="293"/>
      <c r="S473" s="293"/>
      <c r="T473" s="286"/>
      <c r="U473" s="293"/>
      <c r="V473" s="286"/>
      <c r="W473" s="286"/>
      <c r="X473" s="286"/>
    </row>
    <row r="474" spans="2:24">
      <c r="B474" s="294"/>
      <c r="C474" s="295"/>
      <c r="M474" s="293"/>
      <c r="N474" s="293"/>
      <c r="R474" s="293"/>
      <c r="S474" s="293"/>
      <c r="T474" s="286"/>
      <c r="U474" s="293"/>
      <c r="V474" s="286"/>
      <c r="W474" s="286"/>
      <c r="X474" s="286"/>
    </row>
    <row r="475" spans="2:24">
      <c r="B475" s="294"/>
      <c r="C475" s="295"/>
      <c r="M475" s="293"/>
      <c r="N475" s="293"/>
      <c r="R475" s="293"/>
      <c r="S475" s="293"/>
      <c r="T475" s="286"/>
      <c r="U475" s="293"/>
      <c r="V475" s="286"/>
      <c r="W475" s="286"/>
      <c r="X475" s="286"/>
    </row>
    <row r="476" spans="2:24">
      <c r="B476" s="294"/>
      <c r="C476" s="295"/>
      <c r="M476" s="293"/>
      <c r="N476" s="293"/>
      <c r="R476" s="293"/>
      <c r="S476" s="293"/>
      <c r="T476" s="286"/>
      <c r="U476" s="293"/>
      <c r="V476" s="286"/>
      <c r="W476" s="286"/>
      <c r="X476" s="286"/>
    </row>
    <row r="477" spans="2:24">
      <c r="B477" s="294"/>
      <c r="C477" s="295"/>
      <c r="M477" s="293"/>
      <c r="N477" s="293"/>
      <c r="R477" s="293"/>
      <c r="S477" s="293"/>
      <c r="T477" s="286"/>
      <c r="U477" s="293"/>
      <c r="V477" s="286"/>
      <c r="W477" s="286"/>
      <c r="X477" s="286"/>
    </row>
    <row r="478" spans="2:24">
      <c r="B478" s="294"/>
      <c r="C478" s="295"/>
      <c r="M478" s="293"/>
      <c r="N478" s="293"/>
      <c r="R478" s="293"/>
      <c r="S478" s="293"/>
      <c r="T478" s="286"/>
      <c r="U478" s="293"/>
      <c r="V478" s="286"/>
      <c r="W478" s="286"/>
      <c r="X478" s="286"/>
    </row>
    <row r="479" spans="2:24">
      <c r="B479" s="294"/>
      <c r="C479" s="295"/>
      <c r="M479" s="293"/>
      <c r="N479" s="293"/>
      <c r="R479" s="293"/>
      <c r="S479" s="293"/>
      <c r="T479" s="286"/>
      <c r="U479" s="293"/>
      <c r="V479" s="286"/>
      <c r="W479" s="286"/>
      <c r="X479" s="286"/>
    </row>
    <row r="480" spans="2:24">
      <c r="B480" s="294"/>
      <c r="C480" s="295"/>
      <c r="M480" s="293"/>
      <c r="N480" s="293"/>
      <c r="R480" s="293"/>
      <c r="S480" s="293"/>
      <c r="T480" s="286"/>
      <c r="U480" s="293"/>
      <c r="V480" s="286"/>
      <c r="W480" s="286"/>
      <c r="X480" s="286"/>
    </row>
    <row r="481" spans="2:24">
      <c r="B481" s="294"/>
      <c r="C481" s="295"/>
      <c r="M481" s="293"/>
      <c r="N481" s="293"/>
      <c r="R481" s="293"/>
      <c r="S481" s="293"/>
      <c r="T481" s="286"/>
      <c r="U481" s="293"/>
      <c r="V481" s="286"/>
      <c r="W481" s="286"/>
      <c r="X481" s="286"/>
    </row>
    <row r="482" spans="2:24">
      <c r="B482" s="294"/>
      <c r="C482" s="295"/>
      <c r="M482" s="293"/>
      <c r="N482" s="293"/>
      <c r="R482" s="293"/>
      <c r="S482" s="293"/>
      <c r="T482" s="286"/>
      <c r="U482" s="293"/>
      <c r="V482" s="286"/>
      <c r="W482" s="286"/>
      <c r="X482" s="286"/>
    </row>
    <row r="483" spans="2:24">
      <c r="B483" s="294"/>
      <c r="C483" s="295"/>
      <c r="M483" s="293"/>
      <c r="N483" s="293"/>
      <c r="R483" s="293"/>
      <c r="S483" s="293"/>
      <c r="T483" s="286"/>
      <c r="U483" s="293"/>
      <c r="V483" s="286"/>
      <c r="W483" s="286"/>
      <c r="X483" s="286"/>
    </row>
    <row r="484" spans="2:24">
      <c r="B484" s="294"/>
      <c r="C484" s="295"/>
      <c r="M484" s="293"/>
      <c r="N484" s="293"/>
      <c r="R484" s="293"/>
      <c r="S484" s="293"/>
      <c r="T484" s="286"/>
      <c r="U484" s="293"/>
      <c r="V484" s="286"/>
      <c r="W484" s="286"/>
      <c r="X484" s="286"/>
    </row>
    <row r="485" spans="2:24">
      <c r="B485" s="294"/>
      <c r="C485" s="295"/>
      <c r="M485" s="293"/>
      <c r="N485" s="293"/>
      <c r="R485" s="293"/>
      <c r="S485" s="293"/>
      <c r="T485" s="286"/>
      <c r="U485" s="293"/>
      <c r="V485" s="286"/>
      <c r="W485" s="286"/>
      <c r="X485" s="286"/>
    </row>
    <row r="486" spans="2:24">
      <c r="B486" s="294"/>
      <c r="C486" s="295"/>
      <c r="M486" s="293"/>
      <c r="N486" s="293"/>
      <c r="R486" s="293"/>
      <c r="S486" s="293"/>
      <c r="T486" s="286"/>
      <c r="U486" s="293"/>
      <c r="V486" s="286"/>
      <c r="W486" s="286"/>
      <c r="X486" s="286"/>
    </row>
    <row r="487" spans="2:24">
      <c r="B487" s="294"/>
      <c r="C487" s="295"/>
      <c r="M487" s="293"/>
      <c r="N487" s="293"/>
      <c r="R487" s="293"/>
      <c r="S487" s="293"/>
      <c r="T487" s="286"/>
      <c r="U487" s="293"/>
      <c r="V487" s="286"/>
      <c r="W487" s="286"/>
      <c r="X487" s="286"/>
    </row>
    <row r="488" spans="2:24">
      <c r="B488" s="294"/>
      <c r="C488" s="295"/>
      <c r="M488" s="293"/>
      <c r="N488" s="293"/>
      <c r="R488" s="293"/>
      <c r="S488" s="293"/>
      <c r="T488" s="286"/>
      <c r="U488" s="293"/>
      <c r="V488" s="286"/>
      <c r="W488" s="286"/>
      <c r="X488" s="286"/>
    </row>
    <row r="489" spans="2:24">
      <c r="B489" s="294"/>
      <c r="C489" s="295"/>
      <c r="M489" s="293"/>
      <c r="N489" s="293"/>
      <c r="R489" s="293"/>
      <c r="S489" s="293"/>
      <c r="T489" s="286"/>
      <c r="U489" s="293"/>
      <c r="V489" s="286"/>
      <c r="W489" s="286"/>
      <c r="X489" s="286"/>
    </row>
    <row r="490" spans="2:24">
      <c r="B490" s="294"/>
      <c r="C490" s="295"/>
      <c r="M490" s="293"/>
      <c r="N490" s="293"/>
      <c r="R490" s="293"/>
      <c r="S490" s="293"/>
      <c r="T490" s="286"/>
      <c r="U490" s="293"/>
      <c r="V490" s="286"/>
      <c r="W490" s="286"/>
      <c r="X490" s="286"/>
    </row>
    <row r="491" spans="2:24">
      <c r="B491" s="294"/>
      <c r="C491" s="295"/>
      <c r="M491" s="293"/>
      <c r="N491" s="293"/>
      <c r="R491" s="293"/>
      <c r="S491" s="293"/>
      <c r="T491" s="286"/>
      <c r="U491" s="293"/>
      <c r="V491" s="286"/>
      <c r="W491" s="286"/>
      <c r="X491" s="286"/>
    </row>
    <row r="492" spans="2:24">
      <c r="B492" s="294"/>
      <c r="C492" s="295"/>
      <c r="M492" s="293"/>
      <c r="N492" s="293"/>
      <c r="R492" s="293"/>
      <c r="S492" s="293"/>
      <c r="T492" s="286"/>
      <c r="U492" s="293"/>
      <c r="V492" s="286"/>
      <c r="W492" s="286"/>
      <c r="X492" s="286"/>
    </row>
    <row r="493" spans="2:24">
      <c r="B493" s="294"/>
      <c r="C493" s="295"/>
      <c r="M493" s="293"/>
      <c r="N493" s="293"/>
      <c r="R493" s="293"/>
      <c r="S493" s="293"/>
      <c r="T493" s="286"/>
      <c r="U493" s="293"/>
      <c r="V493" s="286"/>
      <c r="W493" s="286"/>
      <c r="X493" s="286"/>
    </row>
    <row r="494" spans="2:24">
      <c r="B494" s="294"/>
      <c r="C494" s="295"/>
      <c r="M494" s="293"/>
      <c r="N494" s="293"/>
      <c r="R494" s="293"/>
      <c r="S494" s="293"/>
      <c r="T494" s="286"/>
      <c r="U494" s="293"/>
      <c r="V494" s="286"/>
      <c r="W494" s="286"/>
      <c r="X494" s="286"/>
    </row>
    <row r="495" spans="2:24">
      <c r="B495" s="294"/>
      <c r="C495" s="295"/>
      <c r="M495" s="293"/>
      <c r="N495" s="293"/>
      <c r="R495" s="293"/>
      <c r="S495" s="293"/>
      <c r="T495" s="286"/>
      <c r="U495" s="293"/>
      <c r="V495" s="286"/>
      <c r="W495" s="286"/>
      <c r="X495" s="286"/>
    </row>
    <row r="496" spans="2:24">
      <c r="B496" s="294"/>
      <c r="C496" s="295"/>
      <c r="M496" s="293"/>
      <c r="N496" s="293"/>
      <c r="R496" s="293"/>
      <c r="S496" s="293"/>
      <c r="T496" s="286"/>
      <c r="U496" s="293"/>
      <c r="V496" s="286"/>
      <c r="W496" s="286"/>
      <c r="X496" s="286"/>
    </row>
    <row r="497" spans="2:24">
      <c r="B497" s="294"/>
      <c r="C497" s="295"/>
      <c r="M497" s="293"/>
      <c r="N497" s="293"/>
      <c r="R497" s="293"/>
      <c r="S497" s="293"/>
      <c r="T497" s="286"/>
      <c r="U497" s="293"/>
      <c r="V497" s="286"/>
      <c r="W497" s="286"/>
      <c r="X497" s="286"/>
    </row>
    <row r="498" spans="2:24">
      <c r="B498" s="294"/>
      <c r="C498" s="295"/>
      <c r="M498" s="293"/>
      <c r="N498" s="293"/>
      <c r="R498" s="293"/>
      <c r="S498" s="293"/>
      <c r="T498" s="286"/>
      <c r="U498" s="293"/>
      <c r="V498" s="286"/>
      <c r="W498" s="286"/>
      <c r="X498" s="286"/>
    </row>
    <row r="499" spans="2:24">
      <c r="B499" s="294"/>
      <c r="C499" s="295"/>
      <c r="M499" s="293"/>
      <c r="N499" s="293"/>
      <c r="R499" s="293"/>
      <c r="S499" s="293"/>
      <c r="T499" s="286"/>
      <c r="U499" s="293"/>
      <c r="V499" s="286"/>
      <c r="W499" s="286"/>
      <c r="X499" s="286"/>
    </row>
    <row r="500" spans="2:24">
      <c r="B500" s="294"/>
      <c r="C500" s="295"/>
      <c r="M500" s="293"/>
      <c r="N500" s="293"/>
      <c r="R500" s="293"/>
      <c r="S500" s="293"/>
      <c r="T500" s="286"/>
      <c r="U500" s="293"/>
      <c r="V500" s="286"/>
      <c r="W500" s="286"/>
      <c r="X500" s="286"/>
    </row>
    <row r="501" spans="2:24">
      <c r="B501" s="294"/>
      <c r="C501" s="295"/>
      <c r="M501" s="293"/>
      <c r="N501" s="293"/>
      <c r="R501" s="293"/>
      <c r="S501" s="293"/>
      <c r="T501" s="286"/>
      <c r="U501" s="293"/>
      <c r="V501" s="286"/>
      <c r="W501" s="286"/>
      <c r="X501" s="286"/>
    </row>
    <row r="502" spans="2:24">
      <c r="B502" s="294"/>
      <c r="C502" s="295"/>
      <c r="M502" s="293"/>
      <c r="N502" s="293"/>
      <c r="R502" s="293"/>
      <c r="S502" s="293"/>
      <c r="T502" s="286"/>
      <c r="U502" s="293"/>
      <c r="V502" s="286"/>
      <c r="W502" s="286"/>
      <c r="X502" s="286"/>
    </row>
    <row r="503" spans="2:24">
      <c r="B503" s="294"/>
      <c r="C503" s="295"/>
      <c r="M503" s="293"/>
      <c r="N503" s="293"/>
      <c r="R503" s="293"/>
      <c r="S503" s="293"/>
      <c r="T503" s="286"/>
      <c r="U503" s="293"/>
      <c r="V503" s="286"/>
      <c r="W503" s="286"/>
      <c r="X503" s="286"/>
    </row>
    <row r="504" spans="2:24">
      <c r="B504" s="294"/>
      <c r="C504" s="295"/>
      <c r="M504" s="293"/>
      <c r="N504" s="293"/>
      <c r="R504" s="293"/>
      <c r="S504" s="293"/>
      <c r="T504" s="286"/>
      <c r="U504" s="293"/>
      <c r="V504" s="286"/>
      <c r="W504" s="286"/>
      <c r="X504" s="286"/>
    </row>
    <row r="505" spans="2:24">
      <c r="B505" s="294"/>
      <c r="C505" s="295"/>
      <c r="M505" s="293"/>
      <c r="N505" s="293"/>
      <c r="R505" s="293"/>
      <c r="S505" s="293"/>
      <c r="T505" s="286"/>
      <c r="U505" s="293"/>
      <c r="V505" s="286"/>
      <c r="W505" s="286"/>
      <c r="X505" s="286"/>
    </row>
    <row r="506" spans="2:24">
      <c r="B506" s="294"/>
      <c r="C506" s="295"/>
      <c r="M506" s="293"/>
      <c r="N506" s="293"/>
      <c r="R506" s="293"/>
      <c r="S506" s="293"/>
      <c r="T506" s="286"/>
      <c r="U506" s="293"/>
      <c r="V506" s="286"/>
      <c r="W506" s="286"/>
      <c r="X506" s="286"/>
    </row>
    <row r="507" spans="2:24">
      <c r="B507" s="294"/>
      <c r="C507" s="295"/>
      <c r="M507" s="293"/>
      <c r="N507" s="293"/>
      <c r="R507" s="293"/>
      <c r="S507" s="293"/>
      <c r="T507" s="286"/>
      <c r="U507" s="293"/>
      <c r="V507" s="286"/>
      <c r="W507" s="286"/>
      <c r="X507" s="286"/>
    </row>
    <row r="508" spans="2:24">
      <c r="B508" s="294"/>
      <c r="C508" s="295"/>
      <c r="M508" s="293"/>
      <c r="N508" s="293"/>
      <c r="R508" s="293"/>
      <c r="S508" s="293"/>
      <c r="T508" s="286"/>
      <c r="U508" s="293"/>
      <c r="V508" s="286"/>
      <c r="W508" s="286"/>
      <c r="X508" s="286"/>
    </row>
    <row r="509" spans="2:24">
      <c r="B509" s="294"/>
      <c r="C509" s="295"/>
      <c r="M509" s="293"/>
      <c r="N509" s="293"/>
      <c r="R509" s="293"/>
      <c r="S509" s="293"/>
      <c r="T509" s="286"/>
      <c r="U509" s="293"/>
      <c r="V509" s="286"/>
      <c r="W509" s="286"/>
      <c r="X509" s="286"/>
    </row>
    <row r="510" spans="2:24">
      <c r="B510" s="294"/>
      <c r="C510" s="295"/>
      <c r="M510" s="293"/>
      <c r="N510" s="293"/>
      <c r="R510" s="293"/>
      <c r="S510" s="293"/>
      <c r="T510" s="286"/>
      <c r="U510" s="293"/>
      <c r="V510" s="286"/>
      <c r="W510" s="286"/>
      <c r="X510" s="286"/>
    </row>
    <row r="511" spans="2:24">
      <c r="B511" s="294"/>
      <c r="C511" s="295"/>
      <c r="M511" s="293"/>
      <c r="N511" s="293"/>
      <c r="R511" s="293"/>
      <c r="S511" s="293"/>
      <c r="T511" s="286"/>
      <c r="U511" s="293"/>
      <c r="V511" s="286"/>
      <c r="W511" s="286"/>
      <c r="X511" s="286"/>
    </row>
    <row r="512" spans="2:24">
      <c r="B512" s="294"/>
      <c r="C512" s="295"/>
      <c r="M512" s="293"/>
      <c r="N512" s="293"/>
      <c r="R512" s="293"/>
      <c r="S512" s="293"/>
      <c r="T512" s="286"/>
      <c r="U512" s="293"/>
      <c r="V512" s="286"/>
      <c r="W512" s="286"/>
      <c r="X512" s="286"/>
    </row>
    <row r="513" spans="2:24">
      <c r="B513" s="294"/>
      <c r="C513" s="295"/>
      <c r="M513" s="293"/>
      <c r="N513" s="293"/>
      <c r="R513" s="293"/>
      <c r="S513" s="293"/>
      <c r="T513" s="286"/>
      <c r="U513" s="293"/>
      <c r="V513" s="286"/>
      <c r="W513" s="286"/>
      <c r="X513" s="286"/>
    </row>
    <row r="514" spans="2:24">
      <c r="B514" s="294"/>
      <c r="C514" s="295"/>
      <c r="M514" s="293"/>
      <c r="N514" s="293"/>
      <c r="R514" s="293"/>
      <c r="S514" s="293"/>
      <c r="T514" s="286"/>
      <c r="U514" s="293"/>
      <c r="V514" s="286"/>
      <c r="W514" s="286"/>
      <c r="X514" s="286"/>
    </row>
    <row r="515" spans="2:24">
      <c r="B515" s="294"/>
      <c r="T515" s="286"/>
    </row>
    <row r="516" spans="2:24">
      <c r="B516" s="294"/>
      <c r="T516" s="286"/>
    </row>
    <row r="517" spans="2:24">
      <c r="B517" s="294"/>
      <c r="T517" s="286"/>
    </row>
    <row r="518" spans="2:24">
      <c r="B518" s="294"/>
      <c r="T518" s="286"/>
    </row>
    <row r="519" spans="2:24">
      <c r="B519" s="294"/>
      <c r="T519" s="286"/>
    </row>
    <row r="520" spans="2:24">
      <c r="B520" s="294"/>
      <c r="T520" s="286"/>
    </row>
    <row r="521" spans="2:24">
      <c r="B521" s="294"/>
      <c r="T521" s="286"/>
    </row>
    <row r="522" spans="2:24">
      <c r="B522" s="294"/>
      <c r="T522" s="286"/>
    </row>
    <row r="523" spans="2:24">
      <c r="B523" s="294"/>
      <c r="T523" s="286"/>
    </row>
    <row r="524" spans="2:24">
      <c r="B524" s="294"/>
      <c r="T524" s="286"/>
    </row>
    <row r="525" spans="2:24">
      <c r="B525" s="294"/>
      <c r="T525" s="286"/>
    </row>
    <row r="526" spans="2:24">
      <c r="B526" s="294"/>
      <c r="T526" s="286"/>
    </row>
    <row r="527" spans="2:24">
      <c r="B527" s="294"/>
      <c r="T527" s="286"/>
    </row>
    <row r="528" spans="2:24">
      <c r="B528" s="294"/>
      <c r="T528" s="286"/>
    </row>
  </sheetData>
  <mergeCells count="21">
    <mergeCell ref="F1:J1"/>
    <mergeCell ref="K1:S1"/>
    <mergeCell ref="T1:V1"/>
    <mergeCell ref="A2:A4"/>
    <mergeCell ref="B2:B4"/>
    <mergeCell ref="C2:C4"/>
    <mergeCell ref="D2:D4"/>
    <mergeCell ref="E2:E4"/>
    <mergeCell ref="F2:F4"/>
    <mergeCell ref="G2:G4"/>
    <mergeCell ref="H2:H4"/>
    <mergeCell ref="I2:I4"/>
    <mergeCell ref="J2:J4"/>
    <mergeCell ref="L2:Q2"/>
    <mergeCell ref="R2:R4"/>
    <mergeCell ref="T2:T4"/>
    <mergeCell ref="U2:U4"/>
    <mergeCell ref="V2:V4"/>
    <mergeCell ref="M3:N3"/>
    <mergeCell ref="O3:P3"/>
    <mergeCell ref="S2:S4"/>
  </mergeCells>
  <conditionalFormatting sqref="Y270">
    <cfRule type="cellIs" dxfId="1" priority="1" operator="equal">
      <formula>FALSE</formula>
    </cfRule>
  </conditionalFormatting>
  <pageMargins left="0.7" right="0.7" top="0.75" bottom="0.75" header="0.3" footer="0.3"/>
  <legacyDrawing r:id="rId1"/>
</worksheet>
</file>

<file path=xl/worksheets/sheet15.xml><?xml version="1.0" encoding="utf-8"?>
<worksheet xmlns="http://schemas.openxmlformats.org/spreadsheetml/2006/main" xmlns:r="http://schemas.openxmlformats.org/officeDocument/2006/relationships">
  <sheetPr codeName="Sheet3"/>
  <dimension ref="A1:DO397"/>
  <sheetViews>
    <sheetView workbookViewId="0">
      <pane xSplit="1" ySplit="6" topLeftCell="B120" activePane="bottomRight" state="frozen"/>
      <selection pane="topRight" activeCell="B1" sqref="B1"/>
      <selection pane="bottomLeft" activeCell="A7" sqref="A7"/>
      <selection pane="bottomRight" activeCell="A270" sqref="A270"/>
    </sheetView>
  </sheetViews>
  <sheetFormatPr defaultRowHeight="12" customHeight="1"/>
  <cols>
    <col min="1" max="1" width="28.140625" style="560" customWidth="1"/>
    <col min="2" max="16384" width="9.140625" style="560"/>
  </cols>
  <sheetData>
    <row r="1" spans="1:119">
      <c r="A1" s="560" t="s">
        <v>1439</v>
      </c>
    </row>
    <row r="3" spans="1:119">
      <c r="E3" s="560" t="s">
        <v>1440</v>
      </c>
      <c r="F3" s="560" t="s">
        <v>1441</v>
      </c>
      <c r="G3" s="560" t="s">
        <v>1442</v>
      </c>
      <c r="H3" s="560" t="s">
        <v>1443</v>
      </c>
      <c r="I3" s="560" t="s">
        <v>1444</v>
      </c>
      <c r="J3" s="560" t="s">
        <v>1445</v>
      </c>
      <c r="K3" s="560" t="s">
        <v>1446</v>
      </c>
      <c r="L3" s="560" t="s">
        <v>1447</v>
      </c>
      <c r="M3" s="560" t="s">
        <v>1448</v>
      </c>
      <c r="N3" s="560" t="s">
        <v>1449</v>
      </c>
      <c r="O3" s="560" t="s">
        <v>1450</v>
      </c>
      <c r="P3" s="560" t="s">
        <v>1451</v>
      </c>
      <c r="Q3" s="560" t="s">
        <v>1452</v>
      </c>
      <c r="R3" s="560" t="s">
        <v>1453</v>
      </c>
      <c r="S3" s="560" t="s">
        <v>1454</v>
      </c>
      <c r="T3" s="560" t="s">
        <v>1455</v>
      </c>
      <c r="U3" s="560" t="s">
        <v>1456</v>
      </c>
      <c r="V3" s="560" t="s">
        <v>1457</v>
      </c>
      <c r="W3" s="560" t="s">
        <v>1458</v>
      </c>
      <c r="X3" s="560" t="s">
        <v>1459</v>
      </c>
      <c r="Y3" s="560" t="s">
        <v>1460</v>
      </c>
      <c r="Z3" s="560" t="s">
        <v>1461</v>
      </c>
      <c r="AA3" s="560" t="s">
        <v>1462</v>
      </c>
      <c r="AB3" s="560" t="s">
        <v>1463</v>
      </c>
      <c r="AC3" s="560" t="s">
        <v>1464</v>
      </c>
      <c r="AD3" s="560" t="s">
        <v>1465</v>
      </c>
      <c r="AE3" s="560" t="s">
        <v>1466</v>
      </c>
      <c r="AF3" s="560" t="s">
        <v>1467</v>
      </c>
      <c r="AG3" s="560" t="s">
        <v>1468</v>
      </c>
      <c r="AH3" s="560" t="s">
        <v>1469</v>
      </c>
      <c r="AI3" s="560" t="s">
        <v>1470</v>
      </c>
      <c r="AJ3" s="560" t="s">
        <v>1471</v>
      </c>
      <c r="AK3" s="560" t="s">
        <v>1061</v>
      </c>
      <c r="AL3" s="560" t="s">
        <v>1472</v>
      </c>
      <c r="AM3" s="560" t="s">
        <v>1473</v>
      </c>
      <c r="AN3" s="560" t="s">
        <v>1474</v>
      </c>
      <c r="AO3" s="560" t="s">
        <v>1475</v>
      </c>
      <c r="AP3" s="560" t="s">
        <v>1476</v>
      </c>
      <c r="AQ3" s="560" t="s">
        <v>1477</v>
      </c>
      <c r="AR3" s="560" t="s">
        <v>1478</v>
      </c>
      <c r="AS3" s="560" t="s">
        <v>1479</v>
      </c>
      <c r="AT3" s="560" t="s">
        <v>1480</v>
      </c>
      <c r="AU3" s="560" t="s">
        <v>1481</v>
      </c>
      <c r="AV3" s="560" t="s">
        <v>1482</v>
      </c>
      <c r="AW3" s="560" t="s">
        <v>1483</v>
      </c>
      <c r="AX3" s="560" t="s">
        <v>1484</v>
      </c>
      <c r="AY3" s="560" t="s">
        <v>1485</v>
      </c>
      <c r="AZ3" s="560" t="s">
        <v>1486</v>
      </c>
      <c r="BA3" s="560" t="s">
        <v>1487</v>
      </c>
      <c r="BB3" s="560" t="s">
        <v>1488</v>
      </c>
      <c r="BC3" s="560" t="s">
        <v>1489</v>
      </c>
      <c r="BD3" s="560" t="s">
        <v>1490</v>
      </c>
      <c r="BE3" s="561" t="s">
        <v>1491</v>
      </c>
      <c r="BF3" s="560" t="s">
        <v>1492</v>
      </c>
      <c r="BG3" s="560" t="s">
        <v>1493</v>
      </c>
      <c r="BH3" s="560" t="s">
        <v>1494</v>
      </c>
      <c r="BI3" s="560" t="s">
        <v>1495</v>
      </c>
      <c r="BJ3" s="560" t="s">
        <v>1496</v>
      </c>
      <c r="BK3" s="560" t="s">
        <v>1497</v>
      </c>
      <c r="BL3" s="560" t="s">
        <v>1498</v>
      </c>
      <c r="BM3" s="560" t="s">
        <v>1499</v>
      </c>
      <c r="BN3" s="560" t="s">
        <v>1500</v>
      </c>
      <c r="BO3" s="560" t="s">
        <v>1501</v>
      </c>
      <c r="BP3" s="560" t="s">
        <v>1502</v>
      </c>
      <c r="BQ3" s="560" t="s">
        <v>1503</v>
      </c>
      <c r="BR3" s="560" t="s">
        <v>1504</v>
      </c>
      <c r="BS3" s="560" t="s">
        <v>1505</v>
      </c>
      <c r="BT3" s="560" t="s">
        <v>1506</v>
      </c>
      <c r="BU3" s="560" t="s">
        <v>1507</v>
      </c>
      <c r="BV3" s="560" t="s">
        <v>1508</v>
      </c>
      <c r="BW3" s="560" t="s">
        <v>1509</v>
      </c>
      <c r="BX3" s="560" t="s">
        <v>1510</v>
      </c>
      <c r="BY3" s="560" t="s">
        <v>1511</v>
      </c>
      <c r="BZ3" s="560" t="s">
        <v>1512</v>
      </c>
      <c r="CA3" s="560" t="s">
        <v>1513</v>
      </c>
      <c r="CB3" s="560" t="s">
        <v>1514</v>
      </c>
      <c r="CC3" s="560" t="s">
        <v>1515</v>
      </c>
      <c r="CD3" s="560" t="s">
        <v>1516</v>
      </c>
      <c r="CE3" s="560" t="s">
        <v>1517</v>
      </c>
      <c r="CF3" s="560" t="s">
        <v>1518</v>
      </c>
      <c r="CG3" s="560" t="s">
        <v>1519</v>
      </c>
      <c r="CH3" s="560" t="s">
        <v>1520</v>
      </c>
      <c r="CI3" s="560" t="s">
        <v>1521</v>
      </c>
      <c r="CJ3" s="560" t="s">
        <v>1522</v>
      </c>
      <c r="CK3" s="560" t="s">
        <v>1523</v>
      </c>
      <c r="CL3" s="560" t="s">
        <v>1524</v>
      </c>
      <c r="CM3" s="560" t="s">
        <v>1525</v>
      </c>
      <c r="CN3" s="560" t="s">
        <v>1526</v>
      </c>
      <c r="CO3" s="560" t="s">
        <v>1527</v>
      </c>
      <c r="CP3" s="560" t="s">
        <v>1528</v>
      </c>
      <c r="CQ3" s="560" t="s">
        <v>1529</v>
      </c>
      <c r="CR3" s="560" t="s">
        <v>1530</v>
      </c>
      <c r="CS3" s="560" t="s">
        <v>1531</v>
      </c>
      <c r="CT3" s="560" t="s">
        <v>1532</v>
      </c>
      <c r="CU3" s="560" t="s">
        <v>1533</v>
      </c>
      <c r="CV3" s="560" t="s">
        <v>1534</v>
      </c>
      <c r="CW3" s="560" t="s">
        <v>1535</v>
      </c>
      <c r="CX3" s="560" t="s">
        <v>1536</v>
      </c>
      <c r="CY3" s="560" t="s">
        <v>1537</v>
      </c>
      <c r="CZ3" s="560" t="s">
        <v>1538</v>
      </c>
      <c r="DA3" s="560" t="s">
        <v>1539</v>
      </c>
      <c r="DB3" s="560" t="s">
        <v>1540</v>
      </c>
      <c r="DC3" s="560" t="s">
        <v>1541</v>
      </c>
      <c r="DD3" s="560" t="s">
        <v>1542</v>
      </c>
      <c r="DE3" s="560" t="s">
        <v>1543</v>
      </c>
      <c r="DF3" s="560" t="s">
        <v>1544</v>
      </c>
      <c r="DG3" s="560" t="s">
        <v>1545</v>
      </c>
      <c r="DH3" s="560" t="s">
        <v>1546</v>
      </c>
      <c r="DI3" s="560" t="s">
        <v>1547</v>
      </c>
      <c r="DJ3" s="560" t="s">
        <v>1548</v>
      </c>
      <c r="DK3" s="560" t="s">
        <v>1549</v>
      </c>
      <c r="DL3" s="560" t="s">
        <v>1550</v>
      </c>
      <c r="DM3" s="560" t="s">
        <v>1551</v>
      </c>
      <c r="DN3" s="560" t="s">
        <v>1552</v>
      </c>
      <c r="DO3" s="560" t="s">
        <v>1553</v>
      </c>
    </row>
    <row r="4" spans="1:119">
      <c r="E4" s="560" t="s">
        <v>1554</v>
      </c>
      <c r="AQ4" s="560" t="s">
        <v>1555</v>
      </c>
      <c r="AV4" s="560" t="s">
        <v>1556</v>
      </c>
      <c r="BE4" s="560" t="s">
        <v>1557</v>
      </c>
      <c r="BK4" s="560" t="s">
        <v>1558</v>
      </c>
      <c r="BT4" s="560" t="s">
        <v>1559</v>
      </c>
      <c r="CL4" s="560" t="s">
        <v>1560</v>
      </c>
      <c r="CZ4" s="560" t="s">
        <v>1561</v>
      </c>
      <c r="DJ4" s="560" t="s">
        <v>1562</v>
      </c>
    </row>
    <row r="5" spans="1:119">
      <c r="A5" s="560" t="s">
        <v>1563</v>
      </c>
      <c r="B5" s="560" t="s">
        <v>1564</v>
      </c>
      <c r="C5" s="560" t="s">
        <v>1060</v>
      </c>
      <c r="D5" s="560" t="s">
        <v>1565</v>
      </c>
      <c r="E5" s="560" t="s">
        <v>1020</v>
      </c>
      <c r="F5" s="560" t="s">
        <v>1566</v>
      </c>
      <c r="G5" s="560" t="s">
        <v>1567</v>
      </c>
      <c r="H5" s="560" t="s">
        <v>1568</v>
      </c>
      <c r="I5" s="560" t="s">
        <v>1569</v>
      </c>
      <c r="J5" s="560" t="s">
        <v>1570</v>
      </c>
      <c r="K5" s="560" t="s">
        <v>1571</v>
      </c>
      <c r="L5" s="560" t="s">
        <v>1572</v>
      </c>
      <c r="M5" s="560" t="s">
        <v>1067</v>
      </c>
      <c r="N5" s="560" t="s">
        <v>1068</v>
      </c>
      <c r="O5" s="560" t="s">
        <v>1573</v>
      </c>
      <c r="P5" s="560" t="s">
        <v>1574</v>
      </c>
      <c r="Q5" s="560" t="s">
        <v>1575</v>
      </c>
      <c r="R5" s="560" t="s">
        <v>1576</v>
      </c>
      <c r="S5" s="560" t="s">
        <v>1577</v>
      </c>
      <c r="T5" s="560" t="s">
        <v>1578</v>
      </c>
      <c r="U5" s="560" t="s">
        <v>1057</v>
      </c>
      <c r="V5" s="560" t="s">
        <v>1579</v>
      </c>
      <c r="W5" s="560" t="s">
        <v>1580</v>
      </c>
      <c r="X5" s="560" t="s">
        <v>1581</v>
      </c>
      <c r="Y5" s="560" t="s">
        <v>1582</v>
      </c>
      <c r="Z5" s="560" t="s">
        <v>1583</v>
      </c>
      <c r="AA5" s="560" t="s">
        <v>1584</v>
      </c>
      <c r="AB5" s="560" t="s">
        <v>1585</v>
      </c>
      <c r="AC5" s="560" t="s">
        <v>1586</v>
      </c>
      <c r="AD5" s="560" t="s">
        <v>1587</v>
      </c>
      <c r="AE5" s="560" t="s">
        <v>1588</v>
      </c>
      <c r="AF5" s="560" t="s">
        <v>1589</v>
      </c>
      <c r="AG5" s="560" t="s">
        <v>1590</v>
      </c>
      <c r="AH5" s="560" t="s">
        <v>1591</v>
      </c>
      <c r="AI5" s="560" t="s">
        <v>1592</v>
      </c>
      <c r="AJ5" s="560" t="s">
        <v>1593</v>
      </c>
      <c r="AK5" s="560" t="s">
        <v>1062</v>
      </c>
      <c r="AL5" s="560" t="s">
        <v>1594</v>
      </c>
      <c r="AM5" s="560" t="s">
        <v>1595</v>
      </c>
      <c r="AN5" s="560" t="s">
        <v>1596</v>
      </c>
      <c r="AO5" s="560" t="s">
        <v>1597</v>
      </c>
      <c r="AP5" s="560" t="s">
        <v>1598</v>
      </c>
      <c r="AQ5" s="560" t="s">
        <v>1599</v>
      </c>
      <c r="AR5" s="560" t="s">
        <v>1600</v>
      </c>
      <c r="AS5" s="560" t="s">
        <v>1601</v>
      </c>
      <c r="AT5" s="560" t="s">
        <v>1602</v>
      </c>
      <c r="AU5" s="560" t="s">
        <v>1603</v>
      </c>
      <c r="AV5" s="560" t="s">
        <v>1604</v>
      </c>
      <c r="AW5" s="560" t="s">
        <v>1605</v>
      </c>
      <c r="AX5" s="560" t="s">
        <v>1606</v>
      </c>
      <c r="AY5" s="560" t="s">
        <v>1607</v>
      </c>
      <c r="AZ5" s="560" t="s">
        <v>1608</v>
      </c>
      <c r="BA5" s="560" t="s">
        <v>1609</v>
      </c>
      <c r="BB5" s="560" t="s">
        <v>1610</v>
      </c>
      <c r="BC5" s="560" t="s">
        <v>1611</v>
      </c>
      <c r="BD5" s="560" t="s">
        <v>1612</v>
      </c>
      <c r="BE5" s="560" t="s">
        <v>1613</v>
      </c>
      <c r="BF5" s="560" t="s">
        <v>1168</v>
      </c>
      <c r="BG5" s="560" t="s">
        <v>1614</v>
      </c>
      <c r="BH5" s="560" t="s">
        <v>1615</v>
      </c>
      <c r="BI5" s="560" t="s">
        <v>1616</v>
      </c>
      <c r="BJ5" s="560" t="s">
        <v>1617</v>
      </c>
      <c r="BK5" s="560" t="s">
        <v>1618</v>
      </c>
      <c r="BL5" s="560" t="s">
        <v>1619</v>
      </c>
      <c r="BM5" s="560" t="s">
        <v>1620</v>
      </c>
      <c r="BN5" s="560" t="s">
        <v>1621</v>
      </c>
      <c r="BO5" s="560" t="s">
        <v>1622</v>
      </c>
      <c r="BP5" s="560" t="s">
        <v>1623</v>
      </c>
      <c r="BQ5" s="560" t="s">
        <v>1624</v>
      </c>
      <c r="BR5" s="560" t="s">
        <v>1625</v>
      </c>
      <c r="BS5" s="560" t="s">
        <v>1626</v>
      </c>
      <c r="BT5" s="560" t="s">
        <v>1627</v>
      </c>
      <c r="BU5" s="560" t="s">
        <v>1628</v>
      </c>
      <c r="BV5" s="560" t="s">
        <v>1629</v>
      </c>
      <c r="BW5" s="560" t="s">
        <v>1630</v>
      </c>
      <c r="BX5" s="560" t="s">
        <v>1631</v>
      </c>
      <c r="BY5" s="560" t="s">
        <v>1632</v>
      </c>
      <c r="BZ5" s="560" t="s">
        <v>1633</v>
      </c>
      <c r="CA5" s="560" t="s">
        <v>1634</v>
      </c>
      <c r="CB5" s="560" t="s">
        <v>1635</v>
      </c>
      <c r="CC5" s="560" t="s">
        <v>1636</v>
      </c>
      <c r="CD5" s="560" t="s">
        <v>1637</v>
      </c>
      <c r="CE5" s="560" t="s">
        <v>1638</v>
      </c>
      <c r="CF5" s="560" t="s">
        <v>1639</v>
      </c>
      <c r="CG5" s="560" t="s">
        <v>1640</v>
      </c>
      <c r="CH5" s="560" t="s">
        <v>1641</v>
      </c>
      <c r="CI5" s="560" t="s">
        <v>1642</v>
      </c>
      <c r="CJ5" s="560" t="s">
        <v>1643</v>
      </c>
      <c r="CK5" s="560" t="s">
        <v>1644</v>
      </c>
      <c r="CL5" s="560" t="s">
        <v>1645</v>
      </c>
      <c r="CM5" s="560" t="s">
        <v>1646</v>
      </c>
      <c r="CN5" s="560" t="s">
        <v>1647</v>
      </c>
      <c r="CO5" s="560" t="s">
        <v>1648</v>
      </c>
      <c r="CP5" s="560" t="s">
        <v>1649</v>
      </c>
      <c r="CQ5" s="560" t="s">
        <v>1650</v>
      </c>
      <c r="CR5" s="560" t="s">
        <v>1651</v>
      </c>
      <c r="CS5" s="560" t="s">
        <v>1652</v>
      </c>
      <c r="CT5" s="560" t="s">
        <v>1653</v>
      </c>
      <c r="CU5" s="560" t="s">
        <v>1654</v>
      </c>
      <c r="CV5" s="560" t="s">
        <v>1655</v>
      </c>
      <c r="CW5" s="560" t="s">
        <v>1656</v>
      </c>
      <c r="CX5" s="560" t="s">
        <v>1657</v>
      </c>
      <c r="CY5" s="560" t="s">
        <v>1658</v>
      </c>
      <c r="CZ5" s="560" t="s">
        <v>1659</v>
      </c>
      <c r="DA5" s="560" t="s">
        <v>1660</v>
      </c>
      <c r="DB5" s="560" t="s">
        <v>1661</v>
      </c>
      <c r="DC5" s="560" t="s">
        <v>1662</v>
      </c>
      <c r="DD5" s="560" t="s">
        <v>1663</v>
      </c>
      <c r="DE5" s="560" t="s">
        <v>1664</v>
      </c>
      <c r="DF5" s="560" t="s">
        <v>1665</v>
      </c>
      <c r="DG5" s="560" t="s">
        <v>1666</v>
      </c>
      <c r="DH5" s="560" t="s">
        <v>1667</v>
      </c>
      <c r="DI5" s="560" t="s">
        <v>1668</v>
      </c>
      <c r="DJ5" s="560" t="s">
        <v>1548</v>
      </c>
      <c r="DK5" s="560" t="s">
        <v>1669</v>
      </c>
      <c r="DL5" s="560" t="s">
        <v>1670</v>
      </c>
      <c r="DM5" s="560" t="s">
        <v>1671</v>
      </c>
      <c r="DN5" s="560" t="s">
        <v>1672</v>
      </c>
      <c r="DO5" s="560" t="s">
        <v>1673</v>
      </c>
    </row>
    <row r="6" spans="1:119">
      <c r="E6" s="560" t="s">
        <v>1674</v>
      </c>
      <c r="F6" s="560" t="s">
        <v>1675</v>
      </c>
      <c r="I6" s="560" t="s">
        <v>1676</v>
      </c>
      <c r="J6" s="560" t="s">
        <v>1677</v>
      </c>
      <c r="K6" s="560" t="s">
        <v>1677</v>
      </c>
      <c r="L6" s="560" t="s">
        <v>1677</v>
      </c>
      <c r="M6" s="560" t="s">
        <v>1058</v>
      </c>
      <c r="N6" s="560" t="s">
        <v>1058</v>
      </c>
      <c r="O6" s="560" t="s">
        <v>1058</v>
      </c>
      <c r="P6" s="560" t="s">
        <v>1058</v>
      </c>
      <c r="Q6" s="560" t="s">
        <v>1058</v>
      </c>
      <c r="R6" s="560" t="s">
        <v>1678</v>
      </c>
      <c r="S6" s="560" t="s">
        <v>1058</v>
      </c>
      <c r="T6" s="560" t="s">
        <v>1058</v>
      </c>
      <c r="U6" s="560" t="s">
        <v>1058</v>
      </c>
      <c r="V6" s="560" t="s">
        <v>1058</v>
      </c>
      <c r="W6" s="560" t="s">
        <v>1679</v>
      </c>
      <c r="X6" s="560" t="s">
        <v>1678</v>
      </c>
      <c r="Y6" s="560" t="s">
        <v>1058</v>
      </c>
      <c r="Z6" s="560" t="s">
        <v>1678</v>
      </c>
      <c r="AA6" s="560" t="s">
        <v>1680</v>
      </c>
      <c r="AB6" s="560" t="s">
        <v>1680</v>
      </c>
      <c r="AC6" s="560" t="s">
        <v>1680</v>
      </c>
      <c r="AD6" s="560" t="s">
        <v>1680</v>
      </c>
      <c r="AE6" s="560" t="s">
        <v>1680</v>
      </c>
      <c r="AF6" s="560" t="s">
        <v>1680</v>
      </c>
      <c r="AG6" s="560" t="s">
        <v>1680</v>
      </c>
      <c r="AH6" s="560" t="s">
        <v>1680</v>
      </c>
      <c r="AI6" s="560" t="s">
        <v>1678</v>
      </c>
      <c r="AJ6" s="560" t="s">
        <v>1058</v>
      </c>
      <c r="AK6" s="560" t="s">
        <v>1058</v>
      </c>
      <c r="AL6" s="560" t="s">
        <v>1058</v>
      </c>
      <c r="AM6" s="560" t="s">
        <v>1058</v>
      </c>
      <c r="AN6" s="560" t="s">
        <v>1058</v>
      </c>
      <c r="AO6" s="560" t="s">
        <v>1058</v>
      </c>
      <c r="AP6" s="560" t="s">
        <v>1675</v>
      </c>
      <c r="AQ6" s="560" t="s">
        <v>1681</v>
      </c>
      <c r="AR6" s="560" t="s">
        <v>1682</v>
      </c>
      <c r="AS6" s="560" t="s">
        <v>1683</v>
      </c>
      <c r="AT6" s="560" t="s">
        <v>1684</v>
      </c>
      <c r="AU6" s="560" t="s">
        <v>1685</v>
      </c>
      <c r="AV6" s="560" t="s">
        <v>1675</v>
      </c>
      <c r="AW6" s="560" t="s">
        <v>1675</v>
      </c>
      <c r="AX6" s="560" t="s">
        <v>1675</v>
      </c>
      <c r="AY6" s="560" t="s">
        <v>1675</v>
      </c>
      <c r="AZ6" s="560" t="s">
        <v>1686</v>
      </c>
      <c r="BA6" s="560" t="s">
        <v>1687</v>
      </c>
      <c r="BB6" s="560" t="s">
        <v>1686</v>
      </c>
      <c r="BC6" s="560" t="s">
        <v>1688</v>
      </c>
      <c r="BD6" s="560" t="s">
        <v>1686</v>
      </c>
      <c r="BE6" s="560" t="s">
        <v>1689</v>
      </c>
      <c r="BF6" s="560" t="s">
        <v>1690</v>
      </c>
      <c r="BG6" s="560" t="s">
        <v>1691</v>
      </c>
      <c r="BH6" s="560" t="s">
        <v>1692</v>
      </c>
      <c r="BI6" s="560" t="s">
        <v>1693</v>
      </c>
      <c r="BJ6" s="560" t="s">
        <v>1675</v>
      </c>
      <c r="BK6" s="560" t="s">
        <v>1683</v>
      </c>
      <c r="BL6" s="560" t="s">
        <v>1694</v>
      </c>
      <c r="BM6" s="560" t="s">
        <v>1695</v>
      </c>
      <c r="BN6" s="560" t="s">
        <v>1696</v>
      </c>
      <c r="BO6" s="560" t="s">
        <v>1697</v>
      </c>
      <c r="BP6" s="560" t="s">
        <v>1694</v>
      </c>
      <c r="BQ6" s="560" t="s">
        <v>1695</v>
      </c>
      <c r="BR6" s="560" t="s">
        <v>1696</v>
      </c>
      <c r="BS6" s="560" t="s">
        <v>1697</v>
      </c>
      <c r="BT6" s="560" t="s">
        <v>1696</v>
      </c>
      <c r="BU6" s="560" t="s">
        <v>1698</v>
      </c>
      <c r="BV6" s="560" t="s">
        <v>1696</v>
      </c>
      <c r="BW6" s="560" t="s">
        <v>1697</v>
      </c>
      <c r="BX6" s="560" t="s">
        <v>1696</v>
      </c>
      <c r="BY6" s="560" t="s">
        <v>1697</v>
      </c>
      <c r="BZ6" s="560" t="s">
        <v>1696</v>
      </c>
      <c r="CA6" s="560" t="s">
        <v>1697</v>
      </c>
      <c r="CB6" s="560" t="s">
        <v>1695</v>
      </c>
      <c r="CC6" s="560" t="s">
        <v>1696</v>
      </c>
      <c r="CD6" s="560" t="s">
        <v>1696</v>
      </c>
      <c r="CE6" s="560" t="s">
        <v>1696</v>
      </c>
      <c r="CF6" s="560" t="s">
        <v>1696</v>
      </c>
      <c r="CG6" s="560" t="s">
        <v>1699</v>
      </c>
      <c r="CH6" s="560" t="s">
        <v>1695</v>
      </c>
      <c r="CI6" s="560" t="s">
        <v>1695</v>
      </c>
      <c r="CJ6" s="560" t="s">
        <v>1696</v>
      </c>
      <c r="CK6" s="560" t="s">
        <v>1697</v>
      </c>
      <c r="CL6" s="560" t="s">
        <v>1700</v>
      </c>
      <c r="CM6" s="560" t="s">
        <v>1696</v>
      </c>
      <c r="CN6" s="560" t="s">
        <v>1701</v>
      </c>
      <c r="CO6" s="560" t="s">
        <v>1697</v>
      </c>
      <c r="CP6" s="560" t="s">
        <v>1697</v>
      </c>
      <c r="CQ6" s="560" t="s">
        <v>1697</v>
      </c>
      <c r="CR6" s="560" t="s">
        <v>1702</v>
      </c>
      <c r="CS6" s="560" t="s">
        <v>1701</v>
      </c>
      <c r="CT6" s="560" t="s">
        <v>1703</v>
      </c>
      <c r="CU6" s="560" t="s">
        <v>1704</v>
      </c>
      <c r="CV6" s="560" t="s">
        <v>1701</v>
      </c>
      <c r="CW6" s="560" t="s">
        <v>1697</v>
      </c>
      <c r="CX6" s="560" t="s">
        <v>1701</v>
      </c>
      <c r="CY6" s="560" t="s">
        <v>1697</v>
      </c>
      <c r="CZ6" s="560" t="s">
        <v>1705</v>
      </c>
      <c r="DA6" s="560" t="s">
        <v>1701</v>
      </c>
      <c r="DB6" s="560" t="s">
        <v>1706</v>
      </c>
      <c r="DC6" s="560" t="s">
        <v>1705</v>
      </c>
      <c r="DD6" s="560" t="s">
        <v>1686</v>
      </c>
      <c r="DE6" s="560" t="s">
        <v>1707</v>
      </c>
      <c r="DF6" s="560" t="s">
        <v>1708</v>
      </c>
      <c r="DG6" s="560" t="s">
        <v>1709</v>
      </c>
      <c r="DH6" s="560" t="s">
        <v>1677</v>
      </c>
      <c r="DI6" s="560" t="s">
        <v>1677</v>
      </c>
      <c r="DJ6" s="560" t="s">
        <v>1683</v>
      </c>
      <c r="DK6" s="560" t="s">
        <v>1710</v>
      </c>
      <c r="DL6" s="560" t="s">
        <v>1711</v>
      </c>
      <c r="DM6" s="560" t="s">
        <v>1675</v>
      </c>
      <c r="DN6" s="560" t="s">
        <v>1683</v>
      </c>
      <c r="DO6" s="560" t="s">
        <v>1705</v>
      </c>
    </row>
    <row r="7" spans="1:119">
      <c r="A7" s="560" t="s">
        <v>1712</v>
      </c>
      <c r="B7" s="560" t="s">
        <v>1713</v>
      </c>
      <c r="C7" s="560" t="s">
        <v>764</v>
      </c>
      <c r="D7" s="560">
        <v>3</v>
      </c>
      <c r="E7" s="560">
        <v>337.92012199999999</v>
      </c>
      <c r="F7" s="560">
        <v>58.005771000000003</v>
      </c>
      <c r="G7" s="560">
        <v>4974.4274999999998</v>
      </c>
      <c r="H7" s="560">
        <v>139.9665</v>
      </c>
      <c r="I7" s="560">
        <v>0.968943</v>
      </c>
      <c r="J7" s="560">
        <v>0.259548</v>
      </c>
      <c r="K7" s="560">
        <v>0.275814</v>
      </c>
      <c r="L7" s="560">
        <v>0.38096999999999998</v>
      </c>
      <c r="M7" s="560">
        <v>7183.1961209999999</v>
      </c>
      <c r="N7" s="560">
        <v>8008.2050639999998</v>
      </c>
      <c r="O7" s="560">
        <v>2807.2268100000001</v>
      </c>
      <c r="P7" s="560">
        <v>202.42003700000001</v>
      </c>
      <c r="Q7" s="560">
        <v>177.11404999999999</v>
      </c>
      <c r="R7" s="560">
        <v>1382.565603</v>
      </c>
      <c r="S7" s="560">
        <v>985.15839200000005</v>
      </c>
      <c r="T7" s="560">
        <v>1278.949689</v>
      </c>
      <c r="U7" s="560">
        <v>306.99070799999998</v>
      </c>
      <c r="V7" s="560">
        <v>53.226962</v>
      </c>
      <c r="W7" s="560">
        <v>17.529827000000001</v>
      </c>
      <c r="X7" s="560">
        <v>0</v>
      </c>
      <c r="Y7" s="560">
        <v>24.219055999999998</v>
      </c>
      <c r="Z7" s="560">
        <v>189.05577099999999</v>
      </c>
      <c r="AA7" s="560">
        <v>26116.812688000002</v>
      </c>
      <c r="AB7" s="560">
        <v>29130.084027000001</v>
      </c>
      <c r="AC7" s="560">
        <v>21096.793147</v>
      </c>
      <c r="AD7" s="560">
        <v>15720.685614</v>
      </c>
      <c r="AE7" s="560">
        <v>437.09545400000002</v>
      </c>
      <c r="AF7" s="560">
        <v>10335.371155000001</v>
      </c>
      <c r="AG7" s="560">
        <v>11930.051491</v>
      </c>
      <c r="AH7" s="560">
        <v>3578.1515209999998</v>
      </c>
      <c r="AI7" s="560">
        <v>0</v>
      </c>
      <c r="AJ7" s="560">
        <v>0</v>
      </c>
      <c r="AK7" s="560">
        <v>0</v>
      </c>
      <c r="AL7" s="560">
        <v>200.75</v>
      </c>
      <c r="AM7" s="560">
        <v>0</v>
      </c>
      <c r="AN7" s="560">
        <v>0</v>
      </c>
      <c r="AO7" s="560">
        <v>0</v>
      </c>
      <c r="AP7" s="560">
        <v>0</v>
      </c>
      <c r="AQ7" s="560" t="s">
        <v>1712</v>
      </c>
      <c r="AR7" s="560" t="s">
        <v>1714</v>
      </c>
      <c r="AS7" s="560">
        <v>0</v>
      </c>
      <c r="AT7" s="560">
        <v>0</v>
      </c>
      <c r="AU7" s="560">
        <v>0</v>
      </c>
      <c r="AV7" s="560">
        <v>69</v>
      </c>
      <c r="AW7" s="560">
        <v>64</v>
      </c>
      <c r="AX7" s="560">
        <v>74</v>
      </c>
      <c r="AY7" s="560">
        <v>78</v>
      </c>
      <c r="AZ7" s="560">
        <v>1</v>
      </c>
      <c r="BA7" s="560">
        <v>2085</v>
      </c>
      <c r="BB7" s="560">
        <v>0</v>
      </c>
      <c r="BC7" s="560">
        <v>0.5</v>
      </c>
      <c r="BD7" s="560">
        <v>0</v>
      </c>
      <c r="BE7" s="560" t="s">
        <v>1715</v>
      </c>
      <c r="BF7" s="560">
        <v>2</v>
      </c>
      <c r="BG7" s="560">
        <v>13</v>
      </c>
      <c r="BH7" s="560">
        <v>1</v>
      </c>
      <c r="BI7" s="560">
        <v>2</v>
      </c>
      <c r="BJ7" s="560">
        <v>40</v>
      </c>
      <c r="BK7" s="560">
        <v>0</v>
      </c>
      <c r="BL7" s="560" t="s">
        <v>1716</v>
      </c>
      <c r="BM7" s="560">
        <v>0.05</v>
      </c>
      <c r="BN7" s="560">
        <v>200</v>
      </c>
      <c r="BO7" s="560">
        <v>20</v>
      </c>
      <c r="BP7" s="560" t="s">
        <v>1717</v>
      </c>
      <c r="BQ7" s="560">
        <v>0</v>
      </c>
      <c r="BR7" s="560">
        <v>0</v>
      </c>
      <c r="BS7" s="560">
        <v>555</v>
      </c>
      <c r="BT7" s="560">
        <v>1568</v>
      </c>
      <c r="BU7" s="560">
        <v>12544</v>
      </c>
      <c r="BV7" s="560">
        <v>0</v>
      </c>
      <c r="BW7" s="560">
        <v>0</v>
      </c>
      <c r="BX7" s="560">
        <v>1344</v>
      </c>
      <c r="BY7" s="560">
        <v>12.82</v>
      </c>
      <c r="BZ7" s="560">
        <v>1568</v>
      </c>
      <c r="CA7" s="560">
        <v>26.5</v>
      </c>
      <c r="CB7" s="560">
        <v>0.85</v>
      </c>
      <c r="CC7" s="560">
        <v>49</v>
      </c>
      <c r="CD7" s="560">
        <v>49</v>
      </c>
      <c r="CE7" s="560">
        <v>49</v>
      </c>
      <c r="CF7" s="560">
        <v>49</v>
      </c>
      <c r="CG7" s="560">
        <v>0.29299999999999998</v>
      </c>
      <c r="CH7" s="560">
        <v>0.3</v>
      </c>
      <c r="CI7" s="560">
        <v>0.54</v>
      </c>
      <c r="CJ7" s="560">
        <v>40</v>
      </c>
      <c r="CK7" s="560">
        <v>5</v>
      </c>
      <c r="CL7" s="560">
        <v>1</v>
      </c>
      <c r="CM7" s="562">
        <v>1568</v>
      </c>
      <c r="CN7" s="562">
        <v>168</v>
      </c>
      <c r="CO7" s="562">
        <v>20.45</v>
      </c>
      <c r="CP7" s="562">
        <v>0</v>
      </c>
      <c r="CQ7" s="562">
        <v>0</v>
      </c>
      <c r="CR7" s="562" t="s">
        <v>1718</v>
      </c>
      <c r="CS7" s="562">
        <v>0</v>
      </c>
      <c r="CT7" s="562">
        <v>0</v>
      </c>
      <c r="CU7" s="562">
        <v>0.75</v>
      </c>
      <c r="CV7" s="562">
        <v>2</v>
      </c>
      <c r="CW7" s="562">
        <v>1.75</v>
      </c>
      <c r="CX7" s="562">
        <v>1</v>
      </c>
      <c r="CY7" s="562">
        <v>0.65</v>
      </c>
      <c r="CZ7" s="560">
        <v>1463.4666669999999</v>
      </c>
      <c r="DA7" s="560">
        <v>8.5</v>
      </c>
      <c r="DB7" s="560" t="s">
        <v>1719</v>
      </c>
      <c r="DC7" s="560">
        <v>50</v>
      </c>
      <c r="DD7" s="560">
        <v>4</v>
      </c>
      <c r="DE7" s="560" t="s">
        <v>1720</v>
      </c>
      <c r="DF7" s="560">
        <v>5</v>
      </c>
      <c r="DG7" s="560">
        <v>0</v>
      </c>
      <c r="DH7" s="560">
        <v>4.5</v>
      </c>
      <c r="DI7" s="560">
        <v>4.5</v>
      </c>
      <c r="DJ7" s="560">
        <v>0</v>
      </c>
      <c r="DK7" s="560">
        <v>0</v>
      </c>
      <c r="DL7" s="560">
        <v>0</v>
      </c>
      <c r="DM7" s="560">
        <v>0</v>
      </c>
      <c r="DN7" s="560">
        <v>0</v>
      </c>
      <c r="DO7" s="560">
        <v>0</v>
      </c>
    </row>
    <row r="8" spans="1:119">
      <c r="A8" s="560" t="s">
        <v>1721</v>
      </c>
      <c r="B8" s="560" t="s">
        <v>1713</v>
      </c>
      <c r="C8" s="560" t="s">
        <v>767</v>
      </c>
      <c r="D8" s="560">
        <v>3</v>
      </c>
      <c r="E8" s="560">
        <v>337.92012199999999</v>
      </c>
      <c r="F8" s="560">
        <v>58.005771000000003</v>
      </c>
      <c r="G8" s="560">
        <v>4974.4274999999998</v>
      </c>
      <c r="H8" s="560">
        <v>391.60199999999998</v>
      </c>
      <c r="I8" s="560">
        <v>0.968943</v>
      </c>
      <c r="J8" s="560">
        <v>0.259548</v>
      </c>
      <c r="K8" s="560">
        <v>0.275814</v>
      </c>
      <c r="L8" s="560">
        <v>0.38096999999999998</v>
      </c>
      <c r="M8" s="560">
        <v>7183.1961209999999</v>
      </c>
      <c r="N8" s="560">
        <v>8008.2050639999998</v>
      </c>
      <c r="O8" s="560">
        <v>2807.2268100000001</v>
      </c>
      <c r="P8" s="560">
        <v>202.42003700000001</v>
      </c>
      <c r="Q8" s="560">
        <v>177.11404999999999</v>
      </c>
      <c r="R8" s="560">
        <v>1382.565603</v>
      </c>
      <c r="S8" s="560">
        <v>1788.1392940000001</v>
      </c>
      <c r="T8" s="560">
        <v>2184.393701</v>
      </c>
      <c r="U8" s="560">
        <v>565.17622900000003</v>
      </c>
      <c r="V8" s="560">
        <v>65.296589999999995</v>
      </c>
      <c r="W8" s="560">
        <v>11.887195</v>
      </c>
      <c r="X8" s="560">
        <v>0</v>
      </c>
      <c r="Y8" s="560">
        <v>42.894365000000001</v>
      </c>
      <c r="Z8" s="560">
        <v>334.83663899999999</v>
      </c>
      <c r="AA8" s="560">
        <v>26116.812688000002</v>
      </c>
      <c r="AB8" s="560">
        <v>29130.084027000001</v>
      </c>
      <c r="AC8" s="560">
        <v>21096.793147</v>
      </c>
      <c r="AD8" s="560">
        <v>15720.685614</v>
      </c>
      <c r="AE8" s="560">
        <v>437.09545400000002</v>
      </c>
      <c r="AF8" s="560">
        <v>13243.16944</v>
      </c>
      <c r="AG8" s="560">
        <v>15608.930437999999</v>
      </c>
      <c r="AH8" s="560">
        <v>5159.4441079999997</v>
      </c>
      <c r="AI8" s="560">
        <v>0</v>
      </c>
      <c r="AJ8" s="560">
        <v>0</v>
      </c>
      <c r="AK8" s="560">
        <v>0</v>
      </c>
      <c r="AL8" s="560">
        <v>200.75</v>
      </c>
      <c r="AM8" s="560">
        <v>0</v>
      </c>
      <c r="AN8" s="560">
        <v>0</v>
      </c>
      <c r="AO8" s="560">
        <v>0</v>
      </c>
      <c r="AP8" s="560">
        <v>0</v>
      </c>
      <c r="AQ8" s="560" t="s">
        <v>1721</v>
      </c>
      <c r="AR8" s="560" t="s">
        <v>1722</v>
      </c>
      <c r="AS8" s="560">
        <v>0</v>
      </c>
      <c r="AT8" s="560">
        <v>0</v>
      </c>
      <c r="AU8" s="560">
        <v>0</v>
      </c>
      <c r="AV8" s="560">
        <v>69</v>
      </c>
      <c r="AW8" s="560">
        <v>64</v>
      </c>
      <c r="AX8" s="560">
        <v>74</v>
      </c>
      <c r="AY8" s="560">
        <v>78</v>
      </c>
      <c r="AZ8" s="560">
        <v>1</v>
      </c>
      <c r="BA8" s="560">
        <v>2085</v>
      </c>
      <c r="BB8" s="560">
        <v>0</v>
      </c>
      <c r="BC8" s="560">
        <v>0.5</v>
      </c>
      <c r="BD8" s="560">
        <v>0</v>
      </c>
      <c r="BE8" s="560" t="s">
        <v>1715</v>
      </c>
      <c r="BF8" s="560">
        <v>2</v>
      </c>
      <c r="BG8" s="560">
        <v>13</v>
      </c>
      <c r="BH8" s="560">
        <v>1</v>
      </c>
      <c r="BI8" s="560">
        <v>2</v>
      </c>
      <c r="BJ8" s="560">
        <v>40</v>
      </c>
      <c r="BK8" s="560">
        <v>0</v>
      </c>
      <c r="BL8" s="560" t="s">
        <v>1716</v>
      </c>
      <c r="BM8" s="560">
        <v>0.05</v>
      </c>
      <c r="BN8" s="560">
        <v>200</v>
      </c>
      <c r="BO8" s="560">
        <v>20</v>
      </c>
      <c r="BP8" s="560" t="s">
        <v>1717</v>
      </c>
      <c r="BQ8" s="560">
        <v>0</v>
      </c>
      <c r="BR8" s="560">
        <v>0</v>
      </c>
      <c r="BS8" s="560">
        <v>555</v>
      </c>
      <c r="BT8" s="560">
        <v>1568</v>
      </c>
      <c r="BU8" s="560">
        <v>12544</v>
      </c>
      <c r="BV8" s="560">
        <v>0</v>
      </c>
      <c r="BW8" s="560">
        <v>0</v>
      </c>
      <c r="BX8" s="560">
        <v>1344</v>
      </c>
      <c r="BY8" s="560">
        <v>12.82</v>
      </c>
      <c r="BZ8" s="560">
        <v>1568</v>
      </c>
      <c r="CA8" s="560">
        <v>26.5</v>
      </c>
      <c r="CB8" s="560">
        <v>0.85</v>
      </c>
      <c r="CC8" s="560">
        <v>49</v>
      </c>
      <c r="CD8" s="560">
        <v>49</v>
      </c>
      <c r="CE8" s="560">
        <v>49</v>
      </c>
      <c r="CF8" s="560">
        <v>49</v>
      </c>
      <c r="CG8" s="560">
        <v>0.29299999999999998</v>
      </c>
      <c r="CH8" s="560">
        <v>0.3</v>
      </c>
      <c r="CI8" s="560">
        <v>0.54</v>
      </c>
      <c r="CJ8" s="560">
        <v>40</v>
      </c>
      <c r="CK8" s="560">
        <v>5</v>
      </c>
      <c r="CL8" s="560">
        <v>1</v>
      </c>
      <c r="CM8" s="562">
        <v>1568</v>
      </c>
      <c r="CN8" s="562">
        <v>168</v>
      </c>
      <c r="CO8" s="562">
        <v>20.45</v>
      </c>
      <c r="CP8" s="562">
        <v>0</v>
      </c>
      <c r="CQ8" s="562">
        <v>0</v>
      </c>
      <c r="CR8" s="562" t="s">
        <v>1718</v>
      </c>
      <c r="CS8" s="562">
        <v>0</v>
      </c>
      <c r="CT8" s="562">
        <v>0</v>
      </c>
      <c r="CU8" s="562">
        <v>0.75</v>
      </c>
      <c r="CV8" s="562">
        <v>2</v>
      </c>
      <c r="CW8" s="562">
        <v>1.75</v>
      </c>
      <c r="CX8" s="562">
        <v>1</v>
      </c>
      <c r="CY8" s="562">
        <v>0.65</v>
      </c>
      <c r="CZ8" s="560">
        <v>1463.4666669999999</v>
      </c>
      <c r="DA8" s="560">
        <v>8.5</v>
      </c>
      <c r="DB8" s="560" t="s">
        <v>1719</v>
      </c>
      <c r="DC8" s="560">
        <v>50</v>
      </c>
      <c r="DD8" s="560">
        <v>4</v>
      </c>
      <c r="DE8" s="560" t="s">
        <v>1720</v>
      </c>
      <c r="DF8" s="560">
        <v>5</v>
      </c>
      <c r="DG8" s="560">
        <v>0</v>
      </c>
      <c r="DH8" s="560">
        <v>4.5</v>
      </c>
      <c r="DI8" s="560">
        <v>4.5</v>
      </c>
      <c r="DJ8" s="560">
        <v>0</v>
      </c>
      <c r="DK8" s="560">
        <v>0</v>
      </c>
      <c r="DL8" s="560">
        <v>0</v>
      </c>
      <c r="DM8" s="560">
        <v>0</v>
      </c>
      <c r="DN8" s="560">
        <v>0</v>
      </c>
      <c r="DO8" s="560">
        <v>0</v>
      </c>
    </row>
    <row r="9" spans="1:119">
      <c r="A9" s="560" t="s">
        <v>1723</v>
      </c>
      <c r="B9" s="560" t="s">
        <v>1713</v>
      </c>
      <c r="C9" s="560" t="s">
        <v>770</v>
      </c>
      <c r="D9" s="560">
        <v>3</v>
      </c>
      <c r="E9" s="560">
        <v>337.92012199999999</v>
      </c>
      <c r="F9" s="560">
        <v>58.005771000000003</v>
      </c>
      <c r="G9" s="560">
        <v>4974.4274999999998</v>
      </c>
      <c r="H9" s="560">
        <v>755.94</v>
      </c>
      <c r="I9" s="560">
        <v>0.968943</v>
      </c>
      <c r="J9" s="560">
        <v>0.259548</v>
      </c>
      <c r="K9" s="560">
        <v>0.275814</v>
      </c>
      <c r="L9" s="560">
        <v>0.38096999999999998</v>
      </c>
      <c r="M9" s="560">
        <v>7183.1961209999999</v>
      </c>
      <c r="N9" s="560">
        <v>8008.2050639999998</v>
      </c>
      <c r="O9" s="560">
        <v>2807.2268100000001</v>
      </c>
      <c r="P9" s="560">
        <v>202.42003700000001</v>
      </c>
      <c r="Q9" s="560">
        <v>177.11404999999999</v>
      </c>
      <c r="R9" s="560">
        <v>1382.565603</v>
      </c>
      <c r="S9" s="560">
        <v>2782.572435</v>
      </c>
      <c r="T9" s="560">
        <v>3252.8082899999999</v>
      </c>
      <c r="U9" s="560">
        <v>897.60377600000004</v>
      </c>
      <c r="V9" s="560">
        <v>65.016969000000003</v>
      </c>
      <c r="W9" s="560">
        <v>7.2433930000000002</v>
      </c>
      <c r="X9" s="560">
        <v>0</v>
      </c>
      <c r="Y9" s="560">
        <v>66.086341000000004</v>
      </c>
      <c r="Z9" s="560">
        <v>515.87495200000001</v>
      </c>
      <c r="AA9" s="560">
        <v>26116.812688000002</v>
      </c>
      <c r="AB9" s="560">
        <v>29130.084027000001</v>
      </c>
      <c r="AC9" s="560">
        <v>21096.793147</v>
      </c>
      <c r="AD9" s="560">
        <v>15720.685614</v>
      </c>
      <c r="AE9" s="560">
        <v>437.09545400000002</v>
      </c>
      <c r="AF9" s="560">
        <v>13776.209229</v>
      </c>
      <c r="AG9" s="560">
        <v>18208.685351</v>
      </c>
      <c r="AH9" s="560">
        <v>5462.7962699999998</v>
      </c>
      <c r="AI9" s="560">
        <v>0</v>
      </c>
      <c r="AJ9" s="560">
        <v>0</v>
      </c>
      <c r="AK9" s="560">
        <v>0</v>
      </c>
      <c r="AL9" s="560">
        <v>200.75</v>
      </c>
      <c r="AM9" s="560">
        <v>0</v>
      </c>
      <c r="AN9" s="560">
        <v>0</v>
      </c>
      <c r="AO9" s="560">
        <v>0</v>
      </c>
      <c r="AP9" s="560">
        <v>0</v>
      </c>
      <c r="AQ9" s="560" t="s">
        <v>1723</v>
      </c>
      <c r="AR9" s="560" t="s">
        <v>1724</v>
      </c>
      <c r="AS9" s="560">
        <v>0</v>
      </c>
      <c r="AT9" s="560">
        <v>0</v>
      </c>
      <c r="AU9" s="560">
        <v>0</v>
      </c>
      <c r="AV9" s="560">
        <v>69</v>
      </c>
      <c r="AW9" s="560">
        <v>64</v>
      </c>
      <c r="AX9" s="560">
        <v>74</v>
      </c>
      <c r="AY9" s="560">
        <v>78</v>
      </c>
      <c r="AZ9" s="560">
        <v>1</v>
      </c>
      <c r="BA9" s="560">
        <v>2085</v>
      </c>
      <c r="BB9" s="560">
        <v>0</v>
      </c>
      <c r="BC9" s="560">
        <v>0.5</v>
      </c>
      <c r="BD9" s="560">
        <v>0</v>
      </c>
      <c r="BE9" s="560" t="s">
        <v>1715</v>
      </c>
      <c r="BF9" s="560">
        <v>2</v>
      </c>
      <c r="BG9" s="560">
        <v>13</v>
      </c>
      <c r="BH9" s="560">
        <v>1</v>
      </c>
      <c r="BI9" s="560">
        <v>2</v>
      </c>
      <c r="BJ9" s="560">
        <v>40</v>
      </c>
      <c r="BK9" s="560">
        <v>0</v>
      </c>
      <c r="BL9" s="560" t="s">
        <v>1716</v>
      </c>
      <c r="BM9" s="560">
        <v>0.05</v>
      </c>
      <c r="BN9" s="560">
        <v>200</v>
      </c>
      <c r="BO9" s="560">
        <v>20</v>
      </c>
      <c r="BP9" s="560" t="s">
        <v>1717</v>
      </c>
      <c r="BQ9" s="560">
        <v>0</v>
      </c>
      <c r="BR9" s="560">
        <v>0</v>
      </c>
      <c r="BS9" s="560">
        <v>555</v>
      </c>
      <c r="BT9" s="560">
        <v>1568</v>
      </c>
      <c r="BU9" s="560">
        <v>12544</v>
      </c>
      <c r="BV9" s="560">
        <v>0</v>
      </c>
      <c r="BW9" s="560">
        <v>0</v>
      </c>
      <c r="BX9" s="560">
        <v>1344</v>
      </c>
      <c r="BY9" s="560">
        <v>12.82</v>
      </c>
      <c r="BZ9" s="560">
        <v>1568</v>
      </c>
      <c r="CA9" s="560">
        <v>26.5</v>
      </c>
      <c r="CB9" s="560">
        <v>0.85</v>
      </c>
      <c r="CC9" s="560">
        <v>49</v>
      </c>
      <c r="CD9" s="560">
        <v>49</v>
      </c>
      <c r="CE9" s="560">
        <v>49</v>
      </c>
      <c r="CF9" s="560">
        <v>49</v>
      </c>
      <c r="CG9" s="560">
        <v>0.29299999999999998</v>
      </c>
      <c r="CH9" s="560">
        <v>0.3</v>
      </c>
      <c r="CI9" s="560">
        <v>0.54</v>
      </c>
      <c r="CJ9" s="560">
        <v>40</v>
      </c>
      <c r="CK9" s="560">
        <v>5</v>
      </c>
      <c r="CL9" s="560">
        <v>1</v>
      </c>
      <c r="CM9" s="562">
        <v>1568</v>
      </c>
      <c r="CN9" s="562">
        <v>168</v>
      </c>
      <c r="CO9" s="562">
        <v>20.45</v>
      </c>
      <c r="CP9" s="562">
        <v>0</v>
      </c>
      <c r="CQ9" s="562">
        <v>0</v>
      </c>
      <c r="CR9" s="562" t="s">
        <v>1718</v>
      </c>
      <c r="CS9" s="562">
        <v>0</v>
      </c>
      <c r="CT9" s="562">
        <v>0</v>
      </c>
      <c r="CU9" s="562">
        <v>0.75</v>
      </c>
      <c r="CV9" s="562">
        <v>2</v>
      </c>
      <c r="CW9" s="562">
        <v>1.75</v>
      </c>
      <c r="CX9" s="562">
        <v>1</v>
      </c>
      <c r="CY9" s="562">
        <v>0.65</v>
      </c>
      <c r="CZ9" s="560">
        <v>1463.4666669999999</v>
      </c>
      <c r="DA9" s="560">
        <v>8.5</v>
      </c>
      <c r="DB9" s="560" t="s">
        <v>1719</v>
      </c>
      <c r="DC9" s="560">
        <v>50</v>
      </c>
      <c r="DD9" s="560">
        <v>4</v>
      </c>
      <c r="DE9" s="560" t="s">
        <v>1720</v>
      </c>
      <c r="DF9" s="560">
        <v>5</v>
      </c>
      <c r="DG9" s="560">
        <v>0</v>
      </c>
      <c r="DH9" s="560">
        <v>4.5</v>
      </c>
      <c r="DI9" s="560">
        <v>4.5</v>
      </c>
      <c r="DJ9" s="560">
        <v>0</v>
      </c>
      <c r="DK9" s="560">
        <v>0</v>
      </c>
      <c r="DL9" s="560">
        <v>0</v>
      </c>
      <c r="DM9" s="560">
        <v>0</v>
      </c>
      <c r="DN9" s="560">
        <v>0</v>
      </c>
      <c r="DO9" s="560">
        <v>0</v>
      </c>
    </row>
    <row r="10" spans="1:119">
      <c r="A10" s="560" t="s">
        <v>1725</v>
      </c>
      <c r="B10" s="560" t="s">
        <v>1713</v>
      </c>
      <c r="C10" s="560" t="s">
        <v>764</v>
      </c>
      <c r="D10" s="560">
        <v>3</v>
      </c>
      <c r="E10" s="560">
        <v>376.79783300000003</v>
      </c>
      <c r="F10" s="560">
        <v>58.721578999999998</v>
      </c>
      <c r="G10" s="560">
        <v>4974.4274999999998</v>
      </c>
      <c r="H10" s="560">
        <v>139.9665</v>
      </c>
      <c r="I10" s="560">
        <v>0.968943</v>
      </c>
      <c r="J10" s="560">
        <v>0.260905</v>
      </c>
      <c r="K10" s="560">
        <v>0.27449600000000002</v>
      </c>
      <c r="L10" s="560">
        <v>0.385042</v>
      </c>
      <c r="M10" s="560">
        <v>8351.4123560000007</v>
      </c>
      <c r="N10" s="560">
        <v>9292.9609459999992</v>
      </c>
      <c r="O10" s="560">
        <v>3258.7601070000001</v>
      </c>
      <c r="P10" s="560">
        <v>281.252996</v>
      </c>
      <c r="Q10" s="560">
        <v>202.81534199999999</v>
      </c>
      <c r="R10" s="560">
        <v>1583.1918189999999</v>
      </c>
      <c r="S10" s="560">
        <v>905.10513000000003</v>
      </c>
      <c r="T10" s="560">
        <v>1170.870377</v>
      </c>
      <c r="U10" s="560">
        <v>283.834363</v>
      </c>
      <c r="V10" s="560">
        <v>48.108611000000003</v>
      </c>
      <c r="W10" s="560">
        <v>17.182213999999998</v>
      </c>
      <c r="X10" s="560">
        <v>0</v>
      </c>
      <c r="Y10" s="560">
        <v>22.248494999999998</v>
      </c>
      <c r="Z10" s="560">
        <v>173.673429</v>
      </c>
      <c r="AA10" s="560">
        <v>27545.873405999999</v>
      </c>
      <c r="AB10" s="560">
        <v>30640.384515999998</v>
      </c>
      <c r="AC10" s="560">
        <v>22607.093637000002</v>
      </c>
      <c r="AD10" s="560">
        <v>17230.986104</v>
      </c>
      <c r="AE10" s="560">
        <v>437.09545400000002</v>
      </c>
      <c r="AF10" s="560">
        <v>10746.605669</v>
      </c>
      <c r="AG10" s="560">
        <v>12363.196264</v>
      </c>
      <c r="AH10" s="560">
        <v>3705.4073509999998</v>
      </c>
      <c r="AI10" s="560">
        <v>0</v>
      </c>
      <c r="AJ10" s="560">
        <v>0</v>
      </c>
      <c r="AK10" s="560">
        <v>0</v>
      </c>
      <c r="AL10" s="560">
        <v>200.75</v>
      </c>
      <c r="AM10" s="560">
        <v>0</v>
      </c>
      <c r="AN10" s="560">
        <v>0</v>
      </c>
      <c r="AO10" s="560">
        <v>0</v>
      </c>
      <c r="AP10" s="560">
        <v>0</v>
      </c>
      <c r="AQ10" s="560" t="s">
        <v>1725</v>
      </c>
      <c r="AR10" s="560" t="s">
        <v>1714</v>
      </c>
      <c r="AS10" s="560">
        <v>0</v>
      </c>
      <c r="AT10" s="560">
        <v>0</v>
      </c>
      <c r="AU10" s="560">
        <v>0</v>
      </c>
      <c r="AV10" s="560">
        <v>69</v>
      </c>
      <c r="AW10" s="560">
        <v>64</v>
      </c>
      <c r="AX10" s="560">
        <v>74</v>
      </c>
      <c r="AY10" s="560">
        <v>78</v>
      </c>
      <c r="AZ10" s="560">
        <v>1</v>
      </c>
      <c r="BA10" s="560">
        <v>2085</v>
      </c>
      <c r="BB10" s="560">
        <v>0</v>
      </c>
      <c r="BC10" s="560">
        <v>0.5</v>
      </c>
      <c r="BD10" s="560">
        <v>0</v>
      </c>
      <c r="BE10" s="560" t="s">
        <v>1715</v>
      </c>
      <c r="BF10" s="560">
        <v>2</v>
      </c>
      <c r="BG10" s="560">
        <v>13</v>
      </c>
      <c r="BH10" s="560">
        <v>1</v>
      </c>
      <c r="BI10" s="560">
        <v>2</v>
      </c>
      <c r="BJ10" s="560">
        <v>40</v>
      </c>
      <c r="BK10" s="560">
        <v>0</v>
      </c>
      <c r="BL10" s="560" t="s">
        <v>1716</v>
      </c>
      <c r="BM10" s="560">
        <v>0.05</v>
      </c>
      <c r="BN10" s="560">
        <v>200</v>
      </c>
      <c r="BO10" s="560">
        <v>20</v>
      </c>
      <c r="BP10" s="560" t="s">
        <v>1717</v>
      </c>
      <c r="BQ10" s="560">
        <v>0</v>
      </c>
      <c r="BR10" s="560">
        <v>0</v>
      </c>
      <c r="BS10" s="560">
        <v>555</v>
      </c>
      <c r="BT10" s="560">
        <v>1568</v>
      </c>
      <c r="BU10" s="560">
        <v>12544</v>
      </c>
      <c r="BV10" s="560">
        <v>0</v>
      </c>
      <c r="BW10" s="560">
        <v>0</v>
      </c>
      <c r="BX10" s="560">
        <v>1344</v>
      </c>
      <c r="BY10" s="560">
        <v>10.3</v>
      </c>
      <c r="BZ10" s="560">
        <v>1568</v>
      </c>
      <c r="CA10" s="560">
        <v>26.5</v>
      </c>
      <c r="CB10" s="560">
        <v>0.85</v>
      </c>
      <c r="CC10" s="560">
        <v>49</v>
      </c>
      <c r="CD10" s="560">
        <v>49</v>
      </c>
      <c r="CE10" s="560">
        <v>49</v>
      </c>
      <c r="CF10" s="560">
        <v>49</v>
      </c>
      <c r="CG10" s="560">
        <v>0.29299999999999998</v>
      </c>
      <c r="CH10" s="560">
        <v>0.3</v>
      </c>
      <c r="CI10" s="560">
        <v>0.54</v>
      </c>
      <c r="CJ10" s="560">
        <v>40</v>
      </c>
      <c r="CK10" s="560">
        <v>5</v>
      </c>
      <c r="CL10" s="560">
        <v>1</v>
      </c>
      <c r="CM10" s="562">
        <v>1568</v>
      </c>
      <c r="CN10" s="562">
        <v>168</v>
      </c>
      <c r="CO10" s="562">
        <v>15.8</v>
      </c>
      <c r="CP10" s="562">
        <v>0</v>
      </c>
      <c r="CQ10" s="562">
        <v>0</v>
      </c>
      <c r="CR10" s="562" t="s">
        <v>1718</v>
      </c>
      <c r="CS10" s="562">
        <v>0</v>
      </c>
      <c r="CT10" s="562">
        <v>0</v>
      </c>
      <c r="CU10" s="562">
        <v>0.75</v>
      </c>
      <c r="CV10" s="562">
        <v>2</v>
      </c>
      <c r="CW10" s="562">
        <v>1.75</v>
      </c>
      <c r="CX10" s="562">
        <v>1</v>
      </c>
      <c r="CY10" s="562">
        <v>0.65</v>
      </c>
      <c r="CZ10" s="560">
        <v>1463.4666669999999</v>
      </c>
      <c r="DA10" s="560">
        <v>8.5</v>
      </c>
      <c r="DB10" s="560" t="s">
        <v>1719</v>
      </c>
      <c r="DC10" s="560">
        <v>50</v>
      </c>
      <c r="DD10" s="560">
        <v>4</v>
      </c>
      <c r="DE10" s="560" t="s">
        <v>1720</v>
      </c>
      <c r="DF10" s="560">
        <v>5</v>
      </c>
      <c r="DG10" s="560">
        <v>0</v>
      </c>
      <c r="DH10" s="560">
        <v>4.5</v>
      </c>
      <c r="DI10" s="560">
        <v>4.5</v>
      </c>
      <c r="DJ10" s="560">
        <v>0</v>
      </c>
      <c r="DK10" s="560">
        <v>0</v>
      </c>
      <c r="DL10" s="560">
        <v>0</v>
      </c>
      <c r="DM10" s="560">
        <v>0</v>
      </c>
      <c r="DN10" s="560">
        <v>0</v>
      </c>
      <c r="DO10" s="560">
        <v>0</v>
      </c>
    </row>
    <row r="11" spans="1:119">
      <c r="A11" s="560" t="s">
        <v>1726</v>
      </c>
      <c r="B11" s="560" t="s">
        <v>1713</v>
      </c>
      <c r="C11" s="560" t="s">
        <v>767</v>
      </c>
      <c r="D11" s="560">
        <v>3</v>
      </c>
      <c r="E11" s="560">
        <v>376.79783300000003</v>
      </c>
      <c r="F11" s="560">
        <v>58.721578999999998</v>
      </c>
      <c r="G11" s="560">
        <v>4974.4274999999998</v>
      </c>
      <c r="H11" s="560">
        <v>391.60199999999998</v>
      </c>
      <c r="I11" s="560">
        <v>0.968943</v>
      </c>
      <c r="J11" s="560">
        <v>0.260905</v>
      </c>
      <c r="K11" s="560">
        <v>0.27449600000000002</v>
      </c>
      <c r="L11" s="560">
        <v>0.385042</v>
      </c>
      <c r="M11" s="560">
        <v>8351.4123560000007</v>
      </c>
      <c r="N11" s="560">
        <v>9292.9609459999992</v>
      </c>
      <c r="O11" s="560">
        <v>3258.7601070000001</v>
      </c>
      <c r="P11" s="560">
        <v>281.252996</v>
      </c>
      <c r="Q11" s="560">
        <v>202.81534199999999</v>
      </c>
      <c r="R11" s="560">
        <v>1583.1918189999999</v>
      </c>
      <c r="S11" s="560">
        <v>1732.271767</v>
      </c>
      <c r="T11" s="560">
        <v>2108.0789220000001</v>
      </c>
      <c r="U11" s="560">
        <v>549.97146099999998</v>
      </c>
      <c r="V11" s="560">
        <v>61.239458999999997</v>
      </c>
      <c r="W11" s="560">
        <v>11.507939</v>
      </c>
      <c r="X11" s="560">
        <v>0</v>
      </c>
      <c r="Y11" s="560">
        <v>41.527133999999997</v>
      </c>
      <c r="Z11" s="560">
        <v>324.16393499999998</v>
      </c>
      <c r="AA11" s="560">
        <v>27545.873405999999</v>
      </c>
      <c r="AB11" s="560">
        <v>30640.384515999998</v>
      </c>
      <c r="AC11" s="560">
        <v>22607.093637000002</v>
      </c>
      <c r="AD11" s="560">
        <v>17230.986104</v>
      </c>
      <c r="AE11" s="560">
        <v>437.09545400000002</v>
      </c>
      <c r="AF11" s="560">
        <v>13896.193626</v>
      </c>
      <c r="AG11" s="560">
        <v>16197.463240999999</v>
      </c>
      <c r="AH11" s="560">
        <v>5384.9454059999998</v>
      </c>
      <c r="AI11" s="560">
        <v>0</v>
      </c>
      <c r="AJ11" s="560">
        <v>0</v>
      </c>
      <c r="AK11" s="560">
        <v>0</v>
      </c>
      <c r="AL11" s="560">
        <v>200.75</v>
      </c>
      <c r="AM11" s="560">
        <v>0</v>
      </c>
      <c r="AN11" s="560">
        <v>0</v>
      </c>
      <c r="AO11" s="560">
        <v>0</v>
      </c>
      <c r="AP11" s="560">
        <v>0</v>
      </c>
      <c r="AQ11" s="560" t="s">
        <v>1726</v>
      </c>
      <c r="AR11" s="560" t="s">
        <v>1722</v>
      </c>
      <c r="AS11" s="560">
        <v>0</v>
      </c>
      <c r="AT11" s="560">
        <v>0</v>
      </c>
      <c r="AU11" s="560">
        <v>0</v>
      </c>
      <c r="AV11" s="560">
        <v>69</v>
      </c>
      <c r="AW11" s="560">
        <v>64</v>
      </c>
      <c r="AX11" s="560">
        <v>74</v>
      </c>
      <c r="AY11" s="560">
        <v>78</v>
      </c>
      <c r="AZ11" s="560">
        <v>1</v>
      </c>
      <c r="BA11" s="560">
        <v>2085</v>
      </c>
      <c r="BB11" s="560">
        <v>0</v>
      </c>
      <c r="BC11" s="560">
        <v>0.5</v>
      </c>
      <c r="BD11" s="560">
        <v>0</v>
      </c>
      <c r="BE11" s="560" t="s">
        <v>1715</v>
      </c>
      <c r="BF11" s="560">
        <v>2</v>
      </c>
      <c r="BG11" s="560">
        <v>13</v>
      </c>
      <c r="BH11" s="560">
        <v>1</v>
      </c>
      <c r="BI11" s="560">
        <v>2</v>
      </c>
      <c r="BJ11" s="560">
        <v>40</v>
      </c>
      <c r="BK11" s="560">
        <v>0</v>
      </c>
      <c r="BL11" s="560" t="s">
        <v>1716</v>
      </c>
      <c r="BM11" s="560">
        <v>0.05</v>
      </c>
      <c r="BN11" s="560">
        <v>200</v>
      </c>
      <c r="BO11" s="560">
        <v>20</v>
      </c>
      <c r="BP11" s="560" t="s">
        <v>1717</v>
      </c>
      <c r="BQ11" s="560">
        <v>0</v>
      </c>
      <c r="BR11" s="560">
        <v>0</v>
      </c>
      <c r="BS11" s="560">
        <v>555</v>
      </c>
      <c r="BT11" s="560">
        <v>1568</v>
      </c>
      <c r="BU11" s="560">
        <v>12544</v>
      </c>
      <c r="BV11" s="560">
        <v>0</v>
      </c>
      <c r="BW11" s="560">
        <v>0</v>
      </c>
      <c r="BX11" s="560">
        <v>1344</v>
      </c>
      <c r="BY11" s="560">
        <v>10.3</v>
      </c>
      <c r="BZ11" s="560">
        <v>1568</v>
      </c>
      <c r="CA11" s="560">
        <v>26.5</v>
      </c>
      <c r="CB11" s="560">
        <v>0.85</v>
      </c>
      <c r="CC11" s="560">
        <v>49</v>
      </c>
      <c r="CD11" s="560">
        <v>49</v>
      </c>
      <c r="CE11" s="560">
        <v>49</v>
      </c>
      <c r="CF11" s="560">
        <v>49</v>
      </c>
      <c r="CG11" s="560">
        <v>0.29299999999999998</v>
      </c>
      <c r="CH11" s="560">
        <v>0.3</v>
      </c>
      <c r="CI11" s="560">
        <v>0.54</v>
      </c>
      <c r="CJ11" s="560">
        <v>40</v>
      </c>
      <c r="CK11" s="560">
        <v>5</v>
      </c>
      <c r="CL11" s="560">
        <v>1</v>
      </c>
      <c r="CM11" s="562">
        <v>1568</v>
      </c>
      <c r="CN11" s="562">
        <v>168</v>
      </c>
      <c r="CO11" s="562">
        <v>15.8</v>
      </c>
      <c r="CP11" s="562">
        <v>0</v>
      </c>
      <c r="CQ11" s="562">
        <v>0</v>
      </c>
      <c r="CR11" s="562" t="s">
        <v>1718</v>
      </c>
      <c r="CS11" s="562">
        <v>0</v>
      </c>
      <c r="CT11" s="562">
        <v>0</v>
      </c>
      <c r="CU11" s="562">
        <v>0.75</v>
      </c>
      <c r="CV11" s="562">
        <v>2</v>
      </c>
      <c r="CW11" s="562">
        <v>1.75</v>
      </c>
      <c r="CX11" s="562">
        <v>1</v>
      </c>
      <c r="CY11" s="562">
        <v>0.65</v>
      </c>
      <c r="CZ11" s="560">
        <v>1463.4666669999999</v>
      </c>
      <c r="DA11" s="560">
        <v>8.5</v>
      </c>
      <c r="DB11" s="560" t="s">
        <v>1719</v>
      </c>
      <c r="DC11" s="560">
        <v>50</v>
      </c>
      <c r="DD11" s="560">
        <v>4</v>
      </c>
      <c r="DE11" s="560" t="s">
        <v>1720</v>
      </c>
      <c r="DF11" s="560">
        <v>5</v>
      </c>
      <c r="DG11" s="560">
        <v>0</v>
      </c>
      <c r="DH11" s="560">
        <v>4.5</v>
      </c>
      <c r="DI11" s="560">
        <v>4.5</v>
      </c>
      <c r="DJ11" s="560">
        <v>0</v>
      </c>
      <c r="DK11" s="560">
        <v>0</v>
      </c>
      <c r="DL11" s="560">
        <v>0</v>
      </c>
      <c r="DM11" s="560">
        <v>0</v>
      </c>
      <c r="DN11" s="560">
        <v>0</v>
      </c>
      <c r="DO11" s="560">
        <v>0</v>
      </c>
    </row>
    <row r="12" spans="1:119">
      <c r="A12" s="560" t="s">
        <v>1727</v>
      </c>
      <c r="B12" s="560" t="s">
        <v>1713</v>
      </c>
      <c r="C12" s="560" t="s">
        <v>770</v>
      </c>
      <c r="D12" s="560">
        <v>3</v>
      </c>
      <c r="E12" s="560">
        <v>376.79783300000003</v>
      </c>
      <c r="F12" s="560">
        <v>58.721578999999998</v>
      </c>
      <c r="G12" s="560">
        <v>4974.4274999999998</v>
      </c>
      <c r="H12" s="560">
        <v>755.94</v>
      </c>
      <c r="I12" s="560">
        <v>0.968943</v>
      </c>
      <c r="J12" s="560">
        <v>0.260905</v>
      </c>
      <c r="K12" s="560">
        <v>0.27449600000000002</v>
      </c>
      <c r="L12" s="560">
        <v>0.385042</v>
      </c>
      <c r="M12" s="560">
        <v>8351.4123560000007</v>
      </c>
      <c r="N12" s="560">
        <v>9292.9609459999992</v>
      </c>
      <c r="O12" s="560">
        <v>3258.7601070000001</v>
      </c>
      <c r="P12" s="560">
        <v>281.252996</v>
      </c>
      <c r="Q12" s="560">
        <v>202.81534199999999</v>
      </c>
      <c r="R12" s="560">
        <v>1583.1918189999999</v>
      </c>
      <c r="S12" s="560">
        <v>2766.0102900000002</v>
      </c>
      <c r="T12" s="560">
        <v>3225.2216830000002</v>
      </c>
      <c r="U12" s="560">
        <v>896.45154300000002</v>
      </c>
      <c r="V12" s="560">
        <v>62.113759999999999</v>
      </c>
      <c r="W12" s="560">
        <v>6.9288470000000002</v>
      </c>
      <c r="X12" s="560">
        <v>0</v>
      </c>
      <c r="Y12" s="560">
        <v>65.702172000000004</v>
      </c>
      <c r="Z12" s="560">
        <v>512.87609899999995</v>
      </c>
      <c r="AA12" s="560">
        <v>27545.873405999999</v>
      </c>
      <c r="AB12" s="560">
        <v>30640.384515999998</v>
      </c>
      <c r="AC12" s="560">
        <v>22607.093637000002</v>
      </c>
      <c r="AD12" s="560">
        <v>17230.986104</v>
      </c>
      <c r="AE12" s="560">
        <v>437.09545400000002</v>
      </c>
      <c r="AF12" s="560">
        <v>14499.260633</v>
      </c>
      <c r="AG12" s="560">
        <v>17969.45968</v>
      </c>
      <c r="AH12" s="560">
        <v>5736.3333050000001</v>
      </c>
      <c r="AI12" s="560">
        <v>0</v>
      </c>
      <c r="AJ12" s="560">
        <v>0</v>
      </c>
      <c r="AK12" s="560">
        <v>0</v>
      </c>
      <c r="AL12" s="560">
        <v>200.75</v>
      </c>
      <c r="AM12" s="560">
        <v>0</v>
      </c>
      <c r="AN12" s="560">
        <v>0</v>
      </c>
      <c r="AO12" s="560">
        <v>0</v>
      </c>
      <c r="AP12" s="560">
        <v>0</v>
      </c>
      <c r="AQ12" s="560" t="s">
        <v>1727</v>
      </c>
      <c r="AR12" s="560" t="s">
        <v>1724</v>
      </c>
      <c r="AS12" s="560">
        <v>0</v>
      </c>
      <c r="AT12" s="560">
        <v>0</v>
      </c>
      <c r="AU12" s="560">
        <v>0</v>
      </c>
      <c r="AV12" s="560">
        <v>69</v>
      </c>
      <c r="AW12" s="560">
        <v>64</v>
      </c>
      <c r="AX12" s="560">
        <v>74</v>
      </c>
      <c r="AY12" s="560">
        <v>78</v>
      </c>
      <c r="AZ12" s="560">
        <v>1</v>
      </c>
      <c r="BA12" s="560">
        <v>2085</v>
      </c>
      <c r="BB12" s="560">
        <v>0</v>
      </c>
      <c r="BC12" s="560">
        <v>0.5</v>
      </c>
      <c r="BD12" s="560">
        <v>0</v>
      </c>
      <c r="BE12" s="560" t="s">
        <v>1715</v>
      </c>
      <c r="BF12" s="560">
        <v>2</v>
      </c>
      <c r="BG12" s="560">
        <v>13</v>
      </c>
      <c r="BH12" s="560">
        <v>1</v>
      </c>
      <c r="BI12" s="560">
        <v>2</v>
      </c>
      <c r="BJ12" s="560">
        <v>40</v>
      </c>
      <c r="BK12" s="560">
        <v>0</v>
      </c>
      <c r="BL12" s="560" t="s">
        <v>1716</v>
      </c>
      <c r="BM12" s="560">
        <v>0.05</v>
      </c>
      <c r="BN12" s="560">
        <v>200</v>
      </c>
      <c r="BO12" s="560">
        <v>20</v>
      </c>
      <c r="BP12" s="560" t="s">
        <v>1717</v>
      </c>
      <c r="BQ12" s="560">
        <v>0</v>
      </c>
      <c r="BR12" s="560">
        <v>0</v>
      </c>
      <c r="BS12" s="560">
        <v>555</v>
      </c>
      <c r="BT12" s="560">
        <v>1568</v>
      </c>
      <c r="BU12" s="560">
        <v>12544</v>
      </c>
      <c r="BV12" s="560">
        <v>0</v>
      </c>
      <c r="BW12" s="560">
        <v>0</v>
      </c>
      <c r="BX12" s="560">
        <v>1344</v>
      </c>
      <c r="BY12" s="560">
        <v>10.3</v>
      </c>
      <c r="BZ12" s="560">
        <v>1568</v>
      </c>
      <c r="CA12" s="560">
        <v>26.5</v>
      </c>
      <c r="CB12" s="560">
        <v>0.85</v>
      </c>
      <c r="CC12" s="560">
        <v>49</v>
      </c>
      <c r="CD12" s="560">
        <v>49</v>
      </c>
      <c r="CE12" s="560">
        <v>49</v>
      </c>
      <c r="CF12" s="560">
        <v>49</v>
      </c>
      <c r="CG12" s="560">
        <v>0.29299999999999998</v>
      </c>
      <c r="CH12" s="560">
        <v>0.3</v>
      </c>
      <c r="CI12" s="560">
        <v>0.54</v>
      </c>
      <c r="CJ12" s="560">
        <v>40</v>
      </c>
      <c r="CK12" s="560">
        <v>5</v>
      </c>
      <c r="CL12" s="560">
        <v>1</v>
      </c>
      <c r="CM12" s="562">
        <v>1568</v>
      </c>
      <c r="CN12" s="562">
        <v>168</v>
      </c>
      <c r="CO12" s="562">
        <v>15.8</v>
      </c>
      <c r="CP12" s="562">
        <v>0</v>
      </c>
      <c r="CQ12" s="562">
        <v>0</v>
      </c>
      <c r="CR12" s="562" t="s">
        <v>1718</v>
      </c>
      <c r="CS12" s="562">
        <v>0</v>
      </c>
      <c r="CT12" s="562">
        <v>0</v>
      </c>
      <c r="CU12" s="562">
        <v>0.75</v>
      </c>
      <c r="CV12" s="562">
        <v>2</v>
      </c>
      <c r="CW12" s="562">
        <v>1.75</v>
      </c>
      <c r="CX12" s="562">
        <v>1</v>
      </c>
      <c r="CY12" s="562">
        <v>0.65</v>
      </c>
      <c r="CZ12" s="560">
        <v>1463.4666669999999</v>
      </c>
      <c r="DA12" s="560">
        <v>8.5</v>
      </c>
      <c r="DB12" s="560" t="s">
        <v>1719</v>
      </c>
      <c r="DC12" s="560">
        <v>50</v>
      </c>
      <c r="DD12" s="560">
        <v>4</v>
      </c>
      <c r="DE12" s="560" t="s">
        <v>1720</v>
      </c>
      <c r="DF12" s="560">
        <v>5</v>
      </c>
      <c r="DG12" s="560">
        <v>0</v>
      </c>
      <c r="DH12" s="560">
        <v>4.5</v>
      </c>
      <c r="DI12" s="560">
        <v>4.5</v>
      </c>
      <c r="DJ12" s="560">
        <v>0</v>
      </c>
      <c r="DK12" s="560">
        <v>0</v>
      </c>
      <c r="DL12" s="560">
        <v>0</v>
      </c>
      <c r="DM12" s="560">
        <v>0</v>
      </c>
      <c r="DN12" s="560">
        <v>0</v>
      </c>
      <c r="DO12" s="560">
        <v>0</v>
      </c>
    </row>
    <row r="13" spans="1:119">
      <c r="A13" s="560" t="s">
        <v>1728</v>
      </c>
      <c r="B13" s="560" t="s">
        <v>1713</v>
      </c>
      <c r="C13" s="560" t="s">
        <v>779</v>
      </c>
      <c r="D13" s="560">
        <v>3</v>
      </c>
      <c r="E13" s="560">
        <v>340.87222600000001</v>
      </c>
      <c r="F13" s="560">
        <v>56.740200999999999</v>
      </c>
      <c r="G13" s="560">
        <v>6644.9655000000002</v>
      </c>
      <c r="H13" s="560">
        <v>139.9665</v>
      </c>
      <c r="I13" s="560">
        <v>0.91800700000000002</v>
      </c>
      <c r="J13" s="560">
        <v>0.287638</v>
      </c>
      <c r="K13" s="560">
        <v>0.30587199999999998</v>
      </c>
      <c r="L13" s="560">
        <v>0.437058</v>
      </c>
      <c r="M13" s="560">
        <v>10444.336239</v>
      </c>
      <c r="N13" s="560">
        <v>11794.235116</v>
      </c>
      <c r="O13" s="560">
        <v>4749.3090990000001</v>
      </c>
      <c r="P13" s="560">
        <v>661.78869499999996</v>
      </c>
      <c r="Q13" s="560">
        <v>286.85705999999999</v>
      </c>
      <c r="R13" s="560">
        <v>2239.2277920000001</v>
      </c>
      <c r="S13" s="560">
        <v>985.15839200000005</v>
      </c>
      <c r="T13" s="560">
        <v>1278.949689</v>
      </c>
      <c r="U13" s="560">
        <v>306.99070799999998</v>
      </c>
      <c r="V13" s="560">
        <v>53.226962</v>
      </c>
      <c r="W13" s="560">
        <v>17.529827000000001</v>
      </c>
      <c r="X13" s="560">
        <v>0</v>
      </c>
      <c r="Y13" s="560">
        <v>24.219055999999998</v>
      </c>
      <c r="Z13" s="560">
        <v>189.05577099999999</v>
      </c>
      <c r="AA13" s="560">
        <v>30214.068111</v>
      </c>
      <c r="AB13" s="560">
        <v>33836.808705000003</v>
      </c>
      <c r="AC13" s="560">
        <v>28434.209845000001</v>
      </c>
      <c r="AD13" s="560">
        <v>23319.435809999999</v>
      </c>
      <c r="AE13" s="560">
        <v>437.09545400000002</v>
      </c>
      <c r="AF13" s="560">
        <v>10335.371155000001</v>
      </c>
      <c r="AG13" s="560">
        <v>11930.051491</v>
      </c>
      <c r="AH13" s="560">
        <v>3578.1515209999998</v>
      </c>
      <c r="AI13" s="560">
        <v>0</v>
      </c>
      <c r="AJ13" s="560">
        <v>0</v>
      </c>
      <c r="AK13" s="560">
        <v>0</v>
      </c>
      <c r="AL13" s="560">
        <v>200.75</v>
      </c>
      <c r="AM13" s="560">
        <v>0</v>
      </c>
      <c r="AN13" s="560">
        <v>0</v>
      </c>
      <c r="AO13" s="560">
        <v>0</v>
      </c>
      <c r="AP13" s="560">
        <v>0</v>
      </c>
      <c r="AQ13" s="560" t="s">
        <v>1728</v>
      </c>
      <c r="AR13" s="560" t="s">
        <v>1729</v>
      </c>
      <c r="AS13" s="560">
        <v>0</v>
      </c>
      <c r="AT13" s="560">
        <v>0</v>
      </c>
      <c r="AU13" s="560">
        <v>0</v>
      </c>
      <c r="AV13" s="560">
        <v>69</v>
      </c>
      <c r="AW13" s="560">
        <v>64</v>
      </c>
      <c r="AX13" s="560">
        <v>74</v>
      </c>
      <c r="AY13" s="560">
        <v>78</v>
      </c>
      <c r="AZ13" s="560">
        <v>1</v>
      </c>
      <c r="BA13" s="560">
        <v>2085</v>
      </c>
      <c r="BB13" s="560">
        <v>0</v>
      </c>
      <c r="BC13" s="560">
        <v>0.5</v>
      </c>
      <c r="BD13" s="560">
        <v>0</v>
      </c>
      <c r="BE13" s="560" t="s">
        <v>1715</v>
      </c>
      <c r="BF13" s="560">
        <v>2</v>
      </c>
      <c r="BG13" s="560">
        <v>13</v>
      </c>
      <c r="BH13" s="560">
        <v>1</v>
      </c>
      <c r="BI13" s="560">
        <v>2</v>
      </c>
      <c r="BJ13" s="560">
        <v>40</v>
      </c>
      <c r="BK13" s="560">
        <v>0</v>
      </c>
      <c r="BL13" s="560" t="s">
        <v>1716</v>
      </c>
      <c r="BM13" s="560">
        <v>0.05</v>
      </c>
      <c r="BN13" s="560">
        <v>200</v>
      </c>
      <c r="BO13" s="560">
        <v>20</v>
      </c>
      <c r="BP13" s="560" t="s">
        <v>1717</v>
      </c>
      <c r="BQ13" s="560">
        <v>0</v>
      </c>
      <c r="BR13" s="560">
        <v>0</v>
      </c>
      <c r="BS13" s="560">
        <v>555</v>
      </c>
      <c r="BT13" s="560">
        <v>1568</v>
      </c>
      <c r="BU13" s="560">
        <v>12544</v>
      </c>
      <c r="BV13" s="560">
        <v>0</v>
      </c>
      <c r="BW13" s="560">
        <v>0</v>
      </c>
      <c r="BX13" s="560">
        <v>1344</v>
      </c>
      <c r="BY13" s="560">
        <v>12.82</v>
      </c>
      <c r="BZ13" s="560">
        <v>1568</v>
      </c>
      <c r="CA13" s="560">
        <v>26.5</v>
      </c>
      <c r="CB13" s="560">
        <v>0.85</v>
      </c>
      <c r="CC13" s="560">
        <v>49</v>
      </c>
      <c r="CD13" s="560">
        <v>49</v>
      </c>
      <c r="CE13" s="560">
        <v>49</v>
      </c>
      <c r="CF13" s="560">
        <v>49</v>
      </c>
      <c r="CG13" s="560">
        <v>0.29299999999999998</v>
      </c>
      <c r="CH13" s="560">
        <v>0.3</v>
      </c>
      <c r="CI13" s="560">
        <v>0.54</v>
      </c>
      <c r="CJ13" s="560">
        <v>40</v>
      </c>
      <c r="CK13" s="560">
        <v>5</v>
      </c>
      <c r="CL13" s="560">
        <v>1</v>
      </c>
      <c r="CM13" s="562">
        <v>1568</v>
      </c>
      <c r="CN13" s="562">
        <v>168</v>
      </c>
      <c r="CO13" s="562">
        <v>20.45</v>
      </c>
      <c r="CP13" s="562">
        <v>0</v>
      </c>
      <c r="CQ13" s="562">
        <v>0</v>
      </c>
      <c r="CR13" s="562" t="s">
        <v>1718</v>
      </c>
      <c r="CS13" s="562">
        <v>0</v>
      </c>
      <c r="CT13" s="562">
        <v>0</v>
      </c>
      <c r="CU13" s="562">
        <v>0.75</v>
      </c>
      <c r="CV13" s="562">
        <v>2</v>
      </c>
      <c r="CW13" s="562">
        <v>1.75</v>
      </c>
      <c r="CX13" s="562">
        <v>1</v>
      </c>
      <c r="CY13" s="562">
        <v>0.65</v>
      </c>
      <c r="CZ13" s="560">
        <v>1463.4666669999999</v>
      </c>
      <c r="DA13" s="560">
        <v>8.5</v>
      </c>
      <c r="DB13" s="560" t="s">
        <v>1719</v>
      </c>
      <c r="DC13" s="560">
        <v>50</v>
      </c>
      <c r="DD13" s="560">
        <v>4</v>
      </c>
      <c r="DE13" s="560" t="s">
        <v>1720</v>
      </c>
      <c r="DF13" s="560">
        <v>5</v>
      </c>
      <c r="DG13" s="560">
        <v>0</v>
      </c>
      <c r="DH13" s="560">
        <v>4.5</v>
      </c>
      <c r="DI13" s="560">
        <v>4.5</v>
      </c>
      <c r="DJ13" s="560">
        <v>0</v>
      </c>
      <c r="DK13" s="560">
        <v>0</v>
      </c>
      <c r="DL13" s="560">
        <v>0</v>
      </c>
      <c r="DM13" s="560">
        <v>0</v>
      </c>
      <c r="DN13" s="560">
        <v>0</v>
      </c>
      <c r="DO13" s="560">
        <v>0</v>
      </c>
    </row>
    <row r="14" spans="1:119">
      <c r="A14" s="560" t="s">
        <v>1730</v>
      </c>
      <c r="B14" s="560" t="s">
        <v>1713</v>
      </c>
      <c r="C14" s="560" t="s">
        <v>782</v>
      </c>
      <c r="D14" s="560">
        <v>3</v>
      </c>
      <c r="E14" s="560">
        <v>340.87222600000001</v>
      </c>
      <c r="F14" s="560">
        <v>56.740200999999999</v>
      </c>
      <c r="G14" s="560">
        <v>6644.9655000000002</v>
      </c>
      <c r="H14" s="560">
        <v>391.60199999999998</v>
      </c>
      <c r="I14" s="560">
        <v>0.91800700000000002</v>
      </c>
      <c r="J14" s="560">
        <v>0.287638</v>
      </c>
      <c r="K14" s="560">
        <v>0.30587199999999998</v>
      </c>
      <c r="L14" s="560">
        <v>0.437058</v>
      </c>
      <c r="M14" s="560">
        <v>10444.336239</v>
      </c>
      <c r="N14" s="560">
        <v>11794.235116</v>
      </c>
      <c r="O14" s="560">
        <v>4749.3090990000001</v>
      </c>
      <c r="P14" s="560">
        <v>661.78869499999996</v>
      </c>
      <c r="Q14" s="560">
        <v>286.85705999999999</v>
      </c>
      <c r="R14" s="560">
        <v>2239.2277920000001</v>
      </c>
      <c r="S14" s="560">
        <v>1788.1392940000001</v>
      </c>
      <c r="T14" s="560">
        <v>2184.393701</v>
      </c>
      <c r="U14" s="560">
        <v>565.17622900000003</v>
      </c>
      <c r="V14" s="560">
        <v>65.296589999999995</v>
      </c>
      <c r="W14" s="560">
        <v>11.887195</v>
      </c>
      <c r="X14" s="560">
        <v>0</v>
      </c>
      <c r="Y14" s="560">
        <v>42.894365000000001</v>
      </c>
      <c r="Z14" s="560">
        <v>334.83663899999999</v>
      </c>
      <c r="AA14" s="560">
        <v>30214.068111</v>
      </c>
      <c r="AB14" s="560">
        <v>33836.808705000003</v>
      </c>
      <c r="AC14" s="560">
        <v>28434.209845000001</v>
      </c>
      <c r="AD14" s="560">
        <v>23319.435809999999</v>
      </c>
      <c r="AE14" s="560">
        <v>437.09545400000002</v>
      </c>
      <c r="AF14" s="560">
        <v>13243.16944</v>
      </c>
      <c r="AG14" s="560">
        <v>15608.930437999999</v>
      </c>
      <c r="AH14" s="560">
        <v>5159.4441079999997</v>
      </c>
      <c r="AI14" s="560">
        <v>0</v>
      </c>
      <c r="AJ14" s="560">
        <v>0</v>
      </c>
      <c r="AK14" s="560">
        <v>0</v>
      </c>
      <c r="AL14" s="560">
        <v>200.75</v>
      </c>
      <c r="AM14" s="560">
        <v>0</v>
      </c>
      <c r="AN14" s="560">
        <v>0</v>
      </c>
      <c r="AO14" s="560">
        <v>0</v>
      </c>
      <c r="AP14" s="560">
        <v>0</v>
      </c>
      <c r="AQ14" s="560" t="s">
        <v>1730</v>
      </c>
      <c r="AR14" s="560" t="s">
        <v>1731</v>
      </c>
      <c r="AS14" s="560">
        <v>0</v>
      </c>
      <c r="AT14" s="560">
        <v>0</v>
      </c>
      <c r="AU14" s="560">
        <v>0</v>
      </c>
      <c r="AV14" s="560">
        <v>69</v>
      </c>
      <c r="AW14" s="560">
        <v>64</v>
      </c>
      <c r="AX14" s="560">
        <v>74</v>
      </c>
      <c r="AY14" s="560">
        <v>78</v>
      </c>
      <c r="AZ14" s="560">
        <v>1</v>
      </c>
      <c r="BA14" s="560">
        <v>2085</v>
      </c>
      <c r="BB14" s="560">
        <v>0</v>
      </c>
      <c r="BC14" s="560">
        <v>0.5</v>
      </c>
      <c r="BD14" s="560">
        <v>0</v>
      </c>
      <c r="BE14" s="560" t="s">
        <v>1715</v>
      </c>
      <c r="BF14" s="560">
        <v>2</v>
      </c>
      <c r="BG14" s="560">
        <v>13</v>
      </c>
      <c r="BH14" s="560">
        <v>1</v>
      </c>
      <c r="BI14" s="560">
        <v>2</v>
      </c>
      <c r="BJ14" s="560">
        <v>40</v>
      </c>
      <c r="BK14" s="560">
        <v>0</v>
      </c>
      <c r="BL14" s="560" t="s">
        <v>1716</v>
      </c>
      <c r="BM14" s="560">
        <v>0.05</v>
      </c>
      <c r="BN14" s="560">
        <v>200</v>
      </c>
      <c r="BO14" s="560">
        <v>20</v>
      </c>
      <c r="BP14" s="560" t="s">
        <v>1717</v>
      </c>
      <c r="BQ14" s="560">
        <v>0</v>
      </c>
      <c r="BR14" s="560">
        <v>0</v>
      </c>
      <c r="BS14" s="560">
        <v>555</v>
      </c>
      <c r="BT14" s="560">
        <v>1568</v>
      </c>
      <c r="BU14" s="560">
        <v>12544</v>
      </c>
      <c r="BV14" s="560">
        <v>0</v>
      </c>
      <c r="BW14" s="560">
        <v>0</v>
      </c>
      <c r="BX14" s="560">
        <v>1344</v>
      </c>
      <c r="BY14" s="560">
        <v>12.82</v>
      </c>
      <c r="BZ14" s="560">
        <v>1568</v>
      </c>
      <c r="CA14" s="560">
        <v>26.5</v>
      </c>
      <c r="CB14" s="560">
        <v>0.85</v>
      </c>
      <c r="CC14" s="560">
        <v>49</v>
      </c>
      <c r="CD14" s="560">
        <v>49</v>
      </c>
      <c r="CE14" s="560">
        <v>49</v>
      </c>
      <c r="CF14" s="560">
        <v>49</v>
      </c>
      <c r="CG14" s="560">
        <v>0.29299999999999998</v>
      </c>
      <c r="CH14" s="560">
        <v>0.3</v>
      </c>
      <c r="CI14" s="560">
        <v>0.54</v>
      </c>
      <c r="CJ14" s="560">
        <v>40</v>
      </c>
      <c r="CK14" s="560">
        <v>5</v>
      </c>
      <c r="CL14" s="560">
        <v>1</v>
      </c>
      <c r="CM14" s="562">
        <v>1568</v>
      </c>
      <c r="CN14" s="562">
        <v>168</v>
      </c>
      <c r="CO14" s="562">
        <v>20.45</v>
      </c>
      <c r="CP14" s="562">
        <v>0</v>
      </c>
      <c r="CQ14" s="562">
        <v>0</v>
      </c>
      <c r="CR14" s="562" t="s">
        <v>1718</v>
      </c>
      <c r="CS14" s="562">
        <v>0</v>
      </c>
      <c r="CT14" s="562">
        <v>0</v>
      </c>
      <c r="CU14" s="562">
        <v>0.75</v>
      </c>
      <c r="CV14" s="562">
        <v>2</v>
      </c>
      <c r="CW14" s="562">
        <v>1.75</v>
      </c>
      <c r="CX14" s="562">
        <v>1</v>
      </c>
      <c r="CY14" s="562">
        <v>0.65</v>
      </c>
      <c r="CZ14" s="560">
        <v>1463.4666669999999</v>
      </c>
      <c r="DA14" s="560">
        <v>8.5</v>
      </c>
      <c r="DB14" s="560" t="s">
        <v>1719</v>
      </c>
      <c r="DC14" s="560">
        <v>50</v>
      </c>
      <c r="DD14" s="560">
        <v>4</v>
      </c>
      <c r="DE14" s="560" t="s">
        <v>1720</v>
      </c>
      <c r="DF14" s="560">
        <v>5</v>
      </c>
      <c r="DG14" s="560">
        <v>0</v>
      </c>
      <c r="DH14" s="560">
        <v>4.5</v>
      </c>
      <c r="DI14" s="560">
        <v>4.5</v>
      </c>
      <c r="DJ14" s="560">
        <v>0</v>
      </c>
      <c r="DK14" s="560">
        <v>0</v>
      </c>
      <c r="DL14" s="560">
        <v>0</v>
      </c>
      <c r="DM14" s="560">
        <v>0</v>
      </c>
      <c r="DN14" s="560">
        <v>0</v>
      </c>
      <c r="DO14" s="560">
        <v>0</v>
      </c>
    </row>
    <row r="15" spans="1:119">
      <c r="A15" s="560" t="s">
        <v>1732</v>
      </c>
      <c r="B15" s="560" t="s">
        <v>1713</v>
      </c>
      <c r="C15" s="560" t="s">
        <v>785</v>
      </c>
      <c r="D15" s="560">
        <v>3</v>
      </c>
      <c r="E15" s="560">
        <v>340.87222600000001</v>
      </c>
      <c r="F15" s="560">
        <v>56.740200999999999</v>
      </c>
      <c r="G15" s="560">
        <v>6644.9655000000002</v>
      </c>
      <c r="H15" s="560">
        <v>755.94</v>
      </c>
      <c r="I15" s="560">
        <v>0.91800700000000002</v>
      </c>
      <c r="J15" s="560">
        <v>0.287638</v>
      </c>
      <c r="K15" s="560">
        <v>0.30587199999999998</v>
      </c>
      <c r="L15" s="560">
        <v>0.437058</v>
      </c>
      <c r="M15" s="560">
        <v>10444.336239</v>
      </c>
      <c r="N15" s="560">
        <v>11794.235116</v>
      </c>
      <c r="O15" s="560">
        <v>4749.3090990000001</v>
      </c>
      <c r="P15" s="560">
        <v>661.78869499999996</v>
      </c>
      <c r="Q15" s="560">
        <v>286.85705999999999</v>
      </c>
      <c r="R15" s="560">
        <v>2239.2277920000001</v>
      </c>
      <c r="S15" s="560">
        <v>2782.572435</v>
      </c>
      <c r="T15" s="560">
        <v>3252.8082899999999</v>
      </c>
      <c r="U15" s="560">
        <v>897.60377600000004</v>
      </c>
      <c r="V15" s="560">
        <v>65.016969000000003</v>
      </c>
      <c r="W15" s="560">
        <v>7.2433930000000002</v>
      </c>
      <c r="X15" s="560">
        <v>0</v>
      </c>
      <c r="Y15" s="560">
        <v>66.086341000000004</v>
      </c>
      <c r="Z15" s="560">
        <v>515.87495200000001</v>
      </c>
      <c r="AA15" s="560">
        <v>30214.068111</v>
      </c>
      <c r="AB15" s="560">
        <v>33836.808705000003</v>
      </c>
      <c r="AC15" s="560">
        <v>28434.209845000001</v>
      </c>
      <c r="AD15" s="560">
        <v>23319.435809999999</v>
      </c>
      <c r="AE15" s="560">
        <v>437.09545400000002</v>
      </c>
      <c r="AF15" s="560">
        <v>13776.209229</v>
      </c>
      <c r="AG15" s="560">
        <v>18208.685351</v>
      </c>
      <c r="AH15" s="560">
        <v>5462.7962699999998</v>
      </c>
      <c r="AI15" s="560">
        <v>0</v>
      </c>
      <c r="AJ15" s="560">
        <v>0</v>
      </c>
      <c r="AK15" s="560">
        <v>0</v>
      </c>
      <c r="AL15" s="560">
        <v>200.75</v>
      </c>
      <c r="AM15" s="560">
        <v>0</v>
      </c>
      <c r="AN15" s="560">
        <v>0</v>
      </c>
      <c r="AO15" s="560">
        <v>0</v>
      </c>
      <c r="AP15" s="560">
        <v>0</v>
      </c>
      <c r="AQ15" s="560" t="s">
        <v>1732</v>
      </c>
      <c r="AR15" s="560" t="s">
        <v>1733</v>
      </c>
      <c r="AS15" s="560">
        <v>0</v>
      </c>
      <c r="AT15" s="560">
        <v>0</v>
      </c>
      <c r="AU15" s="560">
        <v>0</v>
      </c>
      <c r="AV15" s="560">
        <v>69</v>
      </c>
      <c r="AW15" s="560">
        <v>64</v>
      </c>
      <c r="AX15" s="560">
        <v>74</v>
      </c>
      <c r="AY15" s="560">
        <v>78</v>
      </c>
      <c r="AZ15" s="560">
        <v>1</v>
      </c>
      <c r="BA15" s="560">
        <v>2085</v>
      </c>
      <c r="BB15" s="560">
        <v>0</v>
      </c>
      <c r="BC15" s="560">
        <v>0.5</v>
      </c>
      <c r="BD15" s="560">
        <v>0</v>
      </c>
      <c r="BE15" s="560" t="s">
        <v>1715</v>
      </c>
      <c r="BF15" s="560">
        <v>2</v>
      </c>
      <c r="BG15" s="560">
        <v>13</v>
      </c>
      <c r="BH15" s="560">
        <v>1</v>
      </c>
      <c r="BI15" s="560">
        <v>2</v>
      </c>
      <c r="BJ15" s="560">
        <v>40</v>
      </c>
      <c r="BK15" s="560">
        <v>0</v>
      </c>
      <c r="BL15" s="560" t="s">
        <v>1716</v>
      </c>
      <c r="BM15" s="560">
        <v>0.05</v>
      </c>
      <c r="BN15" s="560">
        <v>200</v>
      </c>
      <c r="BO15" s="560">
        <v>20</v>
      </c>
      <c r="BP15" s="560" t="s">
        <v>1717</v>
      </c>
      <c r="BQ15" s="560">
        <v>0</v>
      </c>
      <c r="BR15" s="560">
        <v>0</v>
      </c>
      <c r="BS15" s="560">
        <v>555</v>
      </c>
      <c r="BT15" s="560">
        <v>1568</v>
      </c>
      <c r="BU15" s="560">
        <v>12544</v>
      </c>
      <c r="BV15" s="560">
        <v>0</v>
      </c>
      <c r="BW15" s="560">
        <v>0</v>
      </c>
      <c r="BX15" s="560">
        <v>1344</v>
      </c>
      <c r="BY15" s="560">
        <v>12.82</v>
      </c>
      <c r="BZ15" s="560">
        <v>1568</v>
      </c>
      <c r="CA15" s="560">
        <v>26.5</v>
      </c>
      <c r="CB15" s="560">
        <v>0.85</v>
      </c>
      <c r="CC15" s="560">
        <v>49</v>
      </c>
      <c r="CD15" s="560">
        <v>49</v>
      </c>
      <c r="CE15" s="560">
        <v>49</v>
      </c>
      <c r="CF15" s="560">
        <v>49</v>
      </c>
      <c r="CG15" s="560">
        <v>0.29299999999999998</v>
      </c>
      <c r="CH15" s="560">
        <v>0.3</v>
      </c>
      <c r="CI15" s="560">
        <v>0.54</v>
      </c>
      <c r="CJ15" s="560">
        <v>40</v>
      </c>
      <c r="CK15" s="560">
        <v>5</v>
      </c>
      <c r="CL15" s="560">
        <v>1</v>
      </c>
      <c r="CM15" s="562">
        <v>1568</v>
      </c>
      <c r="CN15" s="562">
        <v>168</v>
      </c>
      <c r="CO15" s="562">
        <v>20.45</v>
      </c>
      <c r="CP15" s="562">
        <v>0</v>
      </c>
      <c r="CQ15" s="562">
        <v>0</v>
      </c>
      <c r="CR15" s="562" t="s">
        <v>1718</v>
      </c>
      <c r="CS15" s="562">
        <v>0</v>
      </c>
      <c r="CT15" s="562">
        <v>0</v>
      </c>
      <c r="CU15" s="562">
        <v>0.75</v>
      </c>
      <c r="CV15" s="562">
        <v>2</v>
      </c>
      <c r="CW15" s="562">
        <v>1.75</v>
      </c>
      <c r="CX15" s="562">
        <v>1</v>
      </c>
      <c r="CY15" s="562">
        <v>0.65</v>
      </c>
      <c r="CZ15" s="560">
        <v>1463.4666669999999</v>
      </c>
      <c r="DA15" s="560">
        <v>8.5</v>
      </c>
      <c r="DB15" s="560" t="s">
        <v>1719</v>
      </c>
      <c r="DC15" s="560">
        <v>50</v>
      </c>
      <c r="DD15" s="560">
        <v>4</v>
      </c>
      <c r="DE15" s="560" t="s">
        <v>1720</v>
      </c>
      <c r="DF15" s="560">
        <v>5</v>
      </c>
      <c r="DG15" s="560">
        <v>0</v>
      </c>
      <c r="DH15" s="560">
        <v>4.5</v>
      </c>
      <c r="DI15" s="560">
        <v>4.5</v>
      </c>
      <c r="DJ15" s="560">
        <v>0</v>
      </c>
      <c r="DK15" s="560">
        <v>0</v>
      </c>
      <c r="DL15" s="560">
        <v>0</v>
      </c>
      <c r="DM15" s="560">
        <v>0</v>
      </c>
      <c r="DN15" s="560">
        <v>0</v>
      </c>
      <c r="DO15" s="560">
        <v>0</v>
      </c>
    </row>
    <row r="16" spans="1:119">
      <c r="A16" s="560" t="s">
        <v>1734</v>
      </c>
      <c r="B16" s="560" t="s">
        <v>1713</v>
      </c>
      <c r="C16" s="560" t="s">
        <v>779</v>
      </c>
      <c r="D16" s="560">
        <v>3</v>
      </c>
      <c r="E16" s="560">
        <v>379.89995499999998</v>
      </c>
      <c r="F16" s="560">
        <v>57.779327000000002</v>
      </c>
      <c r="G16" s="560">
        <v>6644.9655000000002</v>
      </c>
      <c r="H16" s="560">
        <v>139.9665</v>
      </c>
      <c r="I16" s="560">
        <v>0.91800700000000002</v>
      </c>
      <c r="J16" s="560">
        <v>0.28993099999999999</v>
      </c>
      <c r="K16" s="560">
        <v>0.30567299999999997</v>
      </c>
      <c r="L16" s="560">
        <v>0.43951000000000001</v>
      </c>
      <c r="M16" s="560">
        <v>11965.821669000001</v>
      </c>
      <c r="N16" s="560">
        <v>13474.928662</v>
      </c>
      <c r="O16" s="560">
        <v>5476.1121860000003</v>
      </c>
      <c r="P16" s="560">
        <v>909.86321099999998</v>
      </c>
      <c r="Q16" s="560">
        <v>321.08395000000002</v>
      </c>
      <c r="R16" s="560">
        <v>2506.405467</v>
      </c>
      <c r="S16" s="560">
        <v>905.10513000000003</v>
      </c>
      <c r="T16" s="560">
        <v>1170.870377</v>
      </c>
      <c r="U16" s="560">
        <v>283.834363</v>
      </c>
      <c r="V16" s="560">
        <v>48.108611000000003</v>
      </c>
      <c r="W16" s="560">
        <v>17.182213999999998</v>
      </c>
      <c r="X16" s="560">
        <v>0</v>
      </c>
      <c r="Y16" s="560">
        <v>22.248494999999998</v>
      </c>
      <c r="Z16" s="560">
        <v>173.673429</v>
      </c>
      <c r="AA16" s="560">
        <v>31994.4054</v>
      </c>
      <c r="AB16" s="560">
        <v>35724.019400999998</v>
      </c>
      <c r="AC16" s="560">
        <v>30321.420539999999</v>
      </c>
      <c r="AD16" s="560">
        <v>25206.646506000001</v>
      </c>
      <c r="AE16" s="560">
        <v>437.09545400000002</v>
      </c>
      <c r="AF16" s="560">
        <v>10746.605669</v>
      </c>
      <c r="AG16" s="560">
        <v>12363.196264</v>
      </c>
      <c r="AH16" s="560">
        <v>3705.4073509999998</v>
      </c>
      <c r="AI16" s="560">
        <v>0</v>
      </c>
      <c r="AJ16" s="560">
        <v>0</v>
      </c>
      <c r="AK16" s="560">
        <v>0</v>
      </c>
      <c r="AL16" s="560">
        <v>200.75</v>
      </c>
      <c r="AM16" s="560">
        <v>0</v>
      </c>
      <c r="AN16" s="560">
        <v>0</v>
      </c>
      <c r="AO16" s="560">
        <v>0</v>
      </c>
      <c r="AP16" s="560">
        <v>0</v>
      </c>
      <c r="AQ16" s="560" t="s">
        <v>1734</v>
      </c>
      <c r="AR16" s="560" t="s">
        <v>1729</v>
      </c>
      <c r="AS16" s="560">
        <v>0</v>
      </c>
      <c r="AT16" s="560">
        <v>0</v>
      </c>
      <c r="AU16" s="560">
        <v>0</v>
      </c>
      <c r="AV16" s="560">
        <v>69</v>
      </c>
      <c r="AW16" s="560">
        <v>64</v>
      </c>
      <c r="AX16" s="560">
        <v>74</v>
      </c>
      <c r="AY16" s="560">
        <v>78</v>
      </c>
      <c r="AZ16" s="560">
        <v>1</v>
      </c>
      <c r="BA16" s="560">
        <v>2085</v>
      </c>
      <c r="BB16" s="560">
        <v>0</v>
      </c>
      <c r="BC16" s="560">
        <v>0.5</v>
      </c>
      <c r="BD16" s="560">
        <v>0</v>
      </c>
      <c r="BE16" s="560" t="s">
        <v>1715</v>
      </c>
      <c r="BF16" s="560">
        <v>2</v>
      </c>
      <c r="BG16" s="560">
        <v>13</v>
      </c>
      <c r="BH16" s="560">
        <v>1</v>
      </c>
      <c r="BI16" s="560">
        <v>2</v>
      </c>
      <c r="BJ16" s="560">
        <v>40</v>
      </c>
      <c r="BK16" s="560">
        <v>0</v>
      </c>
      <c r="BL16" s="560" t="s">
        <v>1716</v>
      </c>
      <c r="BM16" s="560">
        <v>0.05</v>
      </c>
      <c r="BN16" s="560">
        <v>200</v>
      </c>
      <c r="BO16" s="560">
        <v>20</v>
      </c>
      <c r="BP16" s="560" t="s">
        <v>1717</v>
      </c>
      <c r="BQ16" s="560">
        <v>0</v>
      </c>
      <c r="BR16" s="560">
        <v>0</v>
      </c>
      <c r="BS16" s="560">
        <v>555</v>
      </c>
      <c r="BT16" s="560">
        <v>1568</v>
      </c>
      <c r="BU16" s="560">
        <v>12544</v>
      </c>
      <c r="BV16" s="560">
        <v>0</v>
      </c>
      <c r="BW16" s="560">
        <v>0</v>
      </c>
      <c r="BX16" s="560">
        <v>1344</v>
      </c>
      <c r="BY16" s="560">
        <v>10.3</v>
      </c>
      <c r="BZ16" s="560">
        <v>1568</v>
      </c>
      <c r="CA16" s="560">
        <v>26.5</v>
      </c>
      <c r="CB16" s="560">
        <v>0.85</v>
      </c>
      <c r="CC16" s="560">
        <v>49</v>
      </c>
      <c r="CD16" s="560">
        <v>49</v>
      </c>
      <c r="CE16" s="560">
        <v>49</v>
      </c>
      <c r="CF16" s="560">
        <v>49</v>
      </c>
      <c r="CG16" s="560">
        <v>0.29299999999999998</v>
      </c>
      <c r="CH16" s="560">
        <v>0.3</v>
      </c>
      <c r="CI16" s="560">
        <v>0.54</v>
      </c>
      <c r="CJ16" s="560">
        <v>40</v>
      </c>
      <c r="CK16" s="560">
        <v>5</v>
      </c>
      <c r="CL16" s="560">
        <v>1</v>
      </c>
      <c r="CM16" s="562">
        <v>1568</v>
      </c>
      <c r="CN16" s="562">
        <v>168</v>
      </c>
      <c r="CO16" s="562">
        <v>15.8</v>
      </c>
      <c r="CP16" s="562">
        <v>0</v>
      </c>
      <c r="CQ16" s="562">
        <v>0</v>
      </c>
      <c r="CR16" s="562" t="s">
        <v>1718</v>
      </c>
      <c r="CS16" s="562">
        <v>0</v>
      </c>
      <c r="CT16" s="562">
        <v>0</v>
      </c>
      <c r="CU16" s="562">
        <v>0.75</v>
      </c>
      <c r="CV16" s="562">
        <v>2</v>
      </c>
      <c r="CW16" s="562">
        <v>1.75</v>
      </c>
      <c r="CX16" s="562">
        <v>1</v>
      </c>
      <c r="CY16" s="562">
        <v>0.65</v>
      </c>
      <c r="CZ16" s="560">
        <v>1463.4666669999999</v>
      </c>
      <c r="DA16" s="560">
        <v>8.5</v>
      </c>
      <c r="DB16" s="560" t="s">
        <v>1719</v>
      </c>
      <c r="DC16" s="560">
        <v>50</v>
      </c>
      <c r="DD16" s="560">
        <v>4</v>
      </c>
      <c r="DE16" s="560" t="s">
        <v>1720</v>
      </c>
      <c r="DF16" s="560">
        <v>5</v>
      </c>
      <c r="DG16" s="560">
        <v>0</v>
      </c>
      <c r="DH16" s="560">
        <v>4.5</v>
      </c>
      <c r="DI16" s="560">
        <v>4.5</v>
      </c>
      <c r="DJ16" s="560">
        <v>0</v>
      </c>
      <c r="DK16" s="560">
        <v>0</v>
      </c>
      <c r="DL16" s="560">
        <v>0</v>
      </c>
      <c r="DM16" s="560">
        <v>0</v>
      </c>
      <c r="DN16" s="560">
        <v>0</v>
      </c>
      <c r="DO16" s="560">
        <v>0</v>
      </c>
    </row>
    <row r="17" spans="1:119">
      <c r="A17" s="560" t="s">
        <v>1735</v>
      </c>
      <c r="B17" s="560" t="s">
        <v>1713</v>
      </c>
      <c r="C17" s="560" t="s">
        <v>782</v>
      </c>
      <c r="D17" s="560">
        <v>3</v>
      </c>
      <c r="E17" s="560">
        <v>379.89995499999998</v>
      </c>
      <c r="F17" s="560">
        <v>57.779327000000002</v>
      </c>
      <c r="G17" s="560">
        <v>6644.9655000000002</v>
      </c>
      <c r="H17" s="560">
        <v>391.60199999999998</v>
      </c>
      <c r="I17" s="560">
        <v>0.91800700000000002</v>
      </c>
      <c r="J17" s="560">
        <v>0.28993099999999999</v>
      </c>
      <c r="K17" s="560">
        <v>0.30567299999999997</v>
      </c>
      <c r="L17" s="560">
        <v>0.43951000000000001</v>
      </c>
      <c r="M17" s="560">
        <v>11965.821669000001</v>
      </c>
      <c r="N17" s="560">
        <v>13474.928662</v>
      </c>
      <c r="O17" s="560">
        <v>5476.1121860000003</v>
      </c>
      <c r="P17" s="560">
        <v>909.86321099999998</v>
      </c>
      <c r="Q17" s="560">
        <v>321.08395000000002</v>
      </c>
      <c r="R17" s="560">
        <v>2506.405467</v>
      </c>
      <c r="S17" s="560">
        <v>1732.271767</v>
      </c>
      <c r="T17" s="560">
        <v>2108.0789220000001</v>
      </c>
      <c r="U17" s="560">
        <v>549.97146099999998</v>
      </c>
      <c r="V17" s="560">
        <v>61.239458999999997</v>
      </c>
      <c r="W17" s="560">
        <v>11.507939</v>
      </c>
      <c r="X17" s="560">
        <v>0</v>
      </c>
      <c r="Y17" s="560">
        <v>41.527133999999997</v>
      </c>
      <c r="Z17" s="560">
        <v>324.16393499999998</v>
      </c>
      <c r="AA17" s="560">
        <v>31994.4054</v>
      </c>
      <c r="AB17" s="560">
        <v>35724.019400999998</v>
      </c>
      <c r="AC17" s="560">
        <v>30321.420539999999</v>
      </c>
      <c r="AD17" s="560">
        <v>25206.646506000001</v>
      </c>
      <c r="AE17" s="560">
        <v>437.09545400000002</v>
      </c>
      <c r="AF17" s="560">
        <v>13896.193626</v>
      </c>
      <c r="AG17" s="560">
        <v>16197.463240999999</v>
      </c>
      <c r="AH17" s="560">
        <v>5384.9454059999998</v>
      </c>
      <c r="AI17" s="560">
        <v>0</v>
      </c>
      <c r="AJ17" s="560">
        <v>0</v>
      </c>
      <c r="AK17" s="560">
        <v>0</v>
      </c>
      <c r="AL17" s="560">
        <v>200.75</v>
      </c>
      <c r="AM17" s="560">
        <v>0</v>
      </c>
      <c r="AN17" s="560">
        <v>0</v>
      </c>
      <c r="AO17" s="560">
        <v>0</v>
      </c>
      <c r="AP17" s="560">
        <v>0</v>
      </c>
      <c r="AQ17" s="560" t="s">
        <v>1735</v>
      </c>
      <c r="AR17" s="560" t="s">
        <v>1731</v>
      </c>
      <c r="AS17" s="560">
        <v>0</v>
      </c>
      <c r="AT17" s="560">
        <v>0</v>
      </c>
      <c r="AU17" s="560">
        <v>0</v>
      </c>
      <c r="AV17" s="560">
        <v>69</v>
      </c>
      <c r="AW17" s="560">
        <v>64</v>
      </c>
      <c r="AX17" s="560">
        <v>74</v>
      </c>
      <c r="AY17" s="560">
        <v>78</v>
      </c>
      <c r="AZ17" s="560">
        <v>1</v>
      </c>
      <c r="BA17" s="560">
        <v>2085</v>
      </c>
      <c r="BB17" s="560">
        <v>0</v>
      </c>
      <c r="BC17" s="560">
        <v>0.5</v>
      </c>
      <c r="BD17" s="560">
        <v>0</v>
      </c>
      <c r="BE17" s="560" t="s">
        <v>1715</v>
      </c>
      <c r="BF17" s="560">
        <v>2</v>
      </c>
      <c r="BG17" s="560">
        <v>13</v>
      </c>
      <c r="BH17" s="560">
        <v>1</v>
      </c>
      <c r="BI17" s="560">
        <v>2</v>
      </c>
      <c r="BJ17" s="560">
        <v>40</v>
      </c>
      <c r="BK17" s="560">
        <v>0</v>
      </c>
      <c r="BL17" s="560" t="s">
        <v>1716</v>
      </c>
      <c r="BM17" s="560">
        <v>0.05</v>
      </c>
      <c r="BN17" s="560">
        <v>200</v>
      </c>
      <c r="BO17" s="560">
        <v>20</v>
      </c>
      <c r="BP17" s="560" t="s">
        <v>1717</v>
      </c>
      <c r="BQ17" s="560">
        <v>0</v>
      </c>
      <c r="BR17" s="560">
        <v>0</v>
      </c>
      <c r="BS17" s="560">
        <v>555</v>
      </c>
      <c r="BT17" s="560">
        <v>1568</v>
      </c>
      <c r="BU17" s="560">
        <v>12544</v>
      </c>
      <c r="BV17" s="560">
        <v>0</v>
      </c>
      <c r="BW17" s="560">
        <v>0</v>
      </c>
      <c r="BX17" s="560">
        <v>1344</v>
      </c>
      <c r="BY17" s="560">
        <v>10.3</v>
      </c>
      <c r="BZ17" s="560">
        <v>1568</v>
      </c>
      <c r="CA17" s="560">
        <v>26.5</v>
      </c>
      <c r="CB17" s="560">
        <v>0.85</v>
      </c>
      <c r="CC17" s="560">
        <v>49</v>
      </c>
      <c r="CD17" s="560">
        <v>49</v>
      </c>
      <c r="CE17" s="560">
        <v>49</v>
      </c>
      <c r="CF17" s="560">
        <v>49</v>
      </c>
      <c r="CG17" s="560">
        <v>0.29299999999999998</v>
      </c>
      <c r="CH17" s="560">
        <v>0.3</v>
      </c>
      <c r="CI17" s="560">
        <v>0.54</v>
      </c>
      <c r="CJ17" s="560">
        <v>40</v>
      </c>
      <c r="CK17" s="560">
        <v>5</v>
      </c>
      <c r="CL17" s="560">
        <v>1</v>
      </c>
      <c r="CM17" s="562">
        <v>1568</v>
      </c>
      <c r="CN17" s="562">
        <v>168</v>
      </c>
      <c r="CO17" s="562">
        <v>15.8</v>
      </c>
      <c r="CP17" s="562">
        <v>0</v>
      </c>
      <c r="CQ17" s="562">
        <v>0</v>
      </c>
      <c r="CR17" s="562" t="s">
        <v>1718</v>
      </c>
      <c r="CS17" s="562">
        <v>0</v>
      </c>
      <c r="CT17" s="562">
        <v>0</v>
      </c>
      <c r="CU17" s="562">
        <v>0.75</v>
      </c>
      <c r="CV17" s="562">
        <v>2</v>
      </c>
      <c r="CW17" s="562">
        <v>1.75</v>
      </c>
      <c r="CX17" s="562">
        <v>1</v>
      </c>
      <c r="CY17" s="562">
        <v>0.65</v>
      </c>
      <c r="CZ17" s="560">
        <v>1463.4666669999999</v>
      </c>
      <c r="DA17" s="560">
        <v>8.5</v>
      </c>
      <c r="DB17" s="560" t="s">
        <v>1719</v>
      </c>
      <c r="DC17" s="560">
        <v>50</v>
      </c>
      <c r="DD17" s="560">
        <v>4</v>
      </c>
      <c r="DE17" s="560" t="s">
        <v>1720</v>
      </c>
      <c r="DF17" s="560">
        <v>5</v>
      </c>
      <c r="DG17" s="560">
        <v>0</v>
      </c>
      <c r="DH17" s="560">
        <v>4.5</v>
      </c>
      <c r="DI17" s="560">
        <v>4.5</v>
      </c>
      <c r="DJ17" s="560">
        <v>0</v>
      </c>
      <c r="DK17" s="560">
        <v>0</v>
      </c>
      <c r="DL17" s="560">
        <v>0</v>
      </c>
      <c r="DM17" s="560">
        <v>0</v>
      </c>
      <c r="DN17" s="560">
        <v>0</v>
      </c>
      <c r="DO17" s="560">
        <v>0</v>
      </c>
    </row>
    <row r="18" spans="1:119">
      <c r="A18" s="560" t="s">
        <v>1736</v>
      </c>
      <c r="B18" s="560" t="s">
        <v>1713</v>
      </c>
      <c r="C18" s="560" t="s">
        <v>785</v>
      </c>
      <c r="D18" s="560">
        <v>3</v>
      </c>
      <c r="E18" s="560">
        <v>379.89995499999998</v>
      </c>
      <c r="F18" s="560">
        <v>57.779327000000002</v>
      </c>
      <c r="G18" s="560">
        <v>6644.9655000000002</v>
      </c>
      <c r="H18" s="560">
        <v>755.94</v>
      </c>
      <c r="I18" s="560">
        <v>0.91800700000000002</v>
      </c>
      <c r="J18" s="560">
        <v>0.28993099999999999</v>
      </c>
      <c r="K18" s="560">
        <v>0.30567299999999997</v>
      </c>
      <c r="L18" s="560">
        <v>0.43951000000000001</v>
      </c>
      <c r="M18" s="560">
        <v>11965.821669000001</v>
      </c>
      <c r="N18" s="560">
        <v>13474.928662</v>
      </c>
      <c r="O18" s="560">
        <v>5476.1121860000003</v>
      </c>
      <c r="P18" s="560">
        <v>909.86321099999998</v>
      </c>
      <c r="Q18" s="560">
        <v>321.08395000000002</v>
      </c>
      <c r="R18" s="560">
        <v>2506.405467</v>
      </c>
      <c r="S18" s="560">
        <v>2766.0102900000002</v>
      </c>
      <c r="T18" s="560">
        <v>3225.2216830000002</v>
      </c>
      <c r="U18" s="560">
        <v>896.45154300000002</v>
      </c>
      <c r="V18" s="560">
        <v>62.113759999999999</v>
      </c>
      <c r="W18" s="560">
        <v>6.9288470000000002</v>
      </c>
      <c r="X18" s="560">
        <v>0</v>
      </c>
      <c r="Y18" s="560">
        <v>65.702172000000004</v>
      </c>
      <c r="Z18" s="560">
        <v>512.87609899999995</v>
      </c>
      <c r="AA18" s="560">
        <v>31994.4054</v>
      </c>
      <c r="AB18" s="560">
        <v>35724.019400999998</v>
      </c>
      <c r="AC18" s="560">
        <v>30321.420539999999</v>
      </c>
      <c r="AD18" s="560">
        <v>25206.646506000001</v>
      </c>
      <c r="AE18" s="560">
        <v>437.09545400000002</v>
      </c>
      <c r="AF18" s="560">
        <v>14499.260633</v>
      </c>
      <c r="AG18" s="560">
        <v>17969.45968</v>
      </c>
      <c r="AH18" s="560">
        <v>5736.3333050000001</v>
      </c>
      <c r="AI18" s="560">
        <v>0</v>
      </c>
      <c r="AJ18" s="560">
        <v>0</v>
      </c>
      <c r="AK18" s="560">
        <v>0</v>
      </c>
      <c r="AL18" s="560">
        <v>200.75</v>
      </c>
      <c r="AM18" s="560">
        <v>0</v>
      </c>
      <c r="AN18" s="560">
        <v>0</v>
      </c>
      <c r="AO18" s="560">
        <v>0</v>
      </c>
      <c r="AP18" s="560">
        <v>0</v>
      </c>
      <c r="AQ18" s="560" t="s">
        <v>1736</v>
      </c>
      <c r="AR18" s="560" t="s">
        <v>1733</v>
      </c>
      <c r="AS18" s="560">
        <v>0</v>
      </c>
      <c r="AT18" s="560">
        <v>0</v>
      </c>
      <c r="AU18" s="560">
        <v>0</v>
      </c>
      <c r="AV18" s="560">
        <v>69</v>
      </c>
      <c r="AW18" s="560">
        <v>64</v>
      </c>
      <c r="AX18" s="560">
        <v>74</v>
      </c>
      <c r="AY18" s="560">
        <v>78</v>
      </c>
      <c r="AZ18" s="560">
        <v>1</v>
      </c>
      <c r="BA18" s="560">
        <v>2085</v>
      </c>
      <c r="BB18" s="560">
        <v>0</v>
      </c>
      <c r="BC18" s="560">
        <v>0.5</v>
      </c>
      <c r="BD18" s="560">
        <v>0</v>
      </c>
      <c r="BE18" s="560" t="s">
        <v>1715</v>
      </c>
      <c r="BF18" s="560">
        <v>2</v>
      </c>
      <c r="BG18" s="560">
        <v>13</v>
      </c>
      <c r="BH18" s="560">
        <v>1</v>
      </c>
      <c r="BI18" s="560">
        <v>2</v>
      </c>
      <c r="BJ18" s="560">
        <v>40</v>
      </c>
      <c r="BK18" s="560">
        <v>0</v>
      </c>
      <c r="BL18" s="560" t="s">
        <v>1716</v>
      </c>
      <c r="BM18" s="560">
        <v>0.05</v>
      </c>
      <c r="BN18" s="560">
        <v>200</v>
      </c>
      <c r="BO18" s="560">
        <v>20</v>
      </c>
      <c r="BP18" s="560" t="s">
        <v>1717</v>
      </c>
      <c r="BQ18" s="560">
        <v>0</v>
      </c>
      <c r="BR18" s="560">
        <v>0</v>
      </c>
      <c r="BS18" s="560">
        <v>555</v>
      </c>
      <c r="BT18" s="560">
        <v>1568</v>
      </c>
      <c r="BU18" s="560">
        <v>12544</v>
      </c>
      <c r="BV18" s="560">
        <v>0</v>
      </c>
      <c r="BW18" s="560">
        <v>0</v>
      </c>
      <c r="BX18" s="560">
        <v>1344</v>
      </c>
      <c r="BY18" s="560">
        <v>10.3</v>
      </c>
      <c r="BZ18" s="560">
        <v>1568</v>
      </c>
      <c r="CA18" s="560">
        <v>26.5</v>
      </c>
      <c r="CB18" s="560">
        <v>0.85</v>
      </c>
      <c r="CC18" s="560">
        <v>49</v>
      </c>
      <c r="CD18" s="560">
        <v>49</v>
      </c>
      <c r="CE18" s="560">
        <v>49</v>
      </c>
      <c r="CF18" s="560">
        <v>49</v>
      </c>
      <c r="CG18" s="560">
        <v>0.29299999999999998</v>
      </c>
      <c r="CH18" s="560">
        <v>0.3</v>
      </c>
      <c r="CI18" s="560">
        <v>0.54</v>
      </c>
      <c r="CJ18" s="560">
        <v>40</v>
      </c>
      <c r="CK18" s="560">
        <v>5</v>
      </c>
      <c r="CL18" s="560">
        <v>1</v>
      </c>
      <c r="CM18" s="562">
        <v>1568</v>
      </c>
      <c r="CN18" s="562">
        <v>168</v>
      </c>
      <c r="CO18" s="562">
        <v>15.8</v>
      </c>
      <c r="CP18" s="562">
        <v>0</v>
      </c>
      <c r="CQ18" s="562">
        <v>0</v>
      </c>
      <c r="CR18" s="562" t="s">
        <v>1718</v>
      </c>
      <c r="CS18" s="562">
        <v>0</v>
      </c>
      <c r="CT18" s="562">
        <v>0</v>
      </c>
      <c r="CU18" s="562">
        <v>0.75</v>
      </c>
      <c r="CV18" s="562">
        <v>2</v>
      </c>
      <c r="CW18" s="562">
        <v>1.75</v>
      </c>
      <c r="CX18" s="562">
        <v>1</v>
      </c>
      <c r="CY18" s="562">
        <v>0.65</v>
      </c>
      <c r="CZ18" s="560">
        <v>1463.4666669999999</v>
      </c>
      <c r="DA18" s="560">
        <v>8.5</v>
      </c>
      <c r="DB18" s="560" t="s">
        <v>1719</v>
      </c>
      <c r="DC18" s="560">
        <v>50</v>
      </c>
      <c r="DD18" s="560">
        <v>4</v>
      </c>
      <c r="DE18" s="560" t="s">
        <v>1720</v>
      </c>
      <c r="DF18" s="560">
        <v>5</v>
      </c>
      <c r="DG18" s="560">
        <v>0</v>
      </c>
      <c r="DH18" s="560">
        <v>4.5</v>
      </c>
      <c r="DI18" s="560">
        <v>4.5</v>
      </c>
      <c r="DJ18" s="560">
        <v>0</v>
      </c>
      <c r="DK18" s="560">
        <v>0</v>
      </c>
      <c r="DL18" s="560">
        <v>0</v>
      </c>
      <c r="DM18" s="560">
        <v>0</v>
      </c>
      <c r="DN18" s="560">
        <v>0</v>
      </c>
      <c r="DO18" s="560">
        <v>0</v>
      </c>
    </row>
    <row r="19" spans="1:119">
      <c r="A19" s="560" t="s">
        <v>1737</v>
      </c>
      <c r="B19" s="560" t="s">
        <v>1713</v>
      </c>
      <c r="C19" s="560" t="s">
        <v>794</v>
      </c>
      <c r="D19" s="560">
        <v>3</v>
      </c>
      <c r="E19" s="560">
        <v>338.600503</v>
      </c>
      <c r="F19" s="560">
        <v>56.329090999999998</v>
      </c>
      <c r="G19" s="560">
        <v>7927.5</v>
      </c>
      <c r="H19" s="560">
        <v>139.9665</v>
      </c>
      <c r="I19" s="560">
        <v>0.90101900000000001</v>
      </c>
      <c r="J19" s="560">
        <v>0.28312199999999998</v>
      </c>
      <c r="K19" s="560">
        <v>0.30088199999999998</v>
      </c>
      <c r="L19" s="560">
        <v>0.44377499999999998</v>
      </c>
      <c r="M19" s="560">
        <v>12854.288884</v>
      </c>
      <c r="N19" s="560">
        <v>14626.48641</v>
      </c>
      <c r="O19" s="560">
        <v>6537.5637049999996</v>
      </c>
      <c r="P19" s="560">
        <v>1484.5853689999999</v>
      </c>
      <c r="Q19" s="560">
        <v>362.19864699999999</v>
      </c>
      <c r="R19" s="560">
        <v>2827.3498880000002</v>
      </c>
      <c r="S19" s="560">
        <v>985.15839200000005</v>
      </c>
      <c r="T19" s="560">
        <v>1278.949689</v>
      </c>
      <c r="U19" s="560">
        <v>306.99070799999998</v>
      </c>
      <c r="V19" s="560">
        <v>53.226962</v>
      </c>
      <c r="W19" s="560">
        <v>17.529827000000001</v>
      </c>
      <c r="X19" s="560">
        <v>0</v>
      </c>
      <c r="Y19" s="560">
        <v>24.219055999999998</v>
      </c>
      <c r="Z19" s="560">
        <v>189.05577099999999</v>
      </c>
      <c r="AA19" s="560">
        <v>32130.234797000001</v>
      </c>
      <c r="AB19" s="560">
        <v>35833.087555999999</v>
      </c>
      <c r="AC19" s="560">
        <v>31817.083954999998</v>
      </c>
      <c r="AD19" s="560">
        <v>26889.594550999998</v>
      </c>
      <c r="AE19" s="560">
        <v>437.09545400000002</v>
      </c>
      <c r="AF19" s="560">
        <v>10335.371155000001</v>
      </c>
      <c r="AG19" s="560">
        <v>11930.051491</v>
      </c>
      <c r="AH19" s="560">
        <v>3578.1515209999998</v>
      </c>
      <c r="AI19" s="560">
        <v>0</v>
      </c>
      <c r="AJ19" s="560">
        <v>0</v>
      </c>
      <c r="AK19" s="560">
        <v>0</v>
      </c>
      <c r="AL19" s="560">
        <v>200.75</v>
      </c>
      <c r="AM19" s="560">
        <v>0</v>
      </c>
      <c r="AN19" s="560">
        <v>0</v>
      </c>
      <c r="AO19" s="560">
        <v>0</v>
      </c>
      <c r="AP19" s="560">
        <v>0</v>
      </c>
      <c r="AQ19" s="560" t="s">
        <v>1737</v>
      </c>
      <c r="AR19" s="560" t="s">
        <v>1738</v>
      </c>
      <c r="AS19" s="560">
        <v>0</v>
      </c>
      <c r="AT19" s="560">
        <v>0</v>
      </c>
      <c r="AU19" s="560">
        <v>0</v>
      </c>
      <c r="AV19" s="560">
        <v>69</v>
      </c>
      <c r="AW19" s="560">
        <v>64</v>
      </c>
      <c r="AX19" s="560">
        <v>74</v>
      </c>
      <c r="AY19" s="560">
        <v>78</v>
      </c>
      <c r="AZ19" s="560">
        <v>1</v>
      </c>
      <c r="BA19" s="560">
        <v>2085</v>
      </c>
      <c r="BB19" s="560">
        <v>0</v>
      </c>
      <c r="BC19" s="560">
        <v>0.5</v>
      </c>
      <c r="BD19" s="560">
        <v>0</v>
      </c>
      <c r="BE19" s="560" t="s">
        <v>1715</v>
      </c>
      <c r="BF19" s="560">
        <v>2</v>
      </c>
      <c r="BG19" s="560">
        <v>13</v>
      </c>
      <c r="BH19" s="560">
        <v>1</v>
      </c>
      <c r="BI19" s="560">
        <v>2</v>
      </c>
      <c r="BJ19" s="560">
        <v>40</v>
      </c>
      <c r="BK19" s="560">
        <v>0</v>
      </c>
      <c r="BL19" s="560" t="s">
        <v>1716</v>
      </c>
      <c r="BM19" s="560">
        <v>0.05</v>
      </c>
      <c r="BN19" s="560">
        <v>200</v>
      </c>
      <c r="BO19" s="560">
        <v>20</v>
      </c>
      <c r="BP19" s="560" t="s">
        <v>1717</v>
      </c>
      <c r="BQ19" s="560">
        <v>0</v>
      </c>
      <c r="BR19" s="560">
        <v>0</v>
      </c>
      <c r="BS19" s="560">
        <v>555</v>
      </c>
      <c r="BT19" s="560">
        <v>1568</v>
      </c>
      <c r="BU19" s="560">
        <v>12544</v>
      </c>
      <c r="BV19" s="560">
        <v>0</v>
      </c>
      <c r="BW19" s="560">
        <v>0</v>
      </c>
      <c r="BX19" s="560">
        <v>1344</v>
      </c>
      <c r="BY19" s="560">
        <v>12.82</v>
      </c>
      <c r="BZ19" s="560">
        <v>1568</v>
      </c>
      <c r="CA19" s="560">
        <v>26.5</v>
      </c>
      <c r="CB19" s="560">
        <v>0.85</v>
      </c>
      <c r="CC19" s="560">
        <v>49</v>
      </c>
      <c r="CD19" s="560">
        <v>49</v>
      </c>
      <c r="CE19" s="560">
        <v>49</v>
      </c>
      <c r="CF19" s="560">
        <v>49</v>
      </c>
      <c r="CG19" s="560">
        <v>0.29299999999999998</v>
      </c>
      <c r="CH19" s="560">
        <v>0.3</v>
      </c>
      <c r="CI19" s="560">
        <v>0.54</v>
      </c>
      <c r="CJ19" s="560">
        <v>40</v>
      </c>
      <c r="CK19" s="560">
        <v>5</v>
      </c>
      <c r="CL19" s="560">
        <v>1</v>
      </c>
      <c r="CM19" s="562">
        <v>1568</v>
      </c>
      <c r="CN19" s="562">
        <v>168</v>
      </c>
      <c r="CO19" s="562">
        <v>20.45</v>
      </c>
      <c r="CP19" s="562">
        <v>0</v>
      </c>
      <c r="CQ19" s="562">
        <v>0</v>
      </c>
      <c r="CR19" s="562" t="s">
        <v>1718</v>
      </c>
      <c r="CS19" s="562">
        <v>0</v>
      </c>
      <c r="CT19" s="562">
        <v>0</v>
      </c>
      <c r="CU19" s="562">
        <v>0.75</v>
      </c>
      <c r="CV19" s="562">
        <v>2</v>
      </c>
      <c r="CW19" s="562">
        <v>1.75</v>
      </c>
      <c r="CX19" s="562">
        <v>1</v>
      </c>
      <c r="CY19" s="562">
        <v>0.65</v>
      </c>
      <c r="CZ19" s="560">
        <v>1463.4666669999999</v>
      </c>
      <c r="DA19" s="560">
        <v>8.5</v>
      </c>
      <c r="DB19" s="560" t="s">
        <v>1719</v>
      </c>
      <c r="DC19" s="560">
        <v>50</v>
      </c>
      <c r="DD19" s="560">
        <v>4</v>
      </c>
      <c r="DE19" s="560" t="s">
        <v>1720</v>
      </c>
      <c r="DF19" s="560">
        <v>5</v>
      </c>
      <c r="DG19" s="560">
        <v>0</v>
      </c>
      <c r="DH19" s="560">
        <v>4.5</v>
      </c>
      <c r="DI19" s="560">
        <v>4.5</v>
      </c>
      <c r="DJ19" s="560">
        <v>0</v>
      </c>
      <c r="DK19" s="560">
        <v>0</v>
      </c>
      <c r="DL19" s="560">
        <v>0</v>
      </c>
      <c r="DM19" s="560">
        <v>0</v>
      </c>
      <c r="DN19" s="560">
        <v>0</v>
      </c>
      <c r="DO19" s="560">
        <v>0</v>
      </c>
    </row>
    <row r="20" spans="1:119">
      <c r="A20" s="560" t="s">
        <v>1739</v>
      </c>
      <c r="B20" s="560" t="s">
        <v>1713</v>
      </c>
      <c r="C20" s="560" t="s">
        <v>797</v>
      </c>
      <c r="D20" s="560">
        <v>3</v>
      </c>
      <c r="E20" s="560">
        <v>338.600503</v>
      </c>
      <c r="F20" s="560">
        <v>56.329090999999998</v>
      </c>
      <c r="G20" s="560">
        <v>7927.5</v>
      </c>
      <c r="H20" s="560">
        <v>391.60199999999998</v>
      </c>
      <c r="I20" s="560">
        <v>0.90101900000000001</v>
      </c>
      <c r="J20" s="560">
        <v>0.28312199999999998</v>
      </c>
      <c r="K20" s="560">
        <v>0.30088199999999998</v>
      </c>
      <c r="L20" s="560">
        <v>0.44377499999999998</v>
      </c>
      <c r="M20" s="560">
        <v>12854.288884</v>
      </c>
      <c r="N20" s="560">
        <v>14626.48641</v>
      </c>
      <c r="O20" s="560">
        <v>6537.5637049999996</v>
      </c>
      <c r="P20" s="560">
        <v>1484.5853689999999</v>
      </c>
      <c r="Q20" s="560">
        <v>362.19864699999999</v>
      </c>
      <c r="R20" s="560">
        <v>2827.3498880000002</v>
      </c>
      <c r="S20" s="560">
        <v>1788.1392940000001</v>
      </c>
      <c r="T20" s="560">
        <v>2184.393701</v>
      </c>
      <c r="U20" s="560">
        <v>565.17622900000003</v>
      </c>
      <c r="V20" s="560">
        <v>65.296589999999995</v>
      </c>
      <c r="W20" s="560">
        <v>11.887195</v>
      </c>
      <c r="X20" s="560">
        <v>0</v>
      </c>
      <c r="Y20" s="560">
        <v>42.894365000000001</v>
      </c>
      <c r="Z20" s="560">
        <v>334.83663899999999</v>
      </c>
      <c r="AA20" s="560">
        <v>32130.234797000001</v>
      </c>
      <c r="AB20" s="560">
        <v>35833.087555999999</v>
      </c>
      <c r="AC20" s="560">
        <v>31817.083954999998</v>
      </c>
      <c r="AD20" s="560">
        <v>26889.594550999998</v>
      </c>
      <c r="AE20" s="560">
        <v>437.09545400000002</v>
      </c>
      <c r="AF20" s="560">
        <v>13243.16944</v>
      </c>
      <c r="AG20" s="560">
        <v>15608.930437999999</v>
      </c>
      <c r="AH20" s="560">
        <v>5159.4441079999997</v>
      </c>
      <c r="AI20" s="560">
        <v>0</v>
      </c>
      <c r="AJ20" s="560">
        <v>0</v>
      </c>
      <c r="AK20" s="560">
        <v>0</v>
      </c>
      <c r="AL20" s="560">
        <v>200.75</v>
      </c>
      <c r="AM20" s="560">
        <v>0</v>
      </c>
      <c r="AN20" s="560">
        <v>0</v>
      </c>
      <c r="AO20" s="560">
        <v>0</v>
      </c>
      <c r="AP20" s="560">
        <v>0</v>
      </c>
      <c r="AQ20" s="560" t="s">
        <v>1739</v>
      </c>
      <c r="AR20" s="560" t="s">
        <v>1740</v>
      </c>
      <c r="AS20" s="560">
        <v>0</v>
      </c>
      <c r="AT20" s="560">
        <v>0</v>
      </c>
      <c r="AU20" s="560">
        <v>0</v>
      </c>
      <c r="AV20" s="560">
        <v>69</v>
      </c>
      <c r="AW20" s="560">
        <v>64</v>
      </c>
      <c r="AX20" s="560">
        <v>74</v>
      </c>
      <c r="AY20" s="560">
        <v>78</v>
      </c>
      <c r="AZ20" s="560">
        <v>1</v>
      </c>
      <c r="BA20" s="560">
        <v>2085</v>
      </c>
      <c r="BB20" s="560">
        <v>0</v>
      </c>
      <c r="BC20" s="560">
        <v>0.5</v>
      </c>
      <c r="BD20" s="560">
        <v>0</v>
      </c>
      <c r="BE20" s="560" t="s">
        <v>1715</v>
      </c>
      <c r="BF20" s="560">
        <v>2</v>
      </c>
      <c r="BG20" s="560">
        <v>13</v>
      </c>
      <c r="BH20" s="560">
        <v>1</v>
      </c>
      <c r="BI20" s="560">
        <v>2</v>
      </c>
      <c r="BJ20" s="560">
        <v>40</v>
      </c>
      <c r="BK20" s="560">
        <v>0</v>
      </c>
      <c r="BL20" s="560" t="s">
        <v>1716</v>
      </c>
      <c r="BM20" s="560">
        <v>0.05</v>
      </c>
      <c r="BN20" s="560">
        <v>200</v>
      </c>
      <c r="BO20" s="560">
        <v>20</v>
      </c>
      <c r="BP20" s="560" t="s">
        <v>1717</v>
      </c>
      <c r="BQ20" s="560">
        <v>0</v>
      </c>
      <c r="BR20" s="560">
        <v>0</v>
      </c>
      <c r="BS20" s="560">
        <v>555</v>
      </c>
      <c r="BT20" s="560">
        <v>1568</v>
      </c>
      <c r="BU20" s="560">
        <v>12544</v>
      </c>
      <c r="BV20" s="560">
        <v>0</v>
      </c>
      <c r="BW20" s="560">
        <v>0</v>
      </c>
      <c r="BX20" s="560">
        <v>1344</v>
      </c>
      <c r="BY20" s="560">
        <v>12.82</v>
      </c>
      <c r="BZ20" s="560">
        <v>1568</v>
      </c>
      <c r="CA20" s="560">
        <v>26.5</v>
      </c>
      <c r="CB20" s="560">
        <v>0.85</v>
      </c>
      <c r="CC20" s="560">
        <v>49</v>
      </c>
      <c r="CD20" s="560">
        <v>49</v>
      </c>
      <c r="CE20" s="560">
        <v>49</v>
      </c>
      <c r="CF20" s="560">
        <v>49</v>
      </c>
      <c r="CG20" s="560">
        <v>0.29299999999999998</v>
      </c>
      <c r="CH20" s="560">
        <v>0.3</v>
      </c>
      <c r="CI20" s="560">
        <v>0.54</v>
      </c>
      <c r="CJ20" s="560">
        <v>40</v>
      </c>
      <c r="CK20" s="560">
        <v>5</v>
      </c>
      <c r="CL20" s="560">
        <v>1</v>
      </c>
      <c r="CM20" s="562">
        <v>1568</v>
      </c>
      <c r="CN20" s="562">
        <v>168</v>
      </c>
      <c r="CO20" s="562">
        <v>20.45</v>
      </c>
      <c r="CP20" s="562">
        <v>0</v>
      </c>
      <c r="CQ20" s="562">
        <v>0</v>
      </c>
      <c r="CR20" s="562" t="s">
        <v>1718</v>
      </c>
      <c r="CS20" s="562">
        <v>0</v>
      </c>
      <c r="CT20" s="562">
        <v>0</v>
      </c>
      <c r="CU20" s="562">
        <v>0.75</v>
      </c>
      <c r="CV20" s="562">
        <v>2</v>
      </c>
      <c r="CW20" s="562">
        <v>1.75</v>
      </c>
      <c r="CX20" s="562">
        <v>1</v>
      </c>
      <c r="CY20" s="562">
        <v>0.65</v>
      </c>
      <c r="CZ20" s="560">
        <v>1463.4666669999999</v>
      </c>
      <c r="DA20" s="560">
        <v>8.5</v>
      </c>
      <c r="DB20" s="560" t="s">
        <v>1719</v>
      </c>
      <c r="DC20" s="560">
        <v>50</v>
      </c>
      <c r="DD20" s="560">
        <v>4</v>
      </c>
      <c r="DE20" s="560" t="s">
        <v>1720</v>
      </c>
      <c r="DF20" s="560">
        <v>5</v>
      </c>
      <c r="DG20" s="560">
        <v>0</v>
      </c>
      <c r="DH20" s="560">
        <v>4.5</v>
      </c>
      <c r="DI20" s="560">
        <v>4.5</v>
      </c>
      <c r="DJ20" s="560">
        <v>0</v>
      </c>
      <c r="DK20" s="560">
        <v>0</v>
      </c>
      <c r="DL20" s="560">
        <v>0</v>
      </c>
      <c r="DM20" s="560">
        <v>0</v>
      </c>
      <c r="DN20" s="560">
        <v>0</v>
      </c>
      <c r="DO20" s="560">
        <v>0</v>
      </c>
    </row>
    <row r="21" spans="1:119">
      <c r="A21" s="560" t="s">
        <v>1741</v>
      </c>
      <c r="B21" s="560" t="s">
        <v>1713</v>
      </c>
      <c r="C21" s="560" t="s">
        <v>800</v>
      </c>
      <c r="D21" s="560">
        <v>3</v>
      </c>
      <c r="E21" s="560">
        <v>338.600503</v>
      </c>
      <c r="F21" s="560">
        <v>56.329090999999998</v>
      </c>
      <c r="G21" s="560">
        <v>7927.5</v>
      </c>
      <c r="H21" s="560">
        <v>755.94</v>
      </c>
      <c r="I21" s="560">
        <v>0.90101900000000001</v>
      </c>
      <c r="J21" s="560">
        <v>0.28312199999999998</v>
      </c>
      <c r="K21" s="560">
        <v>0.30088199999999998</v>
      </c>
      <c r="L21" s="560">
        <v>0.44377499999999998</v>
      </c>
      <c r="M21" s="560">
        <v>12854.288884</v>
      </c>
      <c r="N21" s="560">
        <v>14626.48641</v>
      </c>
      <c r="O21" s="560">
        <v>6537.5637049999996</v>
      </c>
      <c r="P21" s="560">
        <v>1484.5853689999999</v>
      </c>
      <c r="Q21" s="560">
        <v>362.19864699999999</v>
      </c>
      <c r="R21" s="560">
        <v>2827.3498880000002</v>
      </c>
      <c r="S21" s="560">
        <v>2782.572435</v>
      </c>
      <c r="T21" s="560">
        <v>3252.8082899999999</v>
      </c>
      <c r="U21" s="560">
        <v>897.60377600000004</v>
      </c>
      <c r="V21" s="560">
        <v>65.016969000000003</v>
      </c>
      <c r="W21" s="560">
        <v>7.2433930000000002</v>
      </c>
      <c r="X21" s="560">
        <v>0</v>
      </c>
      <c r="Y21" s="560">
        <v>66.086341000000004</v>
      </c>
      <c r="Z21" s="560">
        <v>515.87495200000001</v>
      </c>
      <c r="AA21" s="560">
        <v>32130.234797000001</v>
      </c>
      <c r="AB21" s="560">
        <v>35833.087555999999</v>
      </c>
      <c r="AC21" s="560">
        <v>31817.083954999998</v>
      </c>
      <c r="AD21" s="560">
        <v>26889.594550999998</v>
      </c>
      <c r="AE21" s="560">
        <v>437.09545400000002</v>
      </c>
      <c r="AF21" s="560">
        <v>13776.209229</v>
      </c>
      <c r="AG21" s="560">
        <v>18208.685351</v>
      </c>
      <c r="AH21" s="560">
        <v>5462.7962699999998</v>
      </c>
      <c r="AI21" s="560">
        <v>0</v>
      </c>
      <c r="AJ21" s="560">
        <v>0</v>
      </c>
      <c r="AK21" s="560">
        <v>0</v>
      </c>
      <c r="AL21" s="560">
        <v>200.75</v>
      </c>
      <c r="AM21" s="560">
        <v>0</v>
      </c>
      <c r="AN21" s="560">
        <v>0</v>
      </c>
      <c r="AO21" s="560">
        <v>0</v>
      </c>
      <c r="AP21" s="560">
        <v>0</v>
      </c>
      <c r="AQ21" s="560" t="s">
        <v>1741</v>
      </c>
      <c r="AR21" s="560" t="s">
        <v>1742</v>
      </c>
      <c r="AS21" s="560">
        <v>0</v>
      </c>
      <c r="AT21" s="560">
        <v>0</v>
      </c>
      <c r="AU21" s="560">
        <v>0</v>
      </c>
      <c r="AV21" s="560">
        <v>69</v>
      </c>
      <c r="AW21" s="560">
        <v>64</v>
      </c>
      <c r="AX21" s="560">
        <v>74</v>
      </c>
      <c r="AY21" s="560">
        <v>78</v>
      </c>
      <c r="AZ21" s="560">
        <v>1</v>
      </c>
      <c r="BA21" s="560">
        <v>2085</v>
      </c>
      <c r="BB21" s="560">
        <v>0</v>
      </c>
      <c r="BC21" s="560">
        <v>0.5</v>
      </c>
      <c r="BD21" s="560">
        <v>0</v>
      </c>
      <c r="BE21" s="560" t="s">
        <v>1715</v>
      </c>
      <c r="BF21" s="560">
        <v>2</v>
      </c>
      <c r="BG21" s="560">
        <v>13</v>
      </c>
      <c r="BH21" s="560">
        <v>1</v>
      </c>
      <c r="BI21" s="560">
        <v>2</v>
      </c>
      <c r="BJ21" s="560">
        <v>40</v>
      </c>
      <c r="BK21" s="560">
        <v>0</v>
      </c>
      <c r="BL21" s="560" t="s">
        <v>1716</v>
      </c>
      <c r="BM21" s="560">
        <v>0.05</v>
      </c>
      <c r="BN21" s="560">
        <v>200</v>
      </c>
      <c r="BO21" s="560">
        <v>20</v>
      </c>
      <c r="BP21" s="560" t="s">
        <v>1717</v>
      </c>
      <c r="BQ21" s="560">
        <v>0</v>
      </c>
      <c r="BR21" s="560">
        <v>0</v>
      </c>
      <c r="BS21" s="560">
        <v>555</v>
      </c>
      <c r="BT21" s="560">
        <v>1568</v>
      </c>
      <c r="BU21" s="560">
        <v>12544</v>
      </c>
      <c r="BV21" s="560">
        <v>0</v>
      </c>
      <c r="BW21" s="560">
        <v>0</v>
      </c>
      <c r="BX21" s="560">
        <v>1344</v>
      </c>
      <c r="BY21" s="560">
        <v>12.82</v>
      </c>
      <c r="BZ21" s="560">
        <v>1568</v>
      </c>
      <c r="CA21" s="560">
        <v>26.5</v>
      </c>
      <c r="CB21" s="560">
        <v>0.85</v>
      </c>
      <c r="CC21" s="560">
        <v>49</v>
      </c>
      <c r="CD21" s="560">
        <v>49</v>
      </c>
      <c r="CE21" s="560">
        <v>49</v>
      </c>
      <c r="CF21" s="560">
        <v>49</v>
      </c>
      <c r="CG21" s="560">
        <v>0.29299999999999998</v>
      </c>
      <c r="CH21" s="560">
        <v>0.3</v>
      </c>
      <c r="CI21" s="560">
        <v>0.54</v>
      </c>
      <c r="CJ21" s="560">
        <v>40</v>
      </c>
      <c r="CK21" s="560">
        <v>5</v>
      </c>
      <c r="CL21" s="560">
        <v>1</v>
      </c>
      <c r="CM21" s="562">
        <v>1568</v>
      </c>
      <c r="CN21" s="562">
        <v>168</v>
      </c>
      <c r="CO21" s="562">
        <v>20.45</v>
      </c>
      <c r="CP21" s="562">
        <v>0</v>
      </c>
      <c r="CQ21" s="562">
        <v>0</v>
      </c>
      <c r="CR21" s="562" t="s">
        <v>1718</v>
      </c>
      <c r="CS21" s="562">
        <v>0</v>
      </c>
      <c r="CT21" s="562">
        <v>0</v>
      </c>
      <c r="CU21" s="562">
        <v>0.75</v>
      </c>
      <c r="CV21" s="562">
        <v>2</v>
      </c>
      <c r="CW21" s="562">
        <v>1.75</v>
      </c>
      <c r="CX21" s="562">
        <v>1</v>
      </c>
      <c r="CY21" s="562">
        <v>0.65</v>
      </c>
      <c r="CZ21" s="560">
        <v>1463.4666669999999</v>
      </c>
      <c r="DA21" s="560">
        <v>8.5</v>
      </c>
      <c r="DB21" s="560" t="s">
        <v>1719</v>
      </c>
      <c r="DC21" s="560">
        <v>50</v>
      </c>
      <c r="DD21" s="560">
        <v>4</v>
      </c>
      <c r="DE21" s="560" t="s">
        <v>1720</v>
      </c>
      <c r="DF21" s="560">
        <v>5</v>
      </c>
      <c r="DG21" s="560">
        <v>0</v>
      </c>
      <c r="DH21" s="560">
        <v>4.5</v>
      </c>
      <c r="DI21" s="560">
        <v>4.5</v>
      </c>
      <c r="DJ21" s="560">
        <v>0</v>
      </c>
      <c r="DK21" s="560">
        <v>0</v>
      </c>
      <c r="DL21" s="560">
        <v>0</v>
      </c>
      <c r="DM21" s="560">
        <v>0</v>
      </c>
      <c r="DN21" s="560">
        <v>0</v>
      </c>
      <c r="DO21" s="560">
        <v>0</v>
      </c>
    </row>
    <row r="22" spans="1:119">
      <c r="A22" s="560" t="s">
        <v>1743</v>
      </c>
      <c r="B22" s="560" t="s">
        <v>1713</v>
      </c>
      <c r="C22" s="560" t="s">
        <v>794</v>
      </c>
      <c r="D22" s="560">
        <v>3</v>
      </c>
      <c r="E22" s="560">
        <v>377.50067000000001</v>
      </c>
      <c r="F22" s="560">
        <v>57.211903</v>
      </c>
      <c r="G22" s="560">
        <v>7927.5</v>
      </c>
      <c r="H22" s="560">
        <v>139.9665</v>
      </c>
      <c r="I22" s="560">
        <v>0.90101900000000001</v>
      </c>
      <c r="J22" s="560">
        <v>0.28567300000000001</v>
      </c>
      <c r="K22" s="560">
        <v>0.30022700000000002</v>
      </c>
      <c r="L22" s="560">
        <v>0.44539600000000001</v>
      </c>
      <c r="M22" s="560">
        <v>14670.932353</v>
      </c>
      <c r="N22" s="560">
        <v>16630.579441000002</v>
      </c>
      <c r="O22" s="560">
        <v>7552.8177930000002</v>
      </c>
      <c r="P22" s="560">
        <v>1985.0557679999999</v>
      </c>
      <c r="Q22" s="560">
        <v>399.46787799999998</v>
      </c>
      <c r="R22" s="560">
        <v>3118.2763129999998</v>
      </c>
      <c r="S22" s="560">
        <v>905.10513000000003</v>
      </c>
      <c r="T22" s="560">
        <v>1170.870377</v>
      </c>
      <c r="U22" s="560">
        <v>283.834363</v>
      </c>
      <c r="V22" s="560">
        <v>48.108611000000003</v>
      </c>
      <c r="W22" s="560">
        <v>17.182213999999998</v>
      </c>
      <c r="X22" s="560">
        <v>0</v>
      </c>
      <c r="Y22" s="560">
        <v>22.248494999999998</v>
      </c>
      <c r="Z22" s="560">
        <v>173.673429</v>
      </c>
      <c r="AA22" s="560">
        <v>34033.774001999998</v>
      </c>
      <c r="AB22" s="560">
        <v>37911.196195999997</v>
      </c>
      <c r="AC22" s="560">
        <v>33895.192594</v>
      </c>
      <c r="AD22" s="560">
        <v>28967.703191000001</v>
      </c>
      <c r="AE22" s="560">
        <v>437.09545400000002</v>
      </c>
      <c r="AF22" s="560">
        <v>10746.605669</v>
      </c>
      <c r="AG22" s="560">
        <v>12363.196264</v>
      </c>
      <c r="AH22" s="560">
        <v>3705.4073509999998</v>
      </c>
      <c r="AI22" s="560">
        <v>0</v>
      </c>
      <c r="AJ22" s="560">
        <v>0</v>
      </c>
      <c r="AK22" s="560">
        <v>0</v>
      </c>
      <c r="AL22" s="560">
        <v>200.75</v>
      </c>
      <c r="AM22" s="560">
        <v>0</v>
      </c>
      <c r="AN22" s="560">
        <v>0</v>
      </c>
      <c r="AO22" s="560">
        <v>0</v>
      </c>
      <c r="AP22" s="560">
        <v>0</v>
      </c>
      <c r="AQ22" s="560" t="s">
        <v>1743</v>
      </c>
      <c r="AR22" s="560" t="s">
        <v>1738</v>
      </c>
      <c r="AS22" s="560">
        <v>0</v>
      </c>
      <c r="AT22" s="560">
        <v>0</v>
      </c>
      <c r="AU22" s="560">
        <v>0</v>
      </c>
      <c r="AV22" s="560">
        <v>69</v>
      </c>
      <c r="AW22" s="560">
        <v>64</v>
      </c>
      <c r="AX22" s="560">
        <v>74</v>
      </c>
      <c r="AY22" s="560">
        <v>78</v>
      </c>
      <c r="AZ22" s="560">
        <v>1</v>
      </c>
      <c r="BA22" s="560">
        <v>2085</v>
      </c>
      <c r="BB22" s="560">
        <v>0</v>
      </c>
      <c r="BC22" s="560">
        <v>0.5</v>
      </c>
      <c r="BD22" s="560">
        <v>0</v>
      </c>
      <c r="BE22" s="560" t="s">
        <v>1715</v>
      </c>
      <c r="BF22" s="560">
        <v>2</v>
      </c>
      <c r="BG22" s="560">
        <v>13</v>
      </c>
      <c r="BH22" s="560">
        <v>1</v>
      </c>
      <c r="BI22" s="560">
        <v>2</v>
      </c>
      <c r="BJ22" s="560">
        <v>40</v>
      </c>
      <c r="BK22" s="560">
        <v>0</v>
      </c>
      <c r="BL22" s="560" t="s">
        <v>1716</v>
      </c>
      <c r="BM22" s="560">
        <v>0.05</v>
      </c>
      <c r="BN22" s="560">
        <v>200</v>
      </c>
      <c r="BO22" s="560">
        <v>20</v>
      </c>
      <c r="BP22" s="560" t="s">
        <v>1717</v>
      </c>
      <c r="BQ22" s="560">
        <v>0</v>
      </c>
      <c r="BR22" s="560">
        <v>0</v>
      </c>
      <c r="BS22" s="560">
        <v>555</v>
      </c>
      <c r="BT22" s="560">
        <v>1568</v>
      </c>
      <c r="BU22" s="560">
        <v>12544</v>
      </c>
      <c r="BV22" s="560">
        <v>0</v>
      </c>
      <c r="BW22" s="560">
        <v>0</v>
      </c>
      <c r="BX22" s="560">
        <v>1344</v>
      </c>
      <c r="BY22" s="560">
        <v>10.3</v>
      </c>
      <c r="BZ22" s="560">
        <v>1568</v>
      </c>
      <c r="CA22" s="560">
        <v>26.5</v>
      </c>
      <c r="CB22" s="560">
        <v>0.85</v>
      </c>
      <c r="CC22" s="560">
        <v>49</v>
      </c>
      <c r="CD22" s="560">
        <v>49</v>
      </c>
      <c r="CE22" s="560">
        <v>49</v>
      </c>
      <c r="CF22" s="560">
        <v>49</v>
      </c>
      <c r="CG22" s="560">
        <v>0.29299999999999998</v>
      </c>
      <c r="CH22" s="560">
        <v>0.3</v>
      </c>
      <c r="CI22" s="560">
        <v>0.54</v>
      </c>
      <c r="CJ22" s="560">
        <v>40</v>
      </c>
      <c r="CK22" s="560">
        <v>5</v>
      </c>
      <c r="CL22" s="560">
        <v>1</v>
      </c>
      <c r="CM22" s="562">
        <v>1568</v>
      </c>
      <c r="CN22" s="562">
        <v>168</v>
      </c>
      <c r="CO22" s="562">
        <v>15.8</v>
      </c>
      <c r="CP22" s="562">
        <v>0</v>
      </c>
      <c r="CQ22" s="562">
        <v>0</v>
      </c>
      <c r="CR22" s="562" t="s">
        <v>1718</v>
      </c>
      <c r="CS22" s="562">
        <v>0</v>
      </c>
      <c r="CT22" s="562">
        <v>0</v>
      </c>
      <c r="CU22" s="562">
        <v>0.75</v>
      </c>
      <c r="CV22" s="562">
        <v>2</v>
      </c>
      <c r="CW22" s="562">
        <v>1.75</v>
      </c>
      <c r="CX22" s="562">
        <v>1</v>
      </c>
      <c r="CY22" s="562">
        <v>0.65</v>
      </c>
      <c r="CZ22" s="560">
        <v>1463.4666669999999</v>
      </c>
      <c r="DA22" s="560">
        <v>8.5</v>
      </c>
      <c r="DB22" s="560" t="s">
        <v>1719</v>
      </c>
      <c r="DC22" s="560">
        <v>50</v>
      </c>
      <c r="DD22" s="560">
        <v>4</v>
      </c>
      <c r="DE22" s="560" t="s">
        <v>1720</v>
      </c>
      <c r="DF22" s="560">
        <v>5</v>
      </c>
      <c r="DG22" s="560">
        <v>0</v>
      </c>
      <c r="DH22" s="560">
        <v>4.5</v>
      </c>
      <c r="DI22" s="560">
        <v>4.5</v>
      </c>
      <c r="DJ22" s="560">
        <v>0</v>
      </c>
      <c r="DK22" s="560">
        <v>0</v>
      </c>
      <c r="DL22" s="560">
        <v>0</v>
      </c>
      <c r="DM22" s="560">
        <v>0</v>
      </c>
      <c r="DN22" s="560">
        <v>0</v>
      </c>
      <c r="DO22" s="560">
        <v>0</v>
      </c>
    </row>
    <row r="23" spans="1:119">
      <c r="A23" s="560" t="s">
        <v>1744</v>
      </c>
      <c r="B23" s="560" t="s">
        <v>1713</v>
      </c>
      <c r="C23" s="560" t="s">
        <v>797</v>
      </c>
      <c r="D23" s="560">
        <v>3</v>
      </c>
      <c r="E23" s="560">
        <v>377.50067000000001</v>
      </c>
      <c r="F23" s="560">
        <v>57.211903</v>
      </c>
      <c r="G23" s="560">
        <v>7927.5</v>
      </c>
      <c r="H23" s="560">
        <v>391.60199999999998</v>
      </c>
      <c r="I23" s="560">
        <v>0.90101900000000001</v>
      </c>
      <c r="J23" s="560">
        <v>0.28567300000000001</v>
      </c>
      <c r="K23" s="560">
        <v>0.30022700000000002</v>
      </c>
      <c r="L23" s="560">
        <v>0.44539600000000001</v>
      </c>
      <c r="M23" s="560">
        <v>14670.932353</v>
      </c>
      <c r="N23" s="560">
        <v>16630.579441000002</v>
      </c>
      <c r="O23" s="560">
        <v>7552.8177930000002</v>
      </c>
      <c r="P23" s="560">
        <v>1985.0557679999999</v>
      </c>
      <c r="Q23" s="560">
        <v>399.46787799999998</v>
      </c>
      <c r="R23" s="560">
        <v>3118.2763129999998</v>
      </c>
      <c r="S23" s="560">
        <v>1732.271767</v>
      </c>
      <c r="T23" s="560">
        <v>2108.0789220000001</v>
      </c>
      <c r="U23" s="560">
        <v>549.97146099999998</v>
      </c>
      <c r="V23" s="560">
        <v>61.239458999999997</v>
      </c>
      <c r="W23" s="560">
        <v>11.507939</v>
      </c>
      <c r="X23" s="560">
        <v>0</v>
      </c>
      <c r="Y23" s="560">
        <v>41.527133999999997</v>
      </c>
      <c r="Z23" s="560">
        <v>324.16393499999998</v>
      </c>
      <c r="AA23" s="560">
        <v>34033.774001999998</v>
      </c>
      <c r="AB23" s="560">
        <v>37911.196195999997</v>
      </c>
      <c r="AC23" s="560">
        <v>33895.192594</v>
      </c>
      <c r="AD23" s="560">
        <v>28967.703191000001</v>
      </c>
      <c r="AE23" s="560">
        <v>437.09545400000002</v>
      </c>
      <c r="AF23" s="560">
        <v>13896.193626</v>
      </c>
      <c r="AG23" s="560">
        <v>16197.463240999999</v>
      </c>
      <c r="AH23" s="560">
        <v>5384.9454059999998</v>
      </c>
      <c r="AI23" s="560">
        <v>0</v>
      </c>
      <c r="AJ23" s="560">
        <v>0</v>
      </c>
      <c r="AK23" s="560">
        <v>0</v>
      </c>
      <c r="AL23" s="560">
        <v>200.75</v>
      </c>
      <c r="AM23" s="560">
        <v>0</v>
      </c>
      <c r="AN23" s="560">
        <v>0</v>
      </c>
      <c r="AO23" s="560">
        <v>0</v>
      </c>
      <c r="AP23" s="560">
        <v>0</v>
      </c>
      <c r="AQ23" s="560" t="s">
        <v>1744</v>
      </c>
      <c r="AR23" s="560" t="s">
        <v>1740</v>
      </c>
      <c r="AS23" s="560">
        <v>0</v>
      </c>
      <c r="AT23" s="560">
        <v>0</v>
      </c>
      <c r="AU23" s="560">
        <v>0</v>
      </c>
      <c r="AV23" s="560">
        <v>69</v>
      </c>
      <c r="AW23" s="560">
        <v>64</v>
      </c>
      <c r="AX23" s="560">
        <v>74</v>
      </c>
      <c r="AY23" s="560">
        <v>78</v>
      </c>
      <c r="AZ23" s="560">
        <v>1</v>
      </c>
      <c r="BA23" s="560">
        <v>2085</v>
      </c>
      <c r="BB23" s="560">
        <v>0</v>
      </c>
      <c r="BC23" s="560">
        <v>0.5</v>
      </c>
      <c r="BD23" s="560">
        <v>0</v>
      </c>
      <c r="BE23" s="560" t="s">
        <v>1715</v>
      </c>
      <c r="BF23" s="560">
        <v>2</v>
      </c>
      <c r="BG23" s="560">
        <v>13</v>
      </c>
      <c r="BH23" s="560">
        <v>1</v>
      </c>
      <c r="BI23" s="560">
        <v>2</v>
      </c>
      <c r="BJ23" s="560">
        <v>40</v>
      </c>
      <c r="BK23" s="560">
        <v>0</v>
      </c>
      <c r="BL23" s="560" t="s">
        <v>1716</v>
      </c>
      <c r="BM23" s="560">
        <v>0.05</v>
      </c>
      <c r="BN23" s="560">
        <v>200</v>
      </c>
      <c r="BO23" s="560">
        <v>20</v>
      </c>
      <c r="BP23" s="560" t="s">
        <v>1717</v>
      </c>
      <c r="BQ23" s="560">
        <v>0</v>
      </c>
      <c r="BR23" s="560">
        <v>0</v>
      </c>
      <c r="BS23" s="560">
        <v>555</v>
      </c>
      <c r="BT23" s="560">
        <v>1568</v>
      </c>
      <c r="BU23" s="560">
        <v>12544</v>
      </c>
      <c r="BV23" s="560">
        <v>0</v>
      </c>
      <c r="BW23" s="560">
        <v>0</v>
      </c>
      <c r="BX23" s="560">
        <v>1344</v>
      </c>
      <c r="BY23" s="560">
        <v>10.3</v>
      </c>
      <c r="BZ23" s="560">
        <v>1568</v>
      </c>
      <c r="CA23" s="560">
        <v>26.5</v>
      </c>
      <c r="CB23" s="560">
        <v>0.85</v>
      </c>
      <c r="CC23" s="560">
        <v>49</v>
      </c>
      <c r="CD23" s="560">
        <v>49</v>
      </c>
      <c r="CE23" s="560">
        <v>49</v>
      </c>
      <c r="CF23" s="560">
        <v>49</v>
      </c>
      <c r="CG23" s="560">
        <v>0.29299999999999998</v>
      </c>
      <c r="CH23" s="560">
        <v>0.3</v>
      </c>
      <c r="CI23" s="560">
        <v>0.54</v>
      </c>
      <c r="CJ23" s="560">
        <v>40</v>
      </c>
      <c r="CK23" s="560">
        <v>5</v>
      </c>
      <c r="CL23" s="560">
        <v>1</v>
      </c>
      <c r="CM23" s="562">
        <v>1568</v>
      </c>
      <c r="CN23" s="562">
        <v>168</v>
      </c>
      <c r="CO23" s="562">
        <v>15.8</v>
      </c>
      <c r="CP23" s="562">
        <v>0</v>
      </c>
      <c r="CQ23" s="562">
        <v>0</v>
      </c>
      <c r="CR23" s="562" t="s">
        <v>1718</v>
      </c>
      <c r="CS23" s="562">
        <v>0</v>
      </c>
      <c r="CT23" s="562">
        <v>0</v>
      </c>
      <c r="CU23" s="562">
        <v>0.75</v>
      </c>
      <c r="CV23" s="562">
        <v>2</v>
      </c>
      <c r="CW23" s="562">
        <v>1.75</v>
      </c>
      <c r="CX23" s="562">
        <v>1</v>
      </c>
      <c r="CY23" s="562">
        <v>0.65</v>
      </c>
      <c r="CZ23" s="560">
        <v>1463.4666669999999</v>
      </c>
      <c r="DA23" s="560">
        <v>8.5</v>
      </c>
      <c r="DB23" s="560" t="s">
        <v>1719</v>
      </c>
      <c r="DC23" s="560">
        <v>50</v>
      </c>
      <c r="DD23" s="560">
        <v>4</v>
      </c>
      <c r="DE23" s="560" t="s">
        <v>1720</v>
      </c>
      <c r="DF23" s="560">
        <v>5</v>
      </c>
      <c r="DG23" s="560">
        <v>0</v>
      </c>
      <c r="DH23" s="560">
        <v>4.5</v>
      </c>
      <c r="DI23" s="560">
        <v>4.5</v>
      </c>
      <c r="DJ23" s="560">
        <v>0</v>
      </c>
      <c r="DK23" s="560">
        <v>0</v>
      </c>
      <c r="DL23" s="560">
        <v>0</v>
      </c>
      <c r="DM23" s="560">
        <v>0</v>
      </c>
      <c r="DN23" s="560">
        <v>0</v>
      </c>
      <c r="DO23" s="560">
        <v>0</v>
      </c>
    </row>
    <row r="24" spans="1:119">
      <c r="A24" s="560" t="s">
        <v>1745</v>
      </c>
      <c r="B24" s="560" t="s">
        <v>1713</v>
      </c>
      <c r="C24" s="560" t="s">
        <v>800</v>
      </c>
      <c r="D24" s="560">
        <v>3</v>
      </c>
      <c r="E24" s="560">
        <v>377.50067000000001</v>
      </c>
      <c r="F24" s="560">
        <v>57.211903</v>
      </c>
      <c r="G24" s="560">
        <v>7927.5</v>
      </c>
      <c r="H24" s="560">
        <v>755.94</v>
      </c>
      <c r="I24" s="560">
        <v>0.90101900000000001</v>
      </c>
      <c r="J24" s="560">
        <v>0.28567300000000001</v>
      </c>
      <c r="K24" s="560">
        <v>0.30022700000000002</v>
      </c>
      <c r="L24" s="560">
        <v>0.44539600000000001</v>
      </c>
      <c r="M24" s="560">
        <v>14670.932353</v>
      </c>
      <c r="N24" s="560">
        <v>16630.579441000002</v>
      </c>
      <c r="O24" s="560">
        <v>7552.8177930000002</v>
      </c>
      <c r="P24" s="560">
        <v>1985.0557679999999</v>
      </c>
      <c r="Q24" s="560">
        <v>399.46787799999998</v>
      </c>
      <c r="R24" s="560">
        <v>3118.2763129999998</v>
      </c>
      <c r="S24" s="560">
        <v>2766.0102900000002</v>
      </c>
      <c r="T24" s="560">
        <v>3225.2216830000002</v>
      </c>
      <c r="U24" s="560">
        <v>896.45154300000002</v>
      </c>
      <c r="V24" s="560">
        <v>62.113759999999999</v>
      </c>
      <c r="W24" s="560">
        <v>6.9288470000000002</v>
      </c>
      <c r="X24" s="560">
        <v>0</v>
      </c>
      <c r="Y24" s="560">
        <v>65.702172000000004</v>
      </c>
      <c r="Z24" s="560">
        <v>512.87609899999995</v>
      </c>
      <c r="AA24" s="560">
        <v>34033.774001999998</v>
      </c>
      <c r="AB24" s="560">
        <v>37911.196195999997</v>
      </c>
      <c r="AC24" s="560">
        <v>33895.192594</v>
      </c>
      <c r="AD24" s="560">
        <v>28967.703191000001</v>
      </c>
      <c r="AE24" s="560">
        <v>437.09545400000002</v>
      </c>
      <c r="AF24" s="560">
        <v>14499.260633</v>
      </c>
      <c r="AG24" s="560">
        <v>17969.45968</v>
      </c>
      <c r="AH24" s="560">
        <v>5736.3333050000001</v>
      </c>
      <c r="AI24" s="560">
        <v>0</v>
      </c>
      <c r="AJ24" s="560">
        <v>0</v>
      </c>
      <c r="AK24" s="560">
        <v>0</v>
      </c>
      <c r="AL24" s="560">
        <v>200.75</v>
      </c>
      <c r="AM24" s="560">
        <v>0</v>
      </c>
      <c r="AN24" s="560">
        <v>0</v>
      </c>
      <c r="AO24" s="560">
        <v>0</v>
      </c>
      <c r="AP24" s="560">
        <v>0</v>
      </c>
      <c r="AQ24" s="560" t="s">
        <v>1745</v>
      </c>
      <c r="AR24" s="560" t="s">
        <v>1742</v>
      </c>
      <c r="AS24" s="560">
        <v>0</v>
      </c>
      <c r="AT24" s="560">
        <v>0</v>
      </c>
      <c r="AU24" s="560">
        <v>0</v>
      </c>
      <c r="AV24" s="560">
        <v>69</v>
      </c>
      <c r="AW24" s="560">
        <v>64</v>
      </c>
      <c r="AX24" s="560">
        <v>74</v>
      </c>
      <c r="AY24" s="560">
        <v>78</v>
      </c>
      <c r="AZ24" s="560">
        <v>1</v>
      </c>
      <c r="BA24" s="560">
        <v>2085</v>
      </c>
      <c r="BB24" s="560">
        <v>0</v>
      </c>
      <c r="BC24" s="560">
        <v>0.5</v>
      </c>
      <c r="BD24" s="560">
        <v>0</v>
      </c>
      <c r="BE24" s="560" t="s">
        <v>1715</v>
      </c>
      <c r="BF24" s="560">
        <v>2</v>
      </c>
      <c r="BG24" s="560">
        <v>13</v>
      </c>
      <c r="BH24" s="560">
        <v>1</v>
      </c>
      <c r="BI24" s="560">
        <v>2</v>
      </c>
      <c r="BJ24" s="560">
        <v>40</v>
      </c>
      <c r="BK24" s="560">
        <v>0</v>
      </c>
      <c r="BL24" s="560" t="s">
        <v>1716</v>
      </c>
      <c r="BM24" s="560">
        <v>0.05</v>
      </c>
      <c r="BN24" s="560">
        <v>200</v>
      </c>
      <c r="BO24" s="560">
        <v>20</v>
      </c>
      <c r="BP24" s="560" t="s">
        <v>1717</v>
      </c>
      <c r="BQ24" s="560">
        <v>0</v>
      </c>
      <c r="BR24" s="560">
        <v>0</v>
      </c>
      <c r="BS24" s="560">
        <v>555</v>
      </c>
      <c r="BT24" s="560">
        <v>1568</v>
      </c>
      <c r="BU24" s="560">
        <v>12544</v>
      </c>
      <c r="BV24" s="560">
        <v>0</v>
      </c>
      <c r="BW24" s="560">
        <v>0</v>
      </c>
      <c r="BX24" s="560">
        <v>1344</v>
      </c>
      <c r="BY24" s="560">
        <v>10.3</v>
      </c>
      <c r="BZ24" s="560">
        <v>1568</v>
      </c>
      <c r="CA24" s="560">
        <v>26.5</v>
      </c>
      <c r="CB24" s="560">
        <v>0.85</v>
      </c>
      <c r="CC24" s="560">
        <v>49</v>
      </c>
      <c r="CD24" s="560">
        <v>49</v>
      </c>
      <c r="CE24" s="560">
        <v>49</v>
      </c>
      <c r="CF24" s="560">
        <v>49</v>
      </c>
      <c r="CG24" s="560">
        <v>0.29299999999999998</v>
      </c>
      <c r="CH24" s="560">
        <v>0.3</v>
      </c>
      <c r="CI24" s="560">
        <v>0.54</v>
      </c>
      <c r="CJ24" s="560">
        <v>40</v>
      </c>
      <c r="CK24" s="560">
        <v>5</v>
      </c>
      <c r="CL24" s="560">
        <v>1</v>
      </c>
      <c r="CM24" s="562">
        <v>1568</v>
      </c>
      <c r="CN24" s="562">
        <v>168</v>
      </c>
      <c r="CO24" s="562">
        <v>15.8</v>
      </c>
      <c r="CP24" s="562">
        <v>0</v>
      </c>
      <c r="CQ24" s="562">
        <v>0</v>
      </c>
      <c r="CR24" s="562" t="s">
        <v>1718</v>
      </c>
      <c r="CS24" s="562">
        <v>0</v>
      </c>
      <c r="CT24" s="562">
        <v>0</v>
      </c>
      <c r="CU24" s="562">
        <v>0.75</v>
      </c>
      <c r="CV24" s="562">
        <v>2</v>
      </c>
      <c r="CW24" s="562">
        <v>1.75</v>
      </c>
      <c r="CX24" s="562">
        <v>1</v>
      </c>
      <c r="CY24" s="562">
        <v>0.65</v>
      </c>
      <c r="CZ24" s="560">
        <v>1463.4666669999999</v>
      </c>
      <c r="DA24" s="560">
        <v>8.5</v>
      </c>
      <c r="DB24" s="560" t="s">
        <v>1719</v>
      </c>
      <c r="DC24" s="560">
        <v>50</v>
      </c>
      <c r="DD24" s="560">
        <v>4</v>
      </c>
      <c r="DE24" s="560" t="s">
        <v>1720</v>
      </c>
      <c r="DF24" s="560">
        <v>5</v>
      </c>
      <c r="DG24" s="560">
        <v>0</v>
      </c>
      <c r="DH24" s="560">
        <v>4.5</v>
      </c>
      <c r="DI24" s="560">
        <v>4.5</v>
      </c>
      <c r="DJ24" s="560">
        <v>0</v>
      </c>
      <c r="DK24" s="560">
        <v>0</v>
      </c>
      <c r="DL24" s="560">
        <v>0</v>
      </c>
      <c r="DM24" s="560">
        <v>0</v>
      </c>
      <c r="DN24" s="560">
        <v>0</v>
      </c>
      <c r="DO24" s="560">
        <v>0</v>
      </c>
    </row>
    <row r="25" spans="1:119">
      <c r="A25" s="560" t="s">
        <v>1746</v>
      </c>
      <c r="B25" s="560" t="s">
        <v>1713</v>
      </c>
      <c r="C25" s="560" t="s">
        <v>764</v>
      </c>
      <c r="D25" s="560">
        <v>3</v>
      </c>
      <c r="E25" s="560">
        <v>417.78652699999998</v>
      </c>
      <c r="F25" s="560">
        <v>57.894624999999998</v>
      </c>
      <c r="G25" s="560">
        <v>4974.4274999999998</v>
      </c>
      <c r="H25" s="560">
        <v>139.9665</v>
      </c>
      <c r="I25" s="560">
        <v>0.968943</v>
      </c>
      <c r="J25" s="560">
        <v>0.279916</v>
      </c>
      <c r="K25" s="560">
        <v>0.30733199999999999</v>
      </c>
      <c r="L25" s="560">
        <v>0.45333099999999998</v>
      </c>
      <c r="M25" s="560">
        <v>8855.5934109999998</v>
      </c>
      <c r="N25" s="560">
        <v>11031.359573</v>
      </c>
      <c r="O25" s="560">
        <v>4018.6755149999999</v>
      </c>
      <c r="P25" s="560">
        <v>603.00609899999995</v>
      </c>
      <c r="Q25" s="560">
        <v>236.39203699999999</v>
      </c>
      <c r="R25" s="560">
        <v>1476.2352189999999</v>
      </c>
      <c r="S25" s="560">
        <v>1360.90903</v>
      </c>
      <c r="T25" s="560">
        <v>1828.71207</v>
      </c>
      <c r="U25" s="560">
        <v>438.83140600000002</v>
      </c>
      <c r="V25" s="560">
        <v>61.310923000000003</v>
      </c>
      <c r="W25" s="560">
        <v>14.145545</v>
      </c>
      <c r="X25" s="560">
        <v>0</v>
      </c>
      <c r="Y25" s="560">
        <v>34.646684999999998</v>
      </c>
      <c r="Z25" s="560">
        <v>216.36370500000001</v>
      </c>
      <c r="AA25" s="560">
        <v>37881.406395999998</v>
      </c>
      <c r="AB25" s="560">
        <v>46372.594032000001</v>
      </c>
      <c r="AC25" s="560">
        <v>36172.259857999998</v>
      </c>
      <c r="AD25" s="560">
        <v>29574.561601000001</v>
      </c>
      <c r="AE25" s="560">
        <v>546.36931800000002</v>
      </c>
      <c r="AF25" s="560">
        <v>14058.523565</v>
      </c>
      <c r="AG25" s="560">
        <v>17683.615233</v>
      </c>
      <c r="AH25" s="560">
        <v>5217.2069519999995</v>
      </c>
      <c r="AI25" s="560">
        <v>0</v>
      </c>
      <c r="AJ25" s="560">
        <v>0</v>
      </c>
      <c r="AK25" s="560">
        <v>0</v>
      </c>
      <c r="AL25" s="560">
        <v>200.75</v>
      </c>
      <c r="AM25" s="560">
        <v>0</v>
      </c>
      <c r="AN25" s="560">
        <v>0</v>
      </c>
      <c r="AO25" s="560">
        <v>0</v>
      </c>
      <c r="AP25" s="560">
        <v>0</v>
      </c>
      <c r="AQ25" s="560" t="s">
        <v>1746</v>
      </c>
      <c r="AR25" s="560" t="s">
        <v>1714</v>
      </c>
      <c r="AS25" s="560">
        <v>0</v>
      </c>
      <c r="AT25" s="560">
        <v>0</v>
      </c>
      <c r="AU25" s="560">
        <v>0</v>
      </c>
      <c r="AV25" s="560">
        <v>69</v>
      </c>
      <c r="AW25" s="560">
        <v>64</v>
      </c>
      <c r="AX25" s="560">
        <v>74</v>
      </c>
      <c r="AY25" s="560">
        <v>78</v>
      </c>
      <c r="AZ25" s="560">
        <v>1</v>
      </c>
      <c r="BA25" s="560">
        <v>2268</v>
      </c>
      <c r="BB25" s="560">
        <v>0</v>
      </c>
      <c r="BC25" s="560">
        <v>0.5</v>
      </c>
      <c r="BD25" s="560">
        <v>0</v>
      </c>
      <c r="BE25" s="560" t="s">
        <v>1715</v>
      </c>
      <c r="BF25" s="560">
        <v>2.5</v>
      </c>
      <c r="BG25" s="560">
        <v>17.399999999999999</v>
      </c>
      <c r="BH25" s="560">
        <v>1</v>
      </c>
      <c r="BI25" s="560">
        <v>2</v>
      </c>
      <c r="BJ25" s="560">
        <v>40</v>
      </c>
      <c r="BK25" s="560">
        <v>0</v>
      </c>
      <c r="BL25" s="560" t="s">
        <v>1716</v>
      </c>
      <c r="BM25" s="560">
        <v>0.06</v>
      </c>
      <c r="BN25" s="560">
        <v>300</v>
      </c>
      <c r="BO25" s="560">
        <v>6</v>
      </c>
      <c r="BP25" s="560" t="s">
        <v>1747</v>
      </c>
      <c r="BQ25" s="560">
        <v>0.03</v>
      </c>
      <c r="BR25" s="560">
        <v>80</v>
      </c>
      <c r="BS25" s="560">
        <v>6</v>
      </c>
      <c r="BT25" s="560">
        <v>2200</v>
      </c>
      <c r="BU25" s="560">
        <v>18700</v>
      </c>
      <c r="BV25" s="560">
        <v>200</v>
      </c>
      <c r="BW25" s="560">
        <v>30.609376350000002</v>
      </c>
      <c r="BX25" s="560">
        <v>2210</v>
      </c>
      <c r="BY25" s="560">
        <v>17.543859650000002</v>
      </c>
      <c r="BZ25" s="560">
        <v>1784</v>
      </c>
      <c r="CA25" s="560">
        <v>37.664196859999997</v>
      </c>
      <c r="CB25" s="560">
        <v>0.85</v>
      </c>
      <c r="CC25" s="560">
        <v>91</v>
      </c>
      <c r="CD25" s="560">
        <v>91</v>
      </c>
      <c r="CE25" s="560">
        <v>91</v>
      </c>
      <c r="CF25" s="560">
        <v>91</v>
      </c>
      <c r="CG25" s="560">
        <v>0.29299999999999998</v>
      </c>
      <c r="CH25" s="560">
        <v>0.3</v>
      </c>
      <c r="CI25" s="560">
        <v>0.54</v>
      </c>
      <c r="CJ25" s="560">
        <v>40</v>
      </c>
      <c r="CK25" s="560">
        <v>5</v>
      </c>
      <c r="CL25" s="560">
        <v>1</v>
      </c>
      <c r="CM25" s="562">
        <v>1584</v>
      </c>
      <c r="CN25" s="562">
        <v>160</v>
      </c>
      <c r="CO25" s="562">
        <v>30.609376350000002</v>
      </c>
      <c r="CP25" s="562">
        <v>0</v>
      </c>
      <c r="CQ25" s="562">
        <v>0</v>
      </c>
      <c r="CR25" s="562" t="s">
        <v>1718</v>
      </c>
      <c r="CS25" s="562">
        <v>0</v>
      </c>
      <c r="CT25" s="562">
        <v>0</v>
      </c>
      <c r="CU25" s="562">
        <v>0.75</v>
      </c>
      <c r="CV25" s="562">
        <v>1</v>
      </c>
      <c r="CW25" s="562">
        <v>1.75</v>
      </c>
      <c r="CX25" s="562">
        <v>2</v>
      </c>
      <c r="CY25" s="562">
        <v>1.5</v>
      </c>
      <c r="CZ25" s="560">
        <v>2181.666667</v>
      </c>
      <c r="DA25" s="560">
        <v>11.80555556</v>
      </c>
      <c r="DB25" s="560" t="s">
        <v>1719</v>
      </c>
      <c r="DC25" s="560">
        <v>50</v>
      </c>
      <c r="DD25" s="560">
        <v>4</v>
      </c>
      <c r="DE25" s="560" t="s">
        <v>1720</v>
      </c>
      <c r="DF25" s="560">
        <v>5</v>
      </c>
      <c r="DG25" s="560">
        <v>0</v>
      </c>
      <c r="DH25" s="560">
        <v>4.5</v>
      </c>
      <c r="DI25" s="560">
        <v>4.5</v>
      </c>
      <c r="DJ25" s="560">
        <v>0</v>
      </c>
      <c r="DK25" s="560">
        <v>0</v>
      </c>
      <c r="DL25" s="560">
        <v>0</v>
      </c>
      <c r="DM25" s="560">
        <v>0</v>
      </c>
      <c r="DN25" s="560">
        <v>0</v>
      </c>
      <c r="DO25" s="560">
        <v>0</v>
      </c>
    </row>
    <row r="26" spans="1:119">
      <c r="A26" s="560" t="s">
        <v>1748</v>
      </c>
      <c r="B26" s="560" t="s">
        <v>1713</v>
      </c>
      <c r="C26" s="560" t="s">
        <v>767</v>
      </c>
      <c r="D26" s="560">
        <v>3</v>
      </c>
      <c r="E26" s="560">
        <v>417.78652699999998</v>
      </c>
      <c r="F26" s="560">
        <v>57.894624999999998</v>
      </c>
      <c r="G26" s="560">
        <v>4974.4274999999998</v>
      </c>
      <c r="H26" s="560">
        <v>391.60199999999998</v>
      </c>
      <c r="I26" s="560">
        <v>0.968943</v>
      </c>
      <c r="J26" s="560">
        <v>0.279916</v>
      </c>
      <c r="K26" s="560">
        <v>0.30733199999999999</v>
      </c>
      <c r="L26" s="560">
        <v>0.45333099999999998</v>
      </c>
      <c r="M26" s="560">
        <v>8855.5934109999998</v>
      </c>
      <c r="N26" s="560">
        <v>11031.359573</v>
      </c>
      <c r="O26" s="560">
        <v>4018.6755149999999</v>
      </c>
      <c r="P26" s="560">
        <v>603.00609899999995</v>
      </c>
      <c r="Q26" s="560">
        <v>236.39203699999999</v>
      </c>
      <c r="R26" s="560">
        <v>1476.2352189999999</v>
      </c>
      <c r="S26" s="560">
        <v>2439.1463229999999</v>
      </c>
      <c r="T26" s="560">
        <v>3135.0039769999998</v>
      </c>
      <c r="U26" s="560">
        <v>808.87732800000003</v>
      </c>
      <c r="V26" s="560">
        <v>71.123887999999994</v>
      </c>
      <c r="W26" s="560">
        <v>9.1119719999999997</v>
      </c>
      <c r="X26" s="560">
        <v>0</v>
      </c>
      <c r="Y26" s="560">
        <v>61.445377000000001</v>
      </c>
      <c r="Z26" s="560">
        <v>383.71778699999999</v>
      </c>
      <c r="AA26" s="560">
        <v>37881.406395999998</v>
      </c>
      <c r="AB26" s="560">
        <v>46372.594032000001</v>
      </c>
      <c r="AC26" s="560">
        <v>36172.259857999998</v>
      </c>
      <c r="AD26" s="560">
        <v>29574.561601000001</v>
      </c>
      <c r="AE26" s="560">
        <v>546.36931800000002</v>
      </c>
      <c r="AF26" s="560">
        <v>17812.325658999998</v>
      </c>
      <c r="AG26" s="560">
        <v>23376.449087000001</v>
      </c>
      <c r="AH26" s="560">
        <v>7652.2984939999997</v>
      </c>
      <c r="AI26" s="560">
        <v>0</v>
      </c>
      <c r="AJ26" s="560">
        <v>0</v>
      </c>
      <c r="AK26" s="560">
        <v>0</v>
      </c>
      <c r="AL26" s="560">
        <v>200.75</v>
      </c>
      <c r="AM26" s="560">
        <v>0</v>
      </c>
      <c r="AN26" s="560">
        <v>0</v>
      </c>
      <c r="AO26" s="560">
        <v>0</v>
      </c>
      <c r="AP26" s="560">
        <v>0</v>
      </c>
      <c r="AQ26" s="560" t="s">
        <v>1748</v>
      </c>
      <c r="AR26" s="560" t="s">
        <v>1722</v>
      </c>
      <c r="AS26" s="560">
        <v>0</v>
      </c>
      <c r="AT26" s="560">
        <v>0</v>
      </c>
      <c r="AU26" s="560">
        <v>0</v>
      </c>
      <c r="AV26" s="560">
        <v>69</v>
      </c>
      <c r="AW26" s="560">
        <v>64</v>
      </c>
      <c r="AX26" s="560">
        <v>74</v>
      </c>
      <c r="AY26" s="560">
        <v>78</v>
      </c>
      <c r="AZ26" s="560">
        <v>1</v>
      </c>
      <c r="BA26" s="560">
        <v>2268</v>
      </c>
      <c r="BB26" s="560">
        <v>0</v>
      </c>
      <c r="BC26" s="560">
        <v>0.5</v>
      </c>
      <c r="BD26" s="560">
        <v>0</v>
      </c>
      <c r="BE26" s="560" t="s">
        <v>1715</v>
      </c>
      <c r="BF26" s="560">
        <v>2.5</v>
      </c>
      <c r="BG26" s="560">
        <v>17.399999999999999</v>
      </c>
      <c r="BH26" s="560">
        <v>1</v>
      </c>
      <c r="BI26" s="560">
        <v>2</v>
      </c>
      <c r="BJ26" s="560">
        <v>40</v>
      </c>
      <c r="BK26" s="560">
        <v>0</v>
      </c>
      <c r="BL26" s="560" t="s">
        <v>1716</v>
      </c>
      <c r="BM26" s="560">
        <v>0.06</v>
      </c>
      <c r="BN26" s="560">
        <v>300</v>
      </c>
      <c r="BO26" s="560">
        <v>6</v>
      </c>
      <c r="BP26" s="560" t="s">
        <v>1747</v>
      </c>
      <c r="BQ26" s="560">
        <v>0.03</v>
      </c>
      <c r="BR26" s="560">
        <v>80</v>
      </c>
      <c r="BS26" s="560">
        <v>6</v>
      </c>
      <c r="BT26" s="560">
        <v>2200</v>
      </c>
      <c r="BU26" s="560">
        <v>18700</v>
      </c>
      <c r="BV26" s="560">
        <v>200</v>
      </c>
      <c r="BW26" s="560">
        <v>30.609376350000002</v>
      </c>
      <c r="BX26" s="560">
        <v>2210</v>
      </c>
      <c r="BY26" s="560">
        <v>17.543859650000002</v>
      </c>
      <c r="BZ26" s="560">
        <v>1784</v>
      </c>
      <c r="CA26" s="560">
        <v>37.664196859999997</v>
      </c>
      <c r="CB26" s="560">
        <v>0.85</v>
      </c>
      <c r="CC26" s="560">
        <v>91</v>
      </c>
      <c r="CD26" s="560">
        <v>91</v>
      </c>
      <c r="CE26" s="560">
        <v>91</v>
      </c>
      <c r="CF26" s="560">
        <v>91</v>
      </c>
      <c r="CG26" s="560">
        <v>0.29299999999999998</v>
      </c>
      <c r="CH26" s="560">
        <v>0.3</v>
      </c>
      <c r="CI26" s="560">
        <v>0.54</v>
      </c>
      <c r="CJ26" s="560">
        <v>40</v>
      </c>
      <c r="CK26" s="560">
        <v>5</v>
      </c>
      <c r="CL26" s="560">
        <v>1</v>
      </c>
      <c r="CM26" s="562">
        <v>1584</v>
      </c>
      <c r="CN26" s="562">
        <v>160</v>
      </c>
      <c r="CO26" s="562">
        <v>30.609376350000002</v>
      </c>
      <c r="CP26" s="562">
        <v>0</v>
      </c>
      <c r="CQ26" s="562">
        <v>0</v>
      </c>
      <c r="CR26" s="562" t="s">
        <v>1718</v>
      </c>
      <c r="CS26" s="562">
        <v>0</v>
      </c>
      <c r="CT26" s="562">
        <v>0</v>
      </c>
      <c r="CU26" s="562">
        <v>0.75</v>
      </c>
      <c r="CV26" s="562">
        <v>1</v>
      </c>
      <c r="CW26" s="562">
        <v>1.75</v>
      </c>
      <c r="CX26" s="562">
        <v>2</v>
      </c>
      <c r="CY26" s="562">
        <v>1.5</v>
      </c>
      <c r="CZ26" s="560">
        <v>2181.666667</v>
      </c>
      <c r="DA26" s="560">
        <v>11.80555556</v>
      </c>
      <c r="DB26" s="560" t="s">
        <v>1719</v>
      </c>
      <c r="DC26" s="560">
        <v>50</v>
      </c>
      <c r="DD26" s="560">
        <v>4</v>
      </c>
      <c r="DE26" s="560" t="s">
        <v>1720</v>
      </c>
      <c r="DF26" s="560">
        <v>5</v>
      </c>
      <c r="DG26" s="560">
        <v>0</v>
      </c>
      <c r="DH26" s="560">
        <v>4.5</v>
      </c>
      <c r="DI26" s="560">
        <v>4.5</v>
      </c>
      <c r="DJ26" s="560">
        <v>0</v>
      </c>
      <c r="DK26" s="560">
        <v>0</v>
      </c>
      <c r="DL26" s="560">
        <v>0</v>
      </c>
      <c r="DM26" s="560">
        <v>0</v>
      </c>
      <c r="DN26" s="560">
        <v>0</v>
      </c>
      <c r="DO26" s="560">
        <v>0</v>
      </c>
    </row>
    <row r="27" spans="1:119">
      <c r="A27" s="560" t="s">
        <v>1749</v>
      </c>
      <c r="B27" s="560" t="s">
        <v>1713</v>
      </c>
      <c r="C27" s="560" t="s">
        <v>770</v>
      </c>
      <c r="D27" s="560">
        <v>3</v>
      </c>
      <c r="E27" s="560">
        <v>417.78652699999998</v>
      </c>
      <c r="F27" s="560">
        <v>57.894624999999998</v>
      </c>
      <c r="G27" s="560">
        <v>4974.4274999999998</v>
      </c>
      <c r="H27" s="560">
        <v>755.94</v>
      </c>
      <c r="I27" s="560">
        <v>0.968943</v>
      </c>
      <c r="J27" s="560">
        <v>0.279916</v>
      </c>
      <c r="K27" s="560">
        <v>0.30733199999999999</v>
      </c>
      <c r="L27" s="560">
        <v>0.45333099999999998</v>
      </c>
      <c r="M27" s="560">
        <v>8855.5934109999998</v>
      </c>
      <c r="N27" s="560">
        <v>11031.359573</v>
      </c>
      <c r="O27" s="560">
        <v>4018.6755149999999</v>
      </c>
      <c r="P27" s="560">
        <v>603.00609899999995</v>
      </c>
      <c r="Q27" s="560">
        <v>236.39203699999999</v>
      </c>
      <c r="R27" s="560">
        <v>1476.2352189999999</v>
      </c>
      <c r="S27" s="560">
        <v>3743.8460089999999</v>
      </c>
      <c r="T27" s="560">
        <v>4675.1647469999998</v>
      </c>
      <c r="U27" s="560">
        <v>1284.1718780000001</v>
      </c>
      <c r="V27" s="560">
        <v>63.843929000000003</v>
      </c>
      <c r="W27" s="560">
        <v>4.971603</v>
      </c>
      <c r="X27" s="560">
        <v>0</v>
      </c>
      <c r="Y27" s="560">
        <v>94.638058000000001</v>
      </c>
      <c r="Z27" s="560">
        <v>591.001441</v>
      </c>
      <c r="AA27" s="560">
        <v>37881.406395999998</v>
      </c>
      <c r="AB27" s="560">
        <v>46372.594032000001</v>
      </c>
      <c r="AC27" s="560">
        <v>36172.259857999998</v>
      </c>
      <c r="AD27" s="560">
        <v>29574.561601000001</v>
      </c>
      <c r="AE27" s="560">
        <v>546.36931800000002</v>
      </c>
      <c r="AF27" s="560">
        <v>18261.670553</v>
      </c>
      <c r="AG27" s="560">
        <v>23879.526059</v>
      </c>
      <c r="AH27" s="560">
        <v>8025.3016180000004</v>
      </c>
      <c r="AI27" s="560">
        <v>0</v>
      </c>
      <c r="AJ27" s="560">
        <v>0</v>
      </c>
      <c r="AK27" s="560">
        <v>0</v>
      </c>
      <c r="AL27" s="560">
        <v>200.75</v>
      </c>
      <c r="AM27" s="560">
        <v>0</v>
      </c>
      <c r="AN27" s="560">
        <v>0</v>
      </c>
      <c r="AO27" s="560">
        <v>0</v>
      </c>
      <c r="AP27" s="560">
        <v>0</v>
      </c>
      <c r="AQ27" s="560" t="s">
        <v>1749</v>
      </c>
      <c r="AR27" s="560" t="s">
        <v>1724</v>
      </c>
      <c r="AS27" s="560">
        <v>0</v>
      </c>
      <c r="AT27" s="560">
        <v>0</v>
      </c>
      <c r="AU27" s="560">
        <v>0</v>
      </c>
      <c r="AV27" s="560">
        <v>69</v>
      </c>
      <c r="AW27" s="560">
        <v>64</v>
      </c>
      <c r="AX27" s="560">
        <v>74</v>
      </c>
      <c r="AY27" s="560">
        <v>78</v>
      </c>
      <c r="AZ27" s="560">
        <v>1</v>
      </c>
      <c r="BA27" s="560">
        <v>2268</v>
      </c>
      <c r="BB27" s="560">
        <v>0</v>
      </c>
      <c r="BC27" s="560">
        <v>0.5</v>
      </c>
      <c r="BD27" s="560">
        <v>0</v>
      </c>
      <c r="BE27" s="560" t="s">
        <v>1715</v>
      </c>
      <c r="BF27" s="560">
        <v>2.5</v>
      </c>
      <c r="BG27" s="560">
        <v>17.399999999999999</v>
      </c>
      <c r="BH27" s="560">
        <v>1</v>
      </c>
      <c r="BI27" s="560">
        <v>2</v>
      </c>
      <c r="BJ27" s="560">
        <v>40</v>
      </c>
      <c r="BK27" s="560">
        <v>0</v>
      </c>
      <c r="BL27" s="560" t="s">
        <v>1716</v>
      </c>
      <c r="BM27" s="560">
        <v>0.06</v>
      </c>
      <c r="BN27" s="560">
        <v>300</v>
      </c>
      <c r="BO27" s="560">
        <v>6</v>
      </c>
      <c r="BP27" s="560" t="s">
        <v>1747</v>
      </c>
      <c r="BQ27" s="560">
        <v>0.03</v>
      </c>
      <c r="BR27" s="560">
        <v>80</v>
      </c>
      <c r="BS27" s="560">
        <v>6</v>
      </c>
      <c r="BT27" s="560">
        <v>2200</v>
      </c>
      <c r="BU27" s="560">
        <v>18700</v>
      </c>
      <c r="BV27" s="560">
        <v>200</v>
      </c>
      <c r="BW27" s="560">
        <v>30.609376350000002</v>
      </c>
      <c r="BX27" s="560">
        <v>2210</v>
      </c>
      <c r="BY27" s="560">
        <v>17.543859650000002</v>
      </c>
      <c r="BZ27" s="560">
        <v>1784</v>
      </c>
      <c r="CA27" s="560">
        <v>37.664196859999997</v>
      </c>
      <c r="CB27" s="560">
        <v>0.85</v>
      </c>
      <c r="CC27" s="560">
        <v>91</v>
      </c>
      <c r="CD27" s="560">
        <v>91</v>
      </c>
      <c r="CE27" s="560">
        <v>91</v>
      </c>
      <c r="CF27" s="560">
        <v>91</v>
      </c>
      <c r="CG27" s="560">
        <v>0.29299999999999998</v>
      </c>
      <c r="CH27" s="560">
        <v>0.3</v>
      </c>
      <c r="CI27" s="560">
        <v>0.54</v>
      </c>
      <c r="CJ27" s="560">
        <v>40</v>
      </c>
      <c r="CK27" s="560">
        <v>5</v>
      </c>
      <c r="CL27" s="560">
        <v>1</v>
      </c>
      <c r="CM27" s="562">
        <v>1584</v>
      </c>
      <c r="CN27" s="562">
        <v>160</v>
      </c>
      <c r="CO27" s="562">
        <v>30.609376350000002</v>
      </c>
      <c r="CP27" s="562">
        <v>0</v>
      </c>
      <c r="CQ27" s="562">
        <v>0</v>
      </c>
      <c r="CR27" s="562" t="s">
        <v>1718</v>
      </c>
      <c r="CS27" s="562">
        <v>0</v>
      </c>
      <c r="CT27" s="562">
        <v>0</v>
      </c>
      <c r="CU27" s="562">
        <v>0.75</v>
      </c>
      <c r="CV27" s="562">
        <v>1</v>
      </c>
      <c r="CW27" s="562">
        <v>1.75</v>
      </c>
      <c r="CX27" s="562">
        <v>2</v>
      </c>
      <c r="CY27" s="562">
        <v>1.5</v>
      </c>
      <c r="CZ27" s="560">
        <v>2181.666667</v>
      </c>
      <c r="DA27" s="560">
        <v>11.80555556</v>
      </c>
      <c r="DB27" s="560" t="s">
        <v>1719</v>
      </c>
      <c r="DC27" s="560">
        <v>50</v>
      </c>
      <c r="DD27" s="560">
        <v>4</v>
      </c>
      <c r="DE27" s="560" t="s">
        <v>1720</v>
      </c>
      <c r="DF27" s="560">
        <v>5</v>
      </c>
      <c r="DG27" s="560">
        <v>0</v>
      </c>
      <c r="DH27" s="560">
        <v>4.5</v>
      </c>
      <c r="DI27" s="560">
        <v>4.5</v>
      </c>
      <c r="DJ27" s="560">
        <v>0</v>
      </c>
      <c r="DK27" s="560">
        <v>0</v>
      </c>
      <c r="DL27" s="560">
        <v>0</v>
      </c>
      <c r="DM27" s="560">
        <v>0</v>
      </c>
      <c r="DN27" s="560">
        <v>0</v>
      </c>
      <c r="DO27" s="560">
        <v>0</v>
      </c>
    </row>
    <row r="28" spans="1:119">
      <c r="A28" s="560" t="s">
        <v>1040</v>
      </c>
      <c r="B28" s="560" t="s">
        <v>1713</v>
      </c>
      <c r="C28" s="560" t="s">
        <v>764</v>
      </c>
      <c r="D28" s="560">
        <v>3</v>
      </c>
      <c r="E28" s="560">
        <v>483.43167399999999</v>
      </c>
      <c r="F28" s="560">
        <v>58.655549000000001</v>
      </c>
      <c r="G28" s="560">
        <v>4974.4274999999998</v>
      </c>
      <c r="H28" s="560">
        <v>139.9665</v>
      </c>
      <c r="I28" s="560">
        <v>0.968943</v>
      </c>
      <c r="J28" s="560">
        <v>0.28401799999999999</v>
      </c>
      <c r="K28" s="560">
        <v>0.30630200000000002</v>
      </c>
      <c r="L28" s="560">
        <v>0.47261399999999998</v>
      </c>
      <c r="M28" s="560">
        <v>10845.870207</v>
      </c>
      <c r="N28" s="560">
        <v>13625.821373999999</v>
      </c>
      <c r="O28" s="560">
        <v>4829.780917</v>
      </c>
      <c r="P28" s="560">
        <v>561.90398000000005</v>
      </c>
      <c r="Q28" s="560">
        <v>295.01634300000001</v>
      </c>
      <c r="R28" s="560">
        <v>1535.279845</v>
      </c>
      <c r="S28" s="560">
        <v>1313.382715</v>
      </c>
      <c r="T28" s="560">
        <v>1775.8155810000001</v>
      </c>
      <c r="U28" s="560">
        <v>431.02065199999998</v>
      </c>
      <c r="V28" s="560">
        <v>60.295341999999998</v>
      </c>
      <c r="W28" s="560">
        <v>14.203403</v>
      </c>
      <c r="X28" s="560">
        <v>0</v>
      </c>
      <c r="Y28" s="560">
        <v>33.716244000000003</v>
      </c>
      <c r="Z28" s="560">
        <v>175.46102500000001</v>
      </c>
      <c r="AA28" s="560">
        <v>40588.683357000002</v>
      </c>
      <c r="AB28" s="560">
        <v>50551.288349000002</v>
      </c>
      <c r="AC28" s="560">
        <v>38310.997230000001</v>
      </c>
      <c r="AD28" s="560">
        <v>30393.673866000001</v>
      </c>
      <c r="AE28" s="560">
        <v>655.64318100000003</v>
      </c>
      <c r="AF28" s="560">
        <v>15432.770354</v>
      </c>
      <c r="AG28" s="560">
        <v>19489.566796999999</v>
      </c>
      <c r="AH28" s="560">
        <v>5769.5890920000002</v>
      </c>
      <c r="AI28" s="560">
        <v>0</v>
      </c>
      <c r="AJ28" s="560">
        <v>0</v>
      </c>
      <c r="AK28" s="560">
        <v>0</v>
      </c>
      <c r="AL28" s="560">
        <v>200.75</v>
      </c>
      <c r="AM28" s="560">
        <v>0</v>
      </c>
      <c r="AN28" s="560">
        <v>0</v>
      </c>
      <c r="AO28" s="560">
        <v>0</v>
      </c>
      <c r="AP28" s="560">
        <v>0</v>
      </c>
      <c r="AQ28" s="560" t="s">
        <v>1040</v>
      </c>
      <c r="AR28" s="560" t="s">
        <v>1714</v>
      </c>
      <c r="AS28" s="560">
        <v>0</v>
      </c>
      <c r="AT28" s="560">
        <v>0</v>
      </c>
      <c r="AU28" s="560">
        <v>0</v>
      </c>
      <c r="AV28" s="560">
        <v>69</v>
      </c>
      <c r="AW28" s="560">
        <v>64</v>
      </c>
      <c r="AX28" s="560">
        <v>74</v>
      </c>
      <c r="AY28" s="560">
        <v>78</v>
      </c>
      <c r="AZ28" s="560">
        <v>1</v>
      </c>
      <c r="BA28" s="560">
        <v>2268</v>
      </c>
      <c r="BB28" s="560">
        <v>0</v>
      </c>
      <c r="BC28" s="560">
        <v>0.5</v>
      </c>
      <c r="BD28" s="560">
        <v>0</v>
      </c>
      <c r="BE28" s="560" t="s">
        <v>1715</v>
      </c>
      <c r="BF28" s="560">
        <v>3</v>
      </c>
      <c r="BG28" s="560">
        <v>17.399999999999999</v>
      </c>
      <c r="BH28" s="560">
        <v>1</v>
      </c>
      <c r="BI28" s="560">
        <v>2</v>
      </c>
      <c r="BJ28" s="560">
        <v>40</v>
      </c>
      <c r="BK28" s="560">
        <v>0</v>
      </c>
      <c r="BL28" s="560" t="s">
        <v>1716</v>
      </c>
      <c r="BM28" s="560">
        <v>0.06</v>
      </c>
      <c r="BN28" s="560">
        <v>300</v>
      </c>
      <c r="BO28" s="560">
        <v>4.5</v>
      </c>
      <c r="BP28" s="560" t="s">
        <v>1747</v>
      </c>
      <c r="BQ28" s="560">
        <v>0.03</v>
      </c>
      <c r="BR28" s="560">
        <v>80</v>
      </c>
      <c r="BS28" s="560">
        <v>4.9000000000000004</v>
      </c>
      <c r="BT28" s="560">
        <v>2200</v>
      </c>
      <c r="BU28" s="560">
        <v>18700</v>
      </c>
      <c r="BV28" s="560">
        <v>200</v>
      </c>
      <c r="BW28" s="560">
        <v>26.8</v>
      </c>
      <c r="BX28" s="560">
        <v>2210</v>
      </c>
      <c r="BY28" s="560">
        <v>11.4</v>
      </c>
      <c r="BZ28" s="560">
        <v>1784</v>
      </c>
      <c r="CA28" s="560">
        <v>35</v>
      </c>
      <c r="CB28" s="560">
        <v>0.85</v>
      </c>
      <c r="CC28" s="560">
        <v>91</v>
      </c>
      <c r="CD28" s="560">
        <v>91</v>
      </c>
      <c r="CE28" s="560">
        <v>91</v>
      </c>
      <c r="CF28" s="560">
        <v>91</v>
      </c>
      <c r="CG28" s="560">
        <v>0.29299999999999998</v>
      </c>
      <c r="CH28" s="560">
        <v>0.3</v>
      </c>
      <c r="CI28" s="560">
        <v>0.54</v>
      </c>
      <c r="CJ28" s="560">
        <v>40</v>
      </c>
      <c r="CK28" s="560">
        <v>5</v>
      </c>
      <c r="CL28" s="560">
        <v>1</v>
      </c>
      <c r="CM28" s="562">
        <v>1584</v>
      </c>
      <c r="CN28" s="562">
        <v>160</v>
      </c>
      <c r="CO28" s="562">
        <v>26.8</v>
      </c>
      <c r="CP28" s="562">
        <v>0</v>
      </c>
      <c r="CQ28" s="562">
        <v>0</v>
      </c>
      <c r="CR28" s="562" t="s">
        <v>1718</v>
      </c>
      <c r="CS28" s="562">
        <v>0</v>
      </c>
      <c r="CT28" s="562">
        <v>0</v>
      </c>
      <c r="CU28" s="562">
        <v>0.75</v>
      </c>
      <c r="CV28" s="562">
        <v>1</v>
      </c>
      <c r="CW28" s="562">
        <v>1.75</v>
      </c>
      <c r="CX28" s="562">
        <v>2</v>
      </c>
      <c r="CY28" s="562">
        <v>1.5</v>
      </c>
      <c r="CZ28" s="560">
        <v>2181.666667</v>
      </c>
      <c r="DA28" s="560">
        <v>11.80555556</v>
      </c>
      <c r="DB28" s="560" t="s">
        <v>1719</v>
      </c>
      <c r="DC28" s="560">
        <v>50</v>
      </c>
      <c r="DD28" s="560">
        <v>4</v>
      </c>
      <c r="DE28" s="560" t="s">
        <v>1720</v>
      </c>
      <c r="DF28" s="560">
        <v>5</v>
      </c>
      <c r="DG28" s="560">
        <v>0</v>
      </c>
      <c r="DH28" s="560">
        <v>4.5</v>
      </c>
      <c r="DI28" s="560">
        <v>4.5</v>
      </c>
      <c r="DJ28" s="560">
        <v>0</v>
      </c>
      <c r="DK28" s="560">
        <v>0</v>
      </c>
      <c r="DL28" s="560">
        <v>0</v>
      </c>
      <c r="DM28" s="560">
        <v>0</v>
      </c>
      <c r="DN28" s="560">
        <v>0</v>
      </c>
      <c r="DO28" s="560">
        <v>0</v>
      </c>
    </row>
    <row r="29" spans="1:119">
      <c r="A29" s="560" t="s">
        <v>1750</v>
      </c>
      <c r="B29" s="560" t="s">
        <v>1713</v>
      </c>
      <c r="C29" s="560" t="s">
        <v>767</v>
      </c>
      <c r="D29" s="560">
        <v>3</v>
      </c>
      <c r="E29" s="560">
        <v>483.43167399999999</v>
      </c>
      <c r="F29" s="560">
        <v>58.655549000000001</v>
      </c>
      <c r="G29" s="560">
        <v>4974.4274999999998</v>
      </c>
      <c r="H29" s="560">
        <v>391.60199999999998</v>
      </c>
      <c r="I29" s="560">
        <v>0.968943</v>
      </c>
      <c r="J29" s="560">
        <v>0.28401799999999999</v>
      </c>
      <c r="K29" s="560">
        <v>0.30630200000000002</v>
      </c>
      <c r="L29" s="560">
        <v>0.47261399999999998</v>
      </c>
      <c r="M29" s="560">
        <v>10845.870207</v>
      </c>
      <c r="N29" s="560">
        <v>13625.821373999999</v>
      </c>
      <c r="O29" s="560">
        <v>4829.780917</v>
      </c>
      <c r="P29" s="560">
        <v>561.90398000000005</v>
      </c>
      <c r="Q29" s="560">
        <v>295.01634300000001</v>
      </c>
      <c r="R29" s="560">
        <v>1535.279845</v>
      </c>
      <c r="S29" s="560">
        <v>2466.5981790000001</v>
      </c>
      <c r="T29" s="560">
        <v>3189.3497400000001</v>
      </c>
      <c r="U29" s="560">
        <v>832.24579200000005</v>
      </c>
      <c r="V29" s="560">
        <v>72.617121999999995</v>
      </c>
      <c r="W29" s="560">
        <v>9.0860040000000009</v>
      </c>
      <c r="X29" s="560">
        <v>0</v>
      </c>
      <c r="Y29" s="560">
        <v>62.649673</v>
      </c>
      <c r="Z29" s="560">
        <v>326.032038</v>
      </c>
      <c r="AA29" s="560">
        <v>40588.683357000002</v>
      </c>
      <c r="AB29" s="560">
        <v>50551.288349000002</v>
      </c>
      <c r="AC29" s="560">
        <v>38310.997230000001</v>
      </c>
      <c r="AD29" s="560">
        <v>30393.673866000001</v>
      </c>
      <c r="AE29" s="560">
        <v>655.64318100000003</v>
      </c>
      <c r="AF29" s="560">
        <v>19665.31121</v>
      </c>
      <c r="AG29" s="560">
        <v>25939.875177999998</v>
      </c>
      <c r="AH29" s="560">
        <v>8533.3780559999996</v>
      </c>
      <c r="AI29" s="560">
        <v>0</v>
      </c>
      <c r="AJ29" s="560">
        <v>0</v>
      </c>
      <c r="AK29" s="560">
        <v>0</v>
      </c>
      <c r="AL29" s="560">
        <v>200.75</v>
      </c>
      <c r="AM29" s="560">
        <v>0</v>
      </c>
      <c r="AN29" s="560">
        <v>0</v>
      </c>
      <c r="AO29" s="560">
        <v>0</v>
      </c>
      <c r="AP29" s="560">
        <v>0</v>
      </c>
      <c r="AQ29" s="560" t="s">
        <v>1750</v>
      </c>
      <c r="AR29" s="560" t="s">
        <v>1722</v>
      </c>
      <c r="AS29" s="560">
        <v>0</v>
      </c>
      <c r="AT29" s="560">
        <v>0</v>
      </c>
      <c r="AU29" s="560">
        <v>0</v>
      </c>
      <c r="AV29" s="560">
        <v>69</v>
      </c>
      <c r="AW29" s="560">
        <v>64</v>
      </c>
      <c r="AX29" s="560">
        <v>74</v>
      </c>
      <c r="AY29" s="560">
        <v>78</v>
      </c>
      <c r="AZ29" s="560">
        <v>1</v>
      </c>
      <c r="BA29" s="560">
        <v>2268</v>
      </c>
      <c r="BB29" s="560">
        <v>0</v>
      </c>
      <c r="BC29" s="560">
        <v>0.5</v>
      </c>
      <c r="BD29" s="560">
        <v>0</v>
      </c>
      <c r="BE29" s="560" t="s">
        <v>1715</v>
      </c>
      <c r="BF29" s="560">
        <v>3</v>
      </c>
      <c r="BG29" s="560">
        <v>17.399999999999999</v>
      </c>
      <c r="BH29" s="560">
        <v>1</v>
      </c>
      <c r="BI29" s="560">
        <v>2</v>
      </c>
      <c r="BJ29" s="560">
        <v>40</v>
      </c>
      <c r="BK29" s="560">
        <v>0</v>
      </c>
      <c r="BL29" s="560" t="s">
        <v>1716</v>
      </c>
      <c r="BM29" s="560">
        <v>0.06</v>
      </c>
      <c r="BN29" s="560">
        <v>300</v>
      </c>
      <c r="BO29" s="560">
        <v>4.5</v>
      </c>
      <c r="BP29" s="560" t="s">
        <v>1747</v>
      </c>
      <c r="BQ29" s="560">
        <v>0.03</v>
      </c>
      <c r="BR29" s="560">
        <v>80</v>
      </c>
      <c r="BS29" s="560">
        <v>4.9000000000000004</v>
      </c>
      <c r="BT29" s="560">
        <v>2200</v>
      </c>
      <c r="BU29" s="560">
        <v>18700</v>
      </c>
      <c r="BV29" s="560">
        <v>200</v>
      </c>
      <c r="BW29" s="560">
        <v>26.8</v>
      </c>
      <c r="BX29" s="560">
        <v>2210</v>
      </c>
      <c r="BY29" s="560">
        <v>11.4</v>
      </c>
      <c r="BZ29" s="560">
        <v>1784</v>
      </c>
      <c r="CA29" s="560">
        <v>35</v>
      </c>
      <c r="CB29" s="560">
        <v>0.85</v>
      </c>
      <c r="CC29" s="560">
        <v>91</v>
      </c>
      <c r="CD29" s="560">
        <v>91</v>
      </c>
      <c r="CE29" s="560">
        <v>91</v>
      </c>
      <c r="CF29" s="560">
        <v>91</v>
      </c>
      <c r="CG29" s="560">
        <v>0.29299999999999998</v>
      </c>
      <c r="CH29" s="560">
        <v>0.3</v>
      </c>
      <c r="CI29" s="560">
        <v>0.54</v>
      </c>
      <c r="CJ29" s="560">
        <v>40</v>
      </c>
      <c r="CK29" s="560">
        <v>5</v>
      </c>
      <c r="CL29" s="560">
        <v>1</v>
      </c>
      <c r="CM29" s="562">
        <v>1584</v>
      </c>
      <c r="CN29" s="562">
        <v>160</v>
      </c>
      <c r="CO29" s="562">
        <v>26.8</v>
      </c>
      <c r="CP29" s="562">
        <v>0</v>
      </c>
      <c r="CQ29" s="562">
        <v>0</v>
      </c>
      <c r="CR29" s="562" t="s">
        <v>1718</v>
      </c>
      <c r="CS29" s="562">
        <v>0</v>
      </c>
      <c r="CT29" s="562">
        <v>0</v>
      </c>
      <c r="CU29" s="562">
        <v>0.75</v>
      </c>
      <c r="CV29" s="562">
        <v>1</v>
      </c>
      <c r="CW29" s="562">
        <v>1.75</v>
      </c>
      <c r="CX29" s="562">
        <v>2</v>
      </c>
      <c r="CY29" s="562">
        <v>1.5</v>
      </c>
      <c r="CZ29" s="560">
        <v>2181.666667</v>
      </c>
      <c r="DA29" s="560">
        <v>11.80555556</v>
      </c>
      <c r="DB29" s="560" t="s">
        <v>1719</v>
      </c>
      <c r="DC29" s="560">
        <v>50</v>
      </c>
      <c r="DD29" s="560">
        <v>4</v>
      </c>
      <c r="DE29" s="560" t="s">
        <v>1720</v>
      </c>
      <c r="DF29" s="560">
        <v>5</v>
      </c>
      <c r="DG29" s="560">
        <v>0</v>
      </c>
      <c r="DH29" s="560">
        <v>4.5</v>
      </c>
      <c r="DI29" s="560">
        <v>4.5</v>
      </c>
      <c r="DJ29" s="560">
        <v>0</v>
      </c>
      <c r="DK29" s="560">
        <v>0</v>
      </c>
      <c r="DL29" s="560">
        <v>0</v>
      </c>
      <c r="DM29" s="560">
        <v>0</v>
      </c>
      <c r="DN29" s="560">
        <v>0</v>
      </c>
      <c r="DO29" s="560">
        <v>0</v>
      </c>
    </row>
    <row r="30" spans="1:119">
      <c r="A30" s="560" t="s">
        <v>1751</v>
      </c>
      <c r="B30" s="560" t="s">
        <v>1713</v>
      </c>
      <c r="C30" s="560" t="s">
        <v>770</v>
      </c>
      <c r="D30" s="560">
        <v>3</v>
      </c>
      <c r="E30" s="560">
        <v>483.43167399999999</v>
      </c>
      <c r="F30" s="560">
        <v>58.655549000000001</v>
      </c>
      <c r="G30" s="560">
        <v>4974.4274999999998</v>
      </c>
      <c r="H30" s="560">
        <v>755.94</v>
      </c>
      <c r="I30" s="560">
        <v>0.968943</v>
      </c>
      <c r="J30" s="560">
        <v>0.28401799999999999</v>
      </c>
      <c r="K30" s="560">
        <v>0.30630200000000002</v>
      </c>
      <c r="L30" s="560">
        <v>0.47261399999999998</v>
      </c>
      <c r="M30" s="560">
        <v>10845.870207</v>
      </c>
      <c r="N30" s="560">
        <v>13625.821373999999</v>
      </c>
      <c r="O30" s="560">
        <v>4829.780917</v>
      </c>
      <c r="P30" s="560">
        <v>561.90398000000005</v>
      </c>
      <c r="Q30" s="560">
        <v>295.01634300000001</v>
      </c>
      <c r="R30" s="560">
        <v>1535.279845</v>
      </c>
      <c r="S30" s="560">
        <v>3867.0973840000001</v>
      </c>
      <c r="T30" s="560">
        <v>4864.3166609999998</v>
      </c>
      <c r="U30" s="560">
        <v>1352.019055</v>
      </c>
      <c r="V30" s="560">
        <v>66.726281999999998</v>
      </c>
      <c r="W30" s="560">
        <v>4.9353059999999997</v>
      </c>
      <c r="X30" s="560">
        <v>0</v>
      </c>
      <c r="Y30" s="560">
        <v>98.681910999999999</v>
      </c>
      <c r="Z30" s="560">
        <v>513.545615</v>
      </c>
      <c r="AA30" s="560">
        <v>40588.683357000002</v>
      </c>
      <c r="AB30" s="560">
        <v>50551.288349000002</v>
      </c>
      <c r="AC30" s="560">
        <v>38310.997230000001</v>
      </c>
      <c r="AD30" s="560">
        <v>30393.673866000001</v>
      </c>
      <c r="AE30" s="560">
        <v>655.64318100000003</v>
      </c>
      <c r="AF30" s="560">
        <v>20178.165539000001</v>
      </c>
      <c r="AG30" s="560">
        <v>26439.249287999999</v>
      </c>
      <c r="AH30" s="560">
        <v>8982.357231</v>
      </c>
      <c r="AI30" s="560">
        <v>0</v>
      </c>
      <c r="AJ30" s="560">
        <v>0</v>
      </c>
      <c r="AK30" s="560">
        <v>0</v>
      </c>
      <c r="AL30" s="560">
        <v>200.75</v>
      </c>
      <c r="AM30" s="560">
        <v>0</v>
      </c>
      <c r="AN30" s="560">
        <v>0</v>
      </c>
      <c r="AO30" s="560">
        <v>0</v>
      </c>
      <c r="AP30" s="560">
        <v>0</v>
      </c>
      <c r="AQ30" s="560" t="s">
        <v>1751</v>
      </c>
      <c r="AR30" s="560" t="s">
        <v>1724</v>
      </c>
      <c r="AS30" s="560">
        <v>0</v>
      </c>
      <c r="AT30" s="560">
        <v>0</v>
      </c>
      <c r="AU30" s="560">
        <v>0</v>
      </c>
      <c r="AV30" s="560">
        <v>69</v>
      </c>
      <c r="AW30" s="560">
        <v>64</v>
      </c>
      <c r="AX30" s="560">
        <v>74</v>
      </c>
      <c r="AY30" s="560">
        <v>78</v>
      </c>
      <c r="AZ30" s="560">
        <v>1</v>
      </c>
      <c r="BA30" s="560">
        <v>2268</v>
      </c>
      <c r="BB30" s="560">
        <v>0</v>
      </c>
      <c r="BC30" s="560">
        <v>0.5</v>
      </c>
      <c r="BD30" s="560">
        <v>0</v>
      </c>
      <c r="BE30" s="560" t="s">
        <v>1715</v>
      </c>
      <c r="BF30" s="560">
        <v>3</v>
      </c>
      <c r="BG30" s="560">
        <v>17.399999999999999</v>
      </c>
      <c r="BH30" s="560">
        <v>1</v>
      </c>
      <c r="BI30" s="560">
        <v>2</v>
      </c>
      <c r="BJ30" s="560">
        <v>40</v>
      </c>
      <c r="BK30" s="560">
        <v>0</v>
      </c>
      <c r="BL30" s="560" t="s">
        <v>1716</v>
      </c>
      <c r="BM30" s="560">
        <v>0.06</v>
      </c>
      <c r="BN30" s="560">
        <v>300</v>
      </c>
      <c r="BO30" s="560">
        <v>4.5</v>
      </c>
      <c r="BP30" s="560" t="s">
        <v>1747</v>
      </c>
      <c r="BQ30" s="560">
        <v>0.03</v>
      </c>
      <c r="BR30" s="560">
        <v>80</v>
      </c>
      <c r="BS30" s="560">
        <v>4.9000000000000004</v>
      </c>
      <c r="BT30" s="560">
        <v>2200</v>
      </c>
      <c r="BU30" s="560">
        <v>18700</v>
      </c>
      <c r="BV30" s="560">
        <v>200</v>
      </c>
      <c r="BW30" s="560">
        <v>26.8</v>
      </c>
      <c r="BX30" s="560">
        <v>2210</v>
      </c>
      <c r="BY30" s="560">
        <v>11.4</v>
      </c>
      <c r="BZ30" s="560">
        <v>1784</v>
      </c>
      <c r="CA30" s="560">
        <v>35</v>
      </c>
      <c r="CB30" s="560">
        <v>0.85</v>
      </c>
      <c r="CC30" s="560">
        <v>91</v>
      </c>
      <c r="CD30" s="560">
        <v>91</v>
      </c>
      <c r="CE30" s="560">
        <v>91</v>
      </c>
      <c r="CF30" s="560">
        <v>91</v>
      </c>
      <c r="CG30" s="560">
        <v>0.29299999999999998</v>
      </c>
      <c r="CH30" s="560">
        <v>0.3</v>
      </c>
      <c r="CI30" s="560">
        <v>0.54</v>
      </c>
      <c r="CJ30" s="560">
        <v>40</v>
      </c>
      <c r="CK30" s="560">
        <v>5</v>
      </c>
      <c r="CL30" s="560">
        <v>1</v>
      </c>
      <c r="CM30" s="562">
        <v>1584</v>
      </c>
      <c r="CN30" s="562">
        <v>160</v>
      </c>
      <c r="CO30" s="562">
        <v>26.8</v>
      </c>
      <c r="CP30" s="562">
        <v>0</v>
      </c>
      <c r="CQ30" s="562">
        <v>0</v>
      </c>
      <c r="CR30" s="562" t="s">
        <v>1718</v>
      </c>
      <c r="CS30" s="562">
        <v>0</v>
      </c>
      <c r="CT30" s="562">
        <v>0</v>
      </c>
      <c r="CU30" s="562">
        <v>0.75</v>
      </c>
      <c r="CV30" s="562">
        <v>1</v>
      </c>
      <c r="CW30" s="562">
        <v>1.75</v>
      </c>
      <c r="CX30" s="562">
        <v>2</v>
      </c>
      <c r="CY30" s="562">
        <v>1.5</v>
      </c>
      <c r="CZ30" s="560">
        <v>2181.666667</v>
      </c>
      <c r="DA30" s="560">
        <v>11.80555556</v>
      </c>
      <c r="DB30" s="560" t="s">
        <v>1719</v>
      </c>
      <c r="DC30" s="560">
        <v>50</v>
      </c>
      <c r="DD30" s="560">
        <v>4</v>
      </c>
      <c r="DE30" s="560" t="s">
        <v>1720</v>
      </c>
      <c r="DF30" s="560">
        <v>5</v>
      </c>
      <c r="DG30" s="560">
        <v>0</v>
      </c>
      <c r="DH30" s="560">
        <v>4.5</v>
      </c>
      <c r="DI30" s="560">
        <v>4.5</v>
      </c>
      <c r="DJ30" s="560">
        <v>0</v>
      </c>
      <c r="DK30" s="560">
        <v>0</v>
      </c>
      <c r="DL30" s="560">
        <v>0</v>
      </c>
      <c r="DM30" s="560">
        <v>0</v>
      </c>
      <c r="DN30" s="560">
        <v>0</v>
      </c>
      <c r="DO30" s="560">
        <v>0</v>
      </c>
    </row>
    <row r="31" spans="1:119">
      <c r="A31" s="560" t="s">
        <v>1752</v>
      </c>
      <c r="B31" s="560" t="s">
        <v>1713</v>
      </c>
      <c r="C31" s="560" t="s">
        <v>779</v>
      </c>
      <c r="D31" s="560">
        <v>3</v>
      </c>
      <c r="E31" s="560">
        <v>425.780959</v>
      </c>
      <c r="F31" s="560">
        <v>56.572713</v>
      </c>
      <c r="G31" s="560">
        <v>6644.9655000000002</v>
      </c>
      <c r="H31" s="560">
        <v>139.9665</v>
      </c>
      <c r="I31" s="560">
        <v>0.91800700000000002</v>
      </c>
      <c r="J31" s="560">
        <v>0.31653300000000001</v>
      </c>
      <c r="K31" s="560">
        <v>0.34996300000000002</v>
      </c>
      <c r="L31" s="560">
        <v>0.52473899999999996</v>
      </c>
      <c r="M31" s="560">
        <v>12735.595832000001</v>
      </c>
      <c r="N31" s="560">
        <v>16346.174515000001</v>
      </c>
      <c r="O31" s="560">
        <v>6948.072674</v>
      </c>
      <c r="P31" s="560">
        <v>1663.0069169999999</v>
      </c>
      <c r="Q31" s="560">
        <v>377.93703699999998</v>
      </c>
      <c r="R31" s="560">
        <v>2360.163955</v>
      </c>
      <c r="S31" s="560">
        <v>1360.90903</v>
      </c>
      <c r="T31" s="560">
        <v>1828.71207</v>
      </c>
      <c r="U31" s="560">
        <v>438.83140600000002</v>
      </c>
      <c r="V31" s="560">
        <v>61.310923000000003</v>
      </c>
      <c r="W31" s="560">
        <v>14.145545</v>
      </c>
      <c r="X31" s="560">
        <v>0</v>
      </c>
      <c r="Y31" s="560">
        <v>34.646684999999998</v>
      </c>
      <c r="Z31" s="560">
        <v>216.36370500000001</v>
      </c>
      <c r="AA31" s="560">
        <v>42648.850830000003</v>
      </c>
      <c r="AB31" s="560">
        <v>52522.488292000002</v>
      </c>
      <c r="AC31" s="560">
        <v>45589.377799000002</v>
      </c>
      <c r="AD31" s="560">
        <v>39328.124670999998</v>
      </c>
      <c r="AE31" s="560">
        <v>546.36931800000002</v>
      </c>
      <c r="AF31" s="560">
        <v>14058.523565</v>
      </c>
      <c r="AG31" s="560">
        <v>17683.615233</v>
      </c>
      <c r="AH31" s="560">
        <v>5217.2069519999995</v>
      </c>
      <c r="AI31" s="560">
        <v>0</v>
      </c>
      <c r="AJ31" s="560">
        <v>0</v>
      </c>
      <c r="AK31" s="560">
        <v>0</v>
      </c>
      <c r="AL31" s="560">
        <v>200.75</v>
      </c>
      <c r="AM31" s="560">
        <v>0</v>
      </c>
      <c r="AN31" s="560">
        <v>0</v>
      </c>
      <c r="AO31" s="560">
        <v>0</v>
      </c>
      <c r="AP31" s="560">
        <v>0</v>
      </c>
      <c r="AQ31" s="560" t="s">
        <v>1752</v>
      </c>
      <c r="AR31" s="560" t="s">
        <v>1729</v>
      </c>
      <c r="AS31" s="560">
        <v>0</v>
      </c>
      <c r="AT31" s="560">
        <v>0</v>
      </c>
      <c r="AU31" s="560">
        <v>0</v>
      </c>
      <c r="AV31" s="560">
        <v>69</v>
      </c>
      <c r="AW31" s="560">
        <v>64</v>
      </c>
      <c r="AX31" s="560">
        <v>74</v>
      </c>
      <c r="AY31" s="560">
        <v>78</v>
      </c>
      <c r="AZ31" s="560">
        <v>1</v>
      </c>
      <c r="BA31" s="560">
        <v>2268</v>
      </c>
      <c r="BB31" s="560">
        <v>0</v>
      </c>
      <c r="BC31" s="560">
        <v>0.5</v>
      </c>
      <c r="BD31" s="560">
        <v>0</v>
      </c>
      <c r="BE31" s="560" t="s">
        <v>1715</v>
      </c>
      <c r="BF31" s="560">
        <v>2.5</v>
      </c>
      <c r="BG31" s="560">
        <v>17.399999999999999</v>
      </c>
      <c r="BH31" s="560">
        <v>1</v>
      </c>
      <c r="BI31" s="560">
        <v>2</v>
      </c>
      <c r="BJ31" s="560">
        <v>40</v>
      </c>
      <c r="BK31" s="560">
        <v>0</v>
      </c>
      <c r="BL31" s="560" t="s">
        <v>1716</v>
      </c>
      <c r="BM31" s="560">
        <v>0.06</v>
      </c>
      <c r="BN31" s="560">
        <v>300</v>
      </c>
      <c r="BO31" s="560">
        <v>6</v>
      </c>
      <c r="BP31" s="560" t="s">
        <v>1747</v>
      </c>
      <c r="BQ31" s="560">
        <v>0.03</v>
      </c>
      <c r="BR31" s="560">
        <v>80</v>
      </c>
      <c r="BS31" s="560">
        <v>6</v>
      </c>
      <c r="BT31" s="560">
        <v>2200</v>
      </c>
      <c r="BU31" s="560">
        <v>18700</v>
      </c>
      <c r="BV31" s="560">
        <v>200</v>
      </c>
      <c r="BW31" s="560">
        <v>30.609376350000002</v>
      </c>
      <c r="BX31" s="560">
        <v>2210</v>
      </c>
      <c r="BY31" s="560">
        <v>17.543859650000002</v>
      </c>
      <c r="BZ31" s="560">
        <v>1784</v>
      </c>
      <c r="CA31" s="560">
        <v>37.664196859999997</v>
      </c>
      <c r="CB31" s="560">
        <v>0.85</v>
      </c>
      <c r="CC31" s="560">
        <v>91</v>
      </c>
      <c r="CD31" s="560">
        <v>91</v>
      </c>
      <c r="CE31" s="560">
        <v>91</v>
      </c>
      <c r="CF31" s="560">
        <v>91</v>
      </c>
      <c r="CG31" s="560">
        <v>0.29299999999999998</v>
      </c>
      <c r="CH31" s="560">
        <v>0.3</v>
      </c>
      <c r="CI31" s="560">
        <v>0.54</v>
      </c>
      <c r="CJ31" s="560">
        <v>40</v>
      </c>
      <c r="CK31" s="560">
        <v>5</v>
      </c>
      <c r="CL31" s="560">
        <v>1</v>
      </c>
      <c r="CM31" s="562">
        <v>1584</v>
      </c>
      <c r="CN31" s="562">
        <v>160</v>
      </c>
      <c r="CO31" s="562">
        <v>30.609376350000002</v>
      </c>
      <c r="CP31" s="562">
        <v>0</v>
      </c>
      <c r="CQ31" s="562">
        <v>0</v>
      </c>
      <c r="CR31" s="562" t="s">
        <v>1718</v>
      </c>
      <c r="CS31" s="562">
        <v>0</v>
      </c>
      <c r="CT31" s="562">
        <v>0</v>
      </c>
      <c r="CU31" s="562">
        <v>0.75</v>
      </c>
      <c r="CV31" s="562">
        <v>1</v>
      </c>
      <c r="CW31" s="562">
        <v>1.75</v>
      </c>
      <c r="CX31" s="562">
        <v>2</v>
      </c>
      <c r="CY31" s="562">
        <v>1.5</v>
      </c>
      <c r="CZ31" s="560">
        <v>2181.666667</v>
      </c>
      <c r="DA31" s="560">
        <v>11.80555556</v>
      </c>
      <c r="DB31" s="560" t="s">
        <v>1719</v>
      </c>
      <c r="DC31" s="560">
        <v>50</v>
      </c>
      <c r="DD31" s="560">
        <v>4</v>
      </c>
      <c r="DE31" s="560" t="s">
        <v>1720</v>
      </c>
      <c r="DF31" s="560">
        <v>5</v>
      </c>
      <c r="DG31" s="560">
        <v>0</v>
      </c>
      <c r="DH31" s="560">
        <v>4.5</v>
      </c>
      <c r="DI31" s="560">
        <v>4.5</v>
      </c>
      <c r="DJ31" s="560">
        <v>0</v>
      </c>
      <c r="DK31" s="560">
        <v>0</v>
      </c>
      <c r="DL31" s="560">
        <v>0</v>
      </c>
      <c r="DM31" s="560">
        <v>0</v>
      </c>
      <c r="DN31" s="560">
        <v>0</v>
      </c>
      <c r="DO31" s="560">
        <v>0</v>
      </c>
    </row>
    <row r="32" spans="1:119">
      <c r="A32" s="560" t="s">
        <v>1753</v>
      </c>
      <c r="B32" s="560" t="s">
        <v>1713</v>
      </c>
      <c r="C32" s="560" t="s">
        <v>782</v>
      </c>
      <c r="D32" s="560">
        <v>3</v>
      </c>
      <c r="E32" s="560">
        <v>425.780959</v>
      </c>
      <c r="F32" s="560">
        <v>56.572713</v>
      </c>
      <c r="G32" s="560">
        <v>6644.9655000000002</v>
      </c>
      <c r="H32" s="560">
        <v>391.60199999999998</v>
      </c>
      <c r="I32" s="560">
        <v>0.91800700000000002</v>
      </c>
      <c r="J32" s="560">
        <v>0.31653300000000001</v>
      </c>
      <c r="K32" s="560">
        <v>0.34996300000000002</v>
      </c>
      <c r="L32" s="560">
        <v>0.52473899999999996</v>
      </c>
      <c r="M32" s="560">
        <v>12735.595832000001</v>
      </c>
      <c r="N32" s="560">
        <v>16346.174515000001</v>
      </c>
      <c r="O32" s="560">
        <v>6948.072674</v>
      </c>
      <c r="P32" s="560">
        <v>1663.0069169999999</v>
      </c>
      <c r="Q32" s="560">
        <v>377.93703699999998</v>
      </c>
      <c r="R32" s="560">
        <v>2360.163955</v>
      </c>
      <c r="S32" s="560">
        <v>2439.1463229999999</v>
      </c>
      <c r="T32" s="560">
        <v>3135.0039769999998</v>
      </c>
      <c r="U32" s="560">
        <v>808.87732800000003</v>
      </c>
      <c r="V32" s="560">
        <v>71.123887999999994</v>
      </c>
      <c r="W32" s="560">
        <v>9.1119719999999997</v>
      </c>
      <c r="X32" s="560">
        <v>0</v>
      </c>
      <c r="Y32" s="560">
        <v>61.445377000000001</v>
      </c>
      <c r="Z32" s="560">
        <v>383.71778699999999</v>
      </c>
      <c r="AA32" s="560">
        <v>42648.850830000003</v>
      </c>
      <c r="AB32" s="560">
        <v>52522.488292000002</v>
      </c>
      <c r="AC32" s="560">
        <v>45589.377799000002</v>
      </c>
      <c r="AD32" s="560">
        <v>39328.124670999998</v>
      </c>
      <c r="AE32" s="560">
        <v>546.36931800000002</v>
      </c>
      <c r="AF32" s="560">
        <v>17812.325658999998</v>
      </c>
      <c r="AG32" s="560">
        <v>23376.449087000001</v>
      </c>
      <c r="AH32" s="560">
        <v>7652.2984939999997</v>
      </c>
      <c r="AI32" s="560">
        <v>0</v>
      </c>
      <c r="AJ32" s="560">
        <v>0</v>
      </c>
      <c r="AK32" s="560">
        <v>0</v>
      </c>
      <c r="AL32" s="560">
        <v>200.75</v>
      </c>
      <c r="AM32" s="560">
        <v>0</v>
      </c>
      <c r="AN32" s="560">
        <v>0</v>
      </c>
      <c r="AO32" s="560">
        <v>0</v>
      </c>
      <c r="AP32" s="560">
        <v>0</v>
      </c>
      <c r="AQ32" s="560" t="s">
        <v>1753</v>
      </c>
      <c r="AR32" s="560" t="s">
        <v>1731</v>
      </c>
      <c r="AS32" s="560">
        <v>0</v>
      </c>
      <c r="AT32" s="560">
        <v>0</v>
      </c>
      <c r="AU32" s="560">
        <v>0</v>
      </c>
      <c r="AV32" s="560">
        <v>69</v>
      </c>
      <c r="AW32" s="560">
        <v>64</v>
      </c>
      <c r="AX32" s="560">
        <v>74</v>
      </c>
      <c r="AY32" s="560">
        <v>78</v>
      </c>
      <c r="AZ32" s="560">
        <v>1</v>
      </c>
      <c r="BA32" s="560">
        <v>2268</v>
      </c>
      <c r="BB32" s="560">
        <v>0</v>
      </c>
      <c r="BC32" s="560">
        <v>0.5</v>
      </c>
      <c r="BD32" s="560">
        <v>0</v>
      </c>
      <c r="BE32" s="560" t="s">
        <v>1715</v>
      </c>
      <c r="BF32" s="560">
        <v>2.5</v>
      </c>
      <c r="BG32" s="560">
        <v>17.399999999999999</v>
      </c>
      <c r="BH32" s="560">
        <v>1</v>
      </c>
      <c r="BI32" s="560">
        <v>2</v>
      </c>
      <c r="BJ32" s="560">
        <v>40</v>
      </c>
      <c r="BK32" s="560">
        <v>0</v>
      </c>
      <c r="BL32" s="560" t="s">
        <v>1716</v>
      </c>
      <c r="BM32" s="560">
        <v>0.06</v>
      </c>
      <c r="BN32" s="560">
        <v>300</v>
      </c>
      <c r="BO32" s="560">
        <v>6</v>
      </c>
      <c r="BP32" s="560" t="s">
        <v>1747</v>
      </c>
      <c r="BQ32" s="560">
        <v>0.03</v>
      </c>
      <c r="BR32" s="560">
        <v>80</v>
      </c>
      <c r="BS32" s="560">
        <v>6</v>
      </c>
      <c r="BT32" s="560">
        <v>2200</v>
      </c>
      <c r="BU32" s="560">
        <v>18700</v>
      </c>
      <c r="BV32" s="560">
        <v>200</v>
      </c>
      <c r="BW32" s="560">
        <v>30.609376350000002</v>
      </c>
      <c r="BX32" s="560">
        <v>2210</v>
      </c>
      <c r="BY32" s="560">
        <v>17.543859650000002</v>
      </c>
      <c r="BZ32" s="560">
        <v>1784</v>
      </c>
      <c r="CA32" s="560">
        <v>37.664196859999997</v>
      </c>
      <c r="CB32" s="560">
        <v>0.85</v>
      </c>
      <c r="CC32" s="560">
        <v>91</v>
      </c>
      <c r="CD32" s="560">
        <v>91</v>
      </c>
      <c r="CE32" s="560">
        <v>91</v>
      </c>
      <c r="CF32" s="560">
        <v>91</v>
      </c>
      <c r="CG32" s="560">
        <v>0.29299999999999998</v>
      </c>
      <c r="CH32" s="560">
        <v>0.3</v>
      </c>
      <c r="CI32" s="560">
        <v>0.54</v>
      </c>
      <c r="CJ32" s="560">
        <v>40</v>
      </c>
      <c r="CK32" s="560">
        <v>5</v>
      </c>
      <c r="CL32" s="560">
        <v>1</v>
      </c>
      <c r="CM32" s="562">
        <v>1584</v>
      </c>
      <c r="CN32" s="562">
        <v>160</v>
      </c>
      <c r="CO32" s="562">
        <v>30.609376350000002</v>
      </c>
      <c r="CP32" s="562">
        <v>0</v>
      </c>
      <c r="CQ32" s="562">
        <v>0</v>
      </c>
      <c r="CR32" s="562" t="s">
        <v>1718</v>
      </c>
      <c r="CS32" s="562">
        <v>0</v>
      </c>
      <c r="CT32" s="562">
        <v>0</v>
      </c>
      <c r="CU32" s="562">
        <v>0.75</v>
      </c>
      <c r="CV32" s="562">
        <v>1</v>
      </c>
      <c r="CW32" s="562">
        <v>1.75</v>
      </c>
      <c r="CX32" s="562">
        <v>2</v>
      </c>
      <c r="CY32" s="562">
        <v>1.5</v>
      </c>
      <c r="CZ32" s="560">
        <v>2181.666667</v>
      </c>
      <c r="DA32" s="560">
        <v>11.80555556</v>
      </c>
      <c r="DB32" s="560" t="s">
        <v>1719</v>
      </c>
      <c r="DC32" s="560">
        <v>50</v>
      </c>
      <c r="DD32" s="560">
        <v>4</v>
      </c>
      <c r="DE32" s="560" t="s">
        <v>1720</v>
      </c>
      <c r="DF32" s="560">
        <v>5</v>
      </c>
      <c r="DG32" s="560">
        <v>0</v>
      </c>
      <c r="DH32" s="560">
        <v>4.5</v>
      </c>
      <c r="DI32" s="560">
        <v>4.5</v>
      </c>
      <c r="DJ32" s="560">
        <v>0</v>
      </c>
      <c r="DK32" s="560">
        <v>0</v>
      </c>
      <c r="DL32" s="560">
        <v>0</v>
      </c>
      <c r="DM32" s="560">
        <v>0</v>
      </c>
      <c r="DN32" s="560">
        <v>0</v>
      </c>
      <c r="DO32" s="560">
        <v>0</v>
      </c>
    </row>
    <row r="33" spans="1:119">
      <c r="A33" s="560" t="s">
        <v>1754</v>
      </c>
      <c r="B33" s="560" t="s">
        <v>1713</v>
      </c>
      <c r="C33" s="560" t="s">
        <v>785</v>
      </c>
      <c r="D33" s="560">
        <v>3</v>
      </c>
      <c r="E33" s="560">
        <v>425.780959</v>
      </c>
      <c r="F33" s="560">
        <v>56.572713</v>
      </c>
      <c r="G33" s="560">
        <v>6644.9655000000002</v>
      </c>
      <c r="H33" s="560">
        <v>755.94</v>
      </c>
      <c r="I33" s="560">
        <v>0.91800700000000002</v>
      </c>
      <c r="J33" s="560">
        <v>0.31653300000000001</v>
      </c>
      <c r="K33" s="560">
        <v>0.34996300000000002</v>
      </c>
      <c r="L33" s="560">
        <v>0.52473899999999996</v>
      </c>
      <c r="M33" s="560">
        <v>12735.595832000001</v>
      </c>
      <c r="N33" s="560">
        <v>16346.174515000001</v>
      </c>
      <c r="O33" s="560">
        <v>6948.072674</v>
      </c>
      <c r="P33" s="560">
        <v>1663.0069169999999</v>
      </c>
      <c r="Q33" s="560">
        <v>377.93703699999998</v>
      </c>
      <c r="R33" s="560">
        <v>2360.163955</v>
      </c>
      <c r="S33" s="560">
        <v>3743.8460089999999</v>
      </c>
      <c r="T33" s="560">
        <v>4675.1647469999998</v>
      </c>
      <c r="U33" s="560">
        <v>1284.1718780000001</v>
      </c>
      <c r="V33" s="560">
        <v>63.843929000000003</v>
      </c>
      <c r="W33" s="560">
        <v>4.971603</v>
      </c>
      <c r="X33" s="560">
        <v>0</v>
      </c>
      <c r="Y33" s="560">
        <v>94.638058000000001</v>
      </c>
      <c r="Z33" s="560">
        <v>591.001441</v>
      </c>
      <c r="AA33" s="560">
        <v>42648.850830000003</v>
      </c>
      <c r="AB33" s="560">
        <v>52522.488292000002</v>
      </c>
      <c r="AC33" s="560">
        <v>45589.377799000002</v>
      </c>
      <c r="AD33" s="560">
        <v>39328.124670999998</v>
      </c>
      <c r="AE33" s="560">
        <v>546.36931800000002</v>
      </c>
      <c r="AF33" s="560">
        <v>18261.670553</v>
      </c>
      <c r="AG33" s="560">
        <v>23879.526059</v>
      </c>
      <c r="AH33" s="560">
        <v>8025.3016180000004</v>
      </c>
      <c r="AI33" s="560">
        <v>0</v>
      </c>
      <c r="AJ33" s="560">
        <v>0</v>
      </c>
      <c r="AK33" s="560">
        <v>0</v>
      </c>
      <c r="AL33" s="560">
        <v>200.75</v>
      </c>
      <c r="AM33" s="560">
        <v>0</v>
      </c>
      <c r="AN33" s="560">
        <v>0</v>
      </c>
      <c r="AO33" s="560">
        <v>0</v>
      </c>
      <c r="AP33" s="560">
        <v>0</v>
      </c>
      <c r="AQ33" s="560" t="s">
        <v>1754</v>
      </c>
      <c r="AR33" s="560" t="s">
        <v>1733</v>
      </c>
      <c r="AS33" s="560">
        <v>0</v>
      </c>
      <c r="AT33" s="560">
        <v>0</v>
      </c>
      <c r="AU33" s="560">
        <v>0</v>
      </c>
      <c r="AV33" s="560">
        <v>69</v>
      </c>
      <c r="AW33" s="560">
        <v>64</v>
      </c>
      <c r="AX33" s="560">
        <v>74</v>
      </c>
      <c r="AY33" s="560">
        <v>78</v>
      </c>
      <c r="AZ33" s="560">
        <v>1</v>
      </c>
      <c r="BA33" s="560">
        <v>2268</v>
      </c>
      <c r="BB33" s="560">
        <v>0</v>
      </c>
      <c r="BC33" s="560">
        <v>0.5</v>
      </c>
      <c r="BD33" s="560">
        <v>0</v>
      </c>
      <c r="BE33" s="560" t="s">
        <v>1715</v>
      </c>
      <c r="BF33" s="560">
        <v>2.5</v>
      </c>
      <c r="BG33" s="560">
        <v>17.399999999999999</v>
      </c>
      <c r="BH33" s="560">
        <v>1</v>
      </c>
      <c r="BI33" s="560">
        <v>2</v>
      </c>
      <c r="BJ33" s="560">
        <v>40</v>
      </c>
      <c r="BK33" s="560">
        <v>0</v>
      </c>
      <c r="BL33" s="560" t="s">
        <v>1716</v>
      </c>
      <c r="BM33" s="560">
        <v>0.06</v>
      </c>
      <c r="BN33" s="560">
        <v>300</v>
      </c>
      <c r="BO33" s="560">
        <v>6</v>
      </c>
      <c r="BP33" s="560" t="s">
        <v>1747</v>
      </c>
      <c r="BQ33" s="560">
        <v>0.03</v>
      </c>
      <c r="BR33" s="560">
        <v>80</v>
      </c>
      <c r="BS33" s="560">
        <v>6</v>
      </c>
      <c r="BT33" s="560">
        <v>2200</v>
      </c>
      <c r="BU33" s="560">
        <v>18700</v>
      </c>
      <c r="BV33" s="560">
        <v>200</v>
      </c>
      <c r="BW33" s="560">
        <v>30.609376350000002</v>
      </c>
      <c r="BX33" s="560">
        <v>2210</v>
      </c>
      <c r="BY33" s="560">
        <v>17.543859650000002</v>
      </c>
      <c r="BZ33" s="560">
        <v>1784</v>
      </c>
      <c r="CA33" s="560">
        <v>37.664196859999997</v>
      </c>
      <c r="CB33" s="560">
        <v>0.85</v>
      </c>
      <c r="CC33" s="560">
        <v>91</v>
      </c>
      <c r="CD33" s="560">
        <v>91</v>
      </c>
      <c r="CE33" s="560">
        <v>91</v>
      </c>
      <c r="CF33" s="560">
        <v>91</v>
      </c>
      <c r="CG33" s="560">
        <v>0.29299999999999998</v>
      </c>
      <c r="CH33" s="560">
        <v>0.3</v>
      </c>
      <c r="CI33" s="560">
        <v>0.54</v>
      </c>
      <c r="CJ33" s="560">
        <v>40</v>
      </c>
      <c r="CK33" s="560">
        <v>5</v>
      </c>
      <c r="CL33" s="560">
        <v>1</v>
      </c>
      <c r="CM33" s="562">
        <v>1584</v>
      </c>
      <c r="CN33" s="562">
        <v>160</v>
      </c>
      <c r="CO33" s="562">
        <v>30.609376350000002</v>
      </c>
      <c r="CP33" s="562">
        <v>0</v>
      </c>
      <c r="CQ33" s="562">
        <v>0</v>
      </c>
      <c r="CR33" s="562" t="s">
        <v>1718</v>
      </c>
      <c r="CS33" s="562">
        <v>0</v>
      </c>
      <c r="CT33" s="562">
        <v>0</v>
      </c>
      <c r="CU33" s="562">
        <v>0.75</v>
      </c>
      <c r="CV33" s="562">
        <v>1</v>
      </c>
      <c r="CW33" s="562">
        <v>1.75</v>
      </c>
      <c r="CX33" s="562">
        <v>2</v>
      </c>
      <c r="CY33" s="562">
        <v>1.5</v>
      </c>
      <c r="CZ33" s="560">
        <v>2181.666667</v>
      </c>
      <c r="DA33" s="560">
        <v>11.80555556</v>
      </c>
      <c r="DB33" s="560" t="s">
        <v>1719</v>
      </c>
      <c r="DC33" s="560">
        <v>50</v>
      </c>
      <c r="DD33" s="560">
        <v>4</v>
      </c>
      <c r="DE33" s="560" t="s">
        <v>1720</v>
      </c>
      <c r="DF33" s="560">
        <v>5</v>
      </c>
      <c r="DG33" s="560">
        <v>0</v>
      </c>
      <c r="DH33" s="560">
        <v>4.5</v>
      </c>
      <c r="DI33" s="560">
        <v>4.5</v>
      </c>
      <c r="DJ33" s="560">
        <v>0</v>
      </c>
      <c r="DK33" s="560">
        <v>0</v>
      </c>
      <c r="DL33" s="560">
        <v>0</v>
      </c>
      <c r="DM33" s="560">
        <v>0</v>
      </c>
      <c r="DN33" s="560">
        <v>0</v>
      </c>
      <c r="DO33" s="560">
        <v>0</v>
      </c>
    </row>
    <row r="34" spans="1:119">
      <c r="A34" s="560" t="s">
        <v>1041</v>
      </c>
      <c r="B34" s="560" t="s">
        <v>1713</v>
      </c>
      <c r="C34" s="560" t="s">
        <v>779</v>
      </c>
      <c r="D34" s="560">
        <v>3</v>
      </c>
      <c r="E34" s="560">
        <v>491.93877800000001</v>
      </c>
      <c r="F34" s="560">
        <v>57.524538</v>
      </c>
      <c r="G34" s="560">
        <v>6644.9655000000002</v>
      </c>
      <c r="H34" s="560">
        <v>139.9665</v>
      </c>
      <c r="I34" s="560">
        <v>0.91800700000000002</v>
      </c>
      <c r="J34" s="560">
        <v>0.323907</v>
      </c>
      <c r="K34" s="560">
        <v>0.35061100000000001</v>
      </c>
      <c r="L34" s="560">
        <v>0.55025199999999996</v>
      </c>
      <c r="M34" s="560">
        <v>15315.726291000001</v>
      </c>
      <c r="N34" s="560">
        <v>19873.994416000001</v>
      </c>
      <c r="O34" s="560">
        <v>8188.0991979999999</v>
      </c>
      <c r="P34" s="560">
        <v>1642.755715</v>
      </c>
      <c r="Q34" s="560">
        <v>467.69732199999999</v>
      </c>
      <c r="R34" s="560">
        <v>2433.9203200000002</v>
      </c>
      <c r="S34" s="560">
        <v>1313.382715</v>
      </c>
      <c r="T34" s="560">
        <v>1775.8155810000001</v>
      </c>
      <c r="U34" s="560">
        <v>431.02065199999998</v>
      </c>
      <c r="V34" s="560">
        <v>60.295341999999998</v>
      </c>
      <c r="W34" s="560">
        <v>14.203403</v>
      </c>
      <c r="X34" s="560">
        <v>0</v>
      </c>
      <c r="Y34" s="560">
        <v>33.716244000000003</v>
      </c>
      <c r="Z34" s="560">
        <v>175.46102500000001</v>
      </c>
      <c r="AA34" s="560">
        <v>45969.335689</v>
      </c>
      <c r="AB34" s="560">
        <v>57594.483232999999</v>
      </c>
      <c r="AC34" s="560">
        <v>49280.766538000003</v>
      </c>
      <c r="AD34" s="560">
        <v>41767.218561000002</v>
      </c>
      <c r="AE34" s="560">
        <v>655.64318100000003</v>
      </c>
      <c r="AF34" s="560">
        <v>15432.770354</v>
      </c>
      <c r="AG34" s="560">
        <v>19489.566796999999</v>
      </c>
      <c r="AH34" s="560">
        <v>5769.5890920000002</v>
      </c>
      <c r="AI34" s="560">
        <v>0</v>
      </c>
      <c r="AJ34" s="560">
        <v>0</v>
      </c>
      <c r="AK34" s="560">
        <v>0</v>
      </c>
      <c r="AL34" s="560">
        <v>200.75</v>
      </c>
      <c r="AM34" s="560">
        <v>0</v>
      </c>
      <c r="AN34" s="560">
        <v>0</v>
      </c>
      <c r="AO34" s="560">
        <v>0</v>
      </c>
      <c r="AP34" s="560">
        <v>0</v>
      </c>
      <c r="AQ34" s="560" t="s">
        <v>1041</v>
      </c>
      <c r="AR34" s="560" t="s">
        <v>1729</v>
      </c>
      <c r="AS34" s="560">
        <v>0</v>
      </c>
      <c r="AT34" s="560">
        <v>0</v>
      </c>
      <c r="AU34" s="560">
        <v>0</v>
      </c>
      <c r="AV34" s="560">
        <v>69</v>
      </c>
      <c r="AW34" s="560">
        <v>64</v>
      </c>
      <c r="AX34" s="560">
        <v>74</v>
      </c>
      <c r="AY34" s="560">
        <v>78</v>
      </c>
      <c r="AZ34" s="560">
        <v>1</v>
      </c>
      <c r="BA34" s="560">
        <v>2268</v>
      </c>
      <c r="BB34" s="560">
        <v>0</v>
      </c>
      <c r="BC34" s="560">
        <v>0.5</v>
      </c>
      <c r="BD34" s="560">
        <v>0</v>
      </c>
      <c r="BE34" s="560" t="s">
        <v>1715</v>
      </c>
      <c r="BF34" s="560">
        <v>3</v>
      </c>
      <c r="BG34" s="560">
        <v>17.399999999999999</v>
      </c>
      <c r="BH34" s="560">
        <v>1</v>
      </c>
      <c r="BI34" s="560">
        <v>2</v>
      </c>
      <c r="BJ34" s="560">
        <v>40</v>
      </c>
      <c r="BK34" s="560">
        <v>0</v>
      </c>
      <c r="BL34" s="560" t="s">
        <v>1716</v>
      </c>
      <c r="BM34" s="560">
        <v>0.06</v>
      </c>
      <c r="BN34" s="560">
        <v>300</v>
      </c>
      <c r="BO34" s="560">
        <v>4.5</v>
      </c>
      <c r="BP34" s="560" t="s">
        <v>1747</v>
      </c>
      <c r="BQ34" s="560">
        <v>0.03</v>
      </c>
      <c r="BR34" s="560">
        <v>80</v>
      </c>
      <c r="BS34" s="560">
        <v>4.9000000000000004</v>
      </c>
      <c r="BT34" s="560">
        <v>2200</v>
      </c>
      <c r="BU34" s="560">
        <v>18700</v>
      </c>
      <c r="BV34" s="560">
        <v>200</v>
      </c>
      <c r="BW34" s="560">
        <v>26.8</v>
      </c>
      <c r="BX34" s="560">
        <v>2210</v>
      </c>
      <c r="BY34" s="560">
        <v>11.4</v>
      </c>
      <c r="BZ34" s="560">
        <v>1784</v>
      </c>
      <c r="CA34" s="560">
        <v>35</v>
      </c>
      <c r="CB34" s="560">
        <v>0.85</v>
      </c>
      <c r="CC34" s="560">
        <v>91</v>
      </c>
      <c r="CD34" s="560">
        <v>91</v>
      </c>
      <c r="CE34" s="560">
        <v>91</v>
      </c>
      <c r="CF34" s="560">
        <v>91</v>
      </c>
      <c r="CG34" s="560">
        <v>0.29299999999999998</v>
      </c>
      <c r="CH34" s="560">
        <v>0.3</v>
      </c>
      <c r="CI34" s="560">
        <v>0.54</v>
      </c>
      <c r="CJ34" s="560">
        <v>40</v>
      </c>
      <c r="CK34" s="560">
        <v>5</v>
      </c>
      <c r="CL34" s="560">
        <v>1</v>
      </c>
      <c r="CM34" s="562">
        <v>1584</v>
      </c>
      <c r="CN34" s="562">
        <v>160</v>
      </c>
      <c r="CO34" s="562">
        <v>26.8</v>
      </c>
      <c r="CP34" s="562">
        <v>0</v>
      </c>
      <c r="CQ34" s="562">
        <v>0</v>
      </c>
      <c r="CR34" s="562" t="s">
        <v>1718</v>
      </c>
      <c r="CS34" s="562">
        <v>0</v>
      </c>
      <c r="CT34" s="562">
        <v>0</v>
      </c>
      <c r="CU34" s="562">
        <v>0.75</v>
      </c>
      <c r="CV34" s="562">
        <v>1</v>
      </c>
      <c r="CW34" s="562">
        <v>1.75</v>
      </c>
      <c r="CX34" s="562">
        <v>2</v>
      </c>
      <c r="CY34" s="562">
        <v>1.5</v>
      </c>
      <c r="CZ34" s="560">
        <v>2181.666667</v>
      </c>
      <c r="DA34" s="560">
        <v>11.80555556</v>
      </c>
      <c r="DB34" s="560" t="s">
        <v>1719</v>
      </c>
      <c r="DC34" s="560">
        <v>50</v>
      </c>
      <c r="DD34" s="560">
        <v>4</v>
      </c>
      <c r="DE34" s="560" t="s">
        <v>1720</v>
      </c>
      <c r="DF34" s="560">
        <v>5</v>
      </c>
      <c r="DG34" s="560">
        <v>0</v>
      </c>
      <c r="DH34" s="560">
        <v>4.5</v>
      </c>
      <c r="DI34" s="560">
        <v>4.5</v>
      </c>
      <c r="DJ34" s="560">
        <v>0</v>
      </c>
      <c r="DK34" s="560">
        <v>0</v>
      </c>
      <c r="DL34" s="560">
        <v>0</v>
      </c>
      <c r="DM34" s="560">
        <v>0</v>
      </c>
      <c r="DN34" s="560">
        <v>0</v>
      </c>
      <c r="DO34" s="560">
        <v>0</v>
      </c>
    </row>
    <row r="35" spans="1:119">
      <c r="A35" s="560" t="s">
        <v>1755</v>
      </c>
      <c r="B35" s="560" t="s">
        <v>1713</v>
      </c>
      <c r="C35" s="560" t="s">
        <v>782</v>
      </c>
      <c r="D35" s="560">
        <v>3</v>
      </c>
      <c r="E35" s="560">
        <v>491.93877800000001</v>
      </c>
      <c r="F35" s="560">
        <v>57.524538</v>
      </c>
      <c r="G35" s="560">
        <v>6644.9655000000002</v>
      </c>
      <c r="H35" s="560">
        <v>391.60199999999998</v>
      </c>
      <c r="I35" s="560">
        <v>0.91800700000000002</v>
      </c>
      <c r="J35" s="560">
        <v>0.323907</v>
      </c>
      <c r="K35" s="560">
        <v>0.35061100000000001</v>
      </c>
      <c r="L35" s="560">
        <v>0.55025199999999996</v>
      </c>
      <c r="M35" s="560">
        <v>15315.726291000001</v>
      </c>
      <c r="N35" s="560">
        <v>19873.994416000001</v>
      </c>
      <c r="O35" s="560">
        <v>8188.0991979999999</v>
      </c>
      <c r="P35" s="560">
        <v>1642.755715</v>
      </c>
      <c r="Q35" s="560">
        <v>467.69732199999999</v>
      </c>
      <c r="R35" s="560">
        <v>2433.9203200000002</v>
      </c>
      <c r="S35" s="560">
        <v>2466.5981790000001</v>
      </c>
      <c r="T35" s="560">
        <v>3189.3497400000001</v>
      </c>
      <c r="U35" s="560">
        <v>832.24579200000005</v>
      </c>
      <c r="V35" s="560">
        <v>72.617121999999995</v>
      </c>
      <c r="W35" s="560">
        <v>9.0860040000000009</v>
      </c>
      <c r="X35" s="560">
        <v>0</v>
      </c>
      <c r="Y35" s="560">
        <v>62.649673</v>
      </c>
      <c r="Z35" s="560">
        <v>326.032038</v>
      </c>
      <c r="AA35" s="560">
        <v>45969.335689</v>
      </c>
      <c r="AB35" s="560">
        <v>57594.483232999999</v>
      </c>
      <c r="AC35" s="560">
        <v>49280.766538000003</v>
      </c>
      <c r="AD35" s="560">
        <v>41767.218561000002</v>
      </c>
      <c r="AE35" s="560">
        <v>655.64318100000003</v>
      </c>
      <c r="AF35" s="560">
        <v>19665.31121</v>
      </c>
      <c r="AG35" s="560">
        <v>25939.875177999998</v>
      </c>
      <c r="AH35" s="560">
        <v>8533.3780559999996</v>
      </c>
      <c r="AI35" s="560">
        <v>0</v>
      </c>
      <c r="AJ35" s="560">
        <v>0</v>
      </c>
      <c r="AK35" s="560">
        <v>0</v>
      </c>
      <c r="AL35" s="560">
        <v>200.75</v>
      </c>
      <c r="AM35" s="560">
        <v>0</v>
      </c>
      <c r="AN35" s="560">
        <v>0</v>
      </c>
      <c r="AO35" s="560">
        <v>0</v>
      </c>
      <c r="AP35" s="560">
        <v>0</v>
      </c>
      <c r="AQ35" s="560" t="s">
        <v>1755</v>
      </c>
      <c r="AR35" s="560" t="s">
        <v>1731</v>
      </c>
      <c r="AS35" s="560">
        <v>0</v>
      </c>
      <c r="AT35" s="560">
        <v>0</v>
      </c>
      <c r="AU35" s="560">
        <v>0</v>
      </c>
      <c r="AV35" s="560">
        <v>69</v>
      </c>
      <c r="AW35" s="560">
        <v>64</v>
      </c>
      <c r="AX35" s="560">
        <v>74</v>
      </c>
      <c r="AY35" s="560">
        <v>78</v>
      </c>
      <c r="AZ35" s="560">
        <v>1</v>
      </c>
      <c r="BA35" s="560">
        <v>2268</v>
      </c>
      <c r="BB35" s="560">
        <v>0</v>
      </c>
      <c r="BC35" s="560">
        <v>0.5</v>
      </c>
      <c r="BD35" s="560">
        <v>0</v>
      </c>
      <c r="BE35" s="560" t="s">
        <v>1715</v>
      </c>
      <c r="BF35" s="560">
        <v>3</v>
      </c>
      <c r="BG35" s="560">
        <v>17.399999999999999</v>
      </c>
      <c r="BH35" s="560">
        <v>1</v>
      </c>
      <c r="BI35" s="560">
        <v>2</v>
      </c>
      <c r="BJ35" s="560">
        <v>40</v>
      </c>
      <c r="BK35" s="560">
        <v>0</v>
      </c>
      <c r="BL35" s="560" t="s">
        <v>1716</v>
      </c>
      <c r="BM35" s="560">
        <v>0.06</v>
      </c>
      <c r="BN35" s="560">
        <v>300</v>
      </c>
      <c r="BO35" s="560">
        <v>4.5</v>
      </c>
      <c r="BP35" s="560" t="s">
        <v>1747</v>
      </c>
      <c r="BQ35" s="560">
        <v>0.03</v>
      </c>
      <c r="BR35" s="560">
        <v>80</v>
      </c>
      <c r="BS35" s="560">
        <v>4.9000000000000004</v>
      </c>
      <c r="BT35" s="560">
        <v>2200</v>
      </c>
      <c r="BU35" s="560">
        <v>18700</v>
      </c>
      <c r="BV35" s="560">
        <v>200</v>
      </c>
      <c r="BW35" s="560">
        <v>26.8</v>
      </c>
      <c r="BX35" s="560">
        <v>2210</v>
      </c>
      <c r="BY35" s="560">
        <v>11.4</v>
      </c>
      <c r="BZ35" s="560">
        <v>1784</v>
      </c>
      <c r="CA35" s="560">
        <v>35</v>
      </c>
      <c r="CB35" s="560">
        <v>0.85</v>
      </c>
      <c r="CC35" s="560">
        <v>91</v>
      </c>
      <c r="CD35" s="560">
        <v>91</v>
      </c>
      <c r="CE35" s="560">
        <v>91</v>
      </c>
      <c r="CF35" s="560">
        <v>91</v>
      </c>
      <c r="CG35" s="560">
        <v>0.29299999999999998</v>
      </c>
      <c r="CH35" s="560">
        <v>0.3</v>
      </c>
      <c r="CI35" s="560">
        <v>0.54</v>
      </c>
      <c r="CJ35" s="560">
        <v>40</v>
      </c>
      <c r="CK35" s="560">
        <v>5</v>
      </c>
      <c r="CL35" s="560">
        <v>1</v>
      </c>
      <c r="CM35" s="562">
        <v>1584</v>
      </c>
      <c r="CN35" s="562">
        <v>160</v>
      </c>
      <c r="CO35" s="562">
        <v>26.8</v>
      </c>
      <c r="CP35" s="562">
        <v>0</v>
      </c>
      <c r="CQ35" s="562">
        <v>0</v>
      </c>
      <c r="CR35" s="562" t="s">
        <v>1718</v>
      </c>
      <c r="CS35" s="562">
        <v>0</v>
      </c>
      <c r="CT35" s="562">
        <v>0</v>
      </c>
      <c r="CU35" s="562">
        <v>0.75</v>
      </c>
      <c r="CV35" s="562">
        <v>1</v>
      </c>
      <c r="CW35" s="562">
        <v>1.75</v>
      </c>
      <c r="CX35" s="562">
        <v>2</v>
      </c>
      <c r="CY35" s="562">
        <v>1.5</v>
      </c>
      <c r="CZ35" s="560">
        <v>2181.666667</v>
      </c>
      <c r="DA35" s="560">
        <v>11.80555556</v>
      </c>
      <c r="DB35" s="560" t="s">
        <v>1719</v>
      </c>
      <c r="DC35" s="560">
        <v>50</v>
      </c>
      <c r="DD35" s="560">
        <v>4</v>
      </c>
      <c r="DE35" s="560" t="s">
        <v>1720</v>
      </c>
      <c r="DF35" s="560">
        <v>5</v>
      </c>
      <c r="DG35" s="560">
        <v>0</v>
      </c>
      <c r="DH35" s="560">
        <v>4.5</v>
      </c>
      <c r="DI35" s="560">
        <v>4.5</v>
      </c>
      <c r="DJ35" s="560">
        <v>0</v>
      </c>
      <c r="DK35" s="560">
        <v>0</v>
      </c>
      <c r="DL35" s="560">
        <v>0</v>
      </c>
      <c r="DM35" s="560">
        <v>0</v>
      </c>
      <c r="DN35" s="560">
        <v>0</v>
      </c>
      <c r="DO35" s="560">
        <v>0</v>
      </c>
    </row>
    <row r="36" spans="1:119">
      <c r="A36" s="560" t="s">
        <v>1756</v>
      </c>
      <c r="B36" s="560" t="s">
        <v>1713</v>
      </c>
      <c r="C36" s="560" t="s">
        <v>785</v>
      </c>
      <c r="D36" s="560">
        <v>3</v>
      </c>
      <c r="E36" s="560">
        <v>491.93877800000001</v>
      </c>
      <c r="F36" s="560">
        <v>57.524538</v>
      </c>
      <c r="G36" s="560">
        <v>6644.9655000000002</v>
      </c>
      <c r="H36" s="560">
        <v>755.94</v>
      </c>
      <c r="I36" s="560">
        <v>0.91800700000000002</v>
      </c>
      <c r="J36" s="560">
        <v>0.323907</v>
      </c>
      <c r="K36" s="560">
        <v>0.35061100000000001</v>
      </c>
      <c r="L36" s="560">
        <v>0.55025199999999996</v>
      </c>
      <c r="M36" s="560">
        <v>15315.726291000001</v>
      </c>
      <c r="N36" s="560">
        <v>19873.994416000001</v>
      </c>
      <c r="O36" s="560">
        <v>8188.0991979999999</v>
      </c>
      <c r="P36" s="560">
        <v>1642.755715</v>
      </c>
      <c r="Q36" s="560">
        <v>467.69732199999999</v>
      </c>
      <c r="R36" s="560">
        <v>2433.9203200000002</v>
      </c>
      <c r="S36" s="560">
        <v>3867.0973840000001</v>
      </c>
      <c r="T36" s="560">
        <v>4864.3166609999998</v>
      </c>
      <c r="U36" s="560">
        <v>1352.019055</v>
      </c>
      <c r="V36" s="560">
        <v>66.726281999999998</v>
      </c>
      <c r="W36" s="560">
        <v>4.9353059999999997</v>
      </c>
      <c r="X36" s="560">
        <v>0</v>
      </c>
      <c r="Y36" s="560">
        <v>98.681910999999999</v>
      </c>
      <c r="Z36" s="560">
        <v>513.545615</v>
      </c>
      <c r="AA36" s="560">
        <v>45969.335689</v>
      </c>
      <c r="AB36" s="560">
        <v>57594.483232999999</v>
      </c>
      <c r="AC36" s="560">
        <v>49280.766538000003</v>
      </c>
      <c r="AD36" s="560">
        <v>41767.218561000002</v>
      </c>
      <c r="AE36" s="560">
        <v>655.64318100000003</v>
      </c>
      <c r="AF36" s="560">
        <v>20178.165539000001</v>
      </c>
      <c r="AG36" s="560">
        <v>26439.249287999999</v>
      </c>
      <c r="AH36" s="560">
        <v>8982.357231</v>
      </c>
      <c r="AI36" s="560">
        <v>0</v>
      </c>
      <c r="AJ36" s="560">
        <v>0</v>
      </c>
      <c r="AK36" s="560">
        <v>0</v>
      </c>
      <c r="AL36" s="560">
        <v>200.75</v>
      </c>
      <c r="AM36" s="560">
        <v>0</v>
      </c>
      <c r="AN36" s="560">
        <v>0</v>
      </c>
      <c r="AO36" s="560">
        <v>0</v>
      </c>
      <c r="AP36" s="560">
        <v>0</v>
      </c>
      <c r="AQ36" s="560" t="s">
        <v>1756</v>
      </c>
      <c r="AR36" s="560" t="s">
        <v>1733</v>
      </c>
      <c r="AS36" s="560">
        <v>0</v>
      </c>
      <c r="AT36" s="560">
        <v>0</v>
      </c>
      <c r="AU36" s="560">
        <v>0</v>
      </c>
      <c r="AV36" s="560">
        <v>69</v>
      </c>
      <c r="AW36" s="560">
        <v>64</v>
      </c>
      <c r="AX36" s="560">
        <v>74</v>
      </c>
      <c r="AY36" s="560">
        <v>78</v>
      </c>
      <c r="AZ36" s="560">
        <v>1</v>
      </c>
      <c r="BA36" s="560">
        <v>2268</v>
      </c>
      <c r="BB36" s="560">
        <v>0</v>
      </c>
      <c r="BC36" s="560">
        <v>0.5</v>
      </c>
      <c r="BD36" s="560">
        <v>0</v>
      </c>
      <c r="BE36" s="560" t="s">
        <v>1715</v>
      </c>
      <c r="BF36" s="560">
        <v>3</v>
      </c>
      <c r="BG36" s="560">
        <v>17.399999999999999</v>
      </c>
      <c r="BH36" s="560">
        <v>1</v>
      </c>
      <c r="BI36" s="560">
        <v>2</v>
      </c>
      <c r="BJ36" s="560">
        <v>40</v>
      </c>
      <c r="BK36" s="560">
        <v>0</v>
      </c>
      <c r="BL36" s="560" t="s">
        <v>1716</v>
      </c>
      <c r="BM36" s="560">
        <v>0.06</v>
      </c>
      <c r="BN36" s="560">
        <v>300</v>
      </c>
      <c r="BO36" s="560">
        <v>4.5</v>
      </c>
      <c r="BP36" s="560" t="s">
        <v>1747</v>
      </c>
      <c r="BQ36" s="560">
        <v>0.03</v>
      </c>
      <c r="BR36" s="560">
        <v>80</v>
      </c>
      <c r="BS36" s="560">
        <v>4.9000000000000004</v>
      </c>
      <c r="BT36" s="560">
        <v>2200</v>
      </c>
      <c r="BU36" s="560">
        <v>18700</v>
      </c>
      <c r="BV36" s="560">
        <v>200</v>
      </c>
      <c r="BW36" s="560">
        <v>26.8</v>
      </c>
      <c r="BX36" s="560">
        <v>2210</v>
      </c>
      <c r="BY36" s="560">
        <v>11.4</v>
      </c>
      <c r="BZ36" s="560">
        <v>1784</v>
      </c>
      <c r="CA36" s="560">
        <v>35</v>
      </c>
      <c r="CB36" s="560">
        <v>0.85</v>
      </c>
      <c r="CC36" s="560">
        <v>91</v>
      </c>
      <c r="CD36" s="560">
        <v>91</v>
      </c>
      <c r="CE36" s="560">
        <v>91</v>
      </c>
      <c r="CF36" s="560">
        <v>91</v>
      </c>
      <c r="CG36" s="560">
        <v>0.29299999999999998</v>
      </c>
      <c r="CH36" s="560">
        <v>0.3</v>
      </c>
      <c r="CI36" s="560">
        <v>0.54</v>
      </c>
      <c r="CJ36" s="560">
        <v>40</v>
      </c>
      <c r="CK36" s="560">
        <v>5</v>
      </c>
      <c r="CL36" s="560">
        <v>1</v>
      </c>
      <c r="CM36" s="562">
        <v>1584</v>
      </c>
      <c r="CN36" s="562">
        <v>160</v>
      </c>
      <c r="CO36" s="562">
        <v>26.8</v>
      </c>
      <c r="CP36" s="562">
        <v>0</v>
      </c>
      <c r="CQ36" s="562">
        <v>0</v>
      </c>
      <c r="CR36" s="562" t="s">
        <v>1718</v>
      </c>
      <c r="CS36" s="562">
        <v>0</v>
      </c>
      <c r="CT36" s="562">
        <v>0</v>
      </c>
      <c r="CU36" s="562">
        <v>0.75</v>
      </c>
      <c r="CV36" s="562">
        <v>1</v>
      </c>
      <c r="CW36" s="562">
        <v>1.75</v>
      </c>
      <c r="CX36" s="562">
        <v>2</v>
      </c>
      <c r="CY36" s="562">
        <v>1.5</v>
      </c>
      <c r="CZ36" s="560">
        <v>2181.666667</v>
      </c>
      <c r="DA36" s="560">
        <v>11.80555556</v>
      </c>
      <c r="DB36" s="560" t="s">
        <v>1719</v>
      </c>
      <c r="DC36" s="560">
        <v>50</v>
      </c>
      <c r="DD36" s="560">
        <v>4</v>
      </c>
      <c r="DE36" s="560" t="s">
        <v>1720</v>
      </c>
      <c r="DF36" s="560">
        <v>5</v>
      </c>
      <c r="DG36" s="560">
        <v>0</v>
      </c>
      <c r="DH36" s="560">
        <v>4.5</v>
      </c>
      <c r="DI36" s="560">
        <v>4.5</v>
      </c>
      <c r="DJ36" s="560">
        <v>0</v>
      </c>
      <c r="DK36" s="560">
        <v>0</v>
      </c>
      <c r="DL36" s="560">
        <v>0</v>
      </c>
      <c r="DM36" s="560">
        <v>0</v>
      </c>
      <c r="DN36" s="560">
        <v>0</v>
      </c>
      <c r="DO36" s="560">
        <v>0</v>
      </c>
    </row>
    <row r="37" spans="1:119">
      <c r="A37" s="560" t="s">
        <v>1757</v>
      </c>
      <c r="B37" s="560" t="s">
        <v>1713</v>
      </c>
      <c r="C37" s="560" t="s">
        <v>794</v>
      </c>
      <c r="D37" s="560">
        <v>3</v>
      </c>
      <c r="E37" s="560">
        <v>422.34503599999999</v>
      </c>
      <c r="F37" s="560">
        <v>56.056001000000002</v>
      </c>
      <c r="G37" s="560">
        <v>7927.5</v>
      </c>
      <c r="H37" s="560">
        <v>139.9665</v>
      </c>
      <c r="I37" s="560">
        <v>0.90101900000000001</v>
      </c>
      <c r="J37" s="560">
        <v>0.31571199999999999</v>
      </c>
      <c r="K37" s="560">
        <v>0.34545199999999998</v>
      </c>
      <c r="L37" s="560">
        <v>0.53478999999999999</v>
      </c>
      <c r="M37" s="560">
        <v>15554.193803</v>
      </c>
      <c r="N37" s="560">
        <v>20231.226033999999</v>
      </c>
      <c r="O37" s="560">
        <v>9618.0938389999992</v>
      </c>
      <c r="P37" s="560">
        <v>3198.327186</v>
      </c>
      <c r="Q37" s="560">
        <v>468.84700600000002</v>
      </c>
      <c r="R37" s="560">
        <v>2927.8839990000001</v>
      </c>
      <c r="S37" s="560">
        <v>1360.90903</v>
      </c>
      <c r="T37" s="560">
        <v>1828.71207</v>
      </c>
      <c r="U37" s="560">
        <v>438.83140600000002</v>
      </c>
      <c r="V37" s="560">
        <v>61.310923000000003</v>
      </c>
      <c r="W37" s="560">
        <v>14.145545</v>
      </c>
      <c r="X37" s="560">
        <v>0</v>
      </c>
      <c r="Y37" s="560">
        <v>34.646684999999998</v>
      </c>
      <c r="Z37" s="560">
        <v>216.36370500000001</v>
      </c>
      <c r="AA37" s="560">
        <v>45246.755346999998</v>
      </c>
      <c r="AB37" s="560">
        <v>55750.831868000001</v>
      </c>
      <c r="AC37" s="560">
        <v>50447.622055</v>
      </c>
      <c r="AD37" s="560">
        <v>44425.187836999998</v>
      </c>
      <c r="AE37" s="560">
        <v>546.36931800000002</v>
      </c>
      <c r="AF37" s="560">
        <v>14058.523565</v>
      </c>
      <c r="AG37" s="560">
        <v>17683.615233</v>
      </c>
      <c r="AH37" s="560">
        <v>5217.2069519999995</v>
      </c>
      <c r="AI37" s="560">
        <v>0</v>
      </c>
      <c r="AJ37" s="560">
        <v>0</v>
      </c>
      <c r="AK37" s="560">
        <v>0</v>
      </c>
      <c r="AL37" s="560">
        <v>200.75</v>
      </c>
      <c r="AM37" s="560">
        <v>0</v>
      </c>
      <c r="AN37" s="560">
        <v>0</v>
      </c>
      <c r="AO37" s="560">
        <v>0</v>
      </c>
      <c r="AP37" s="560">
        <v>0</v>
      </c>
      <c r="AQ37" s="560" t="s">
        <v>1757</v>
      </c>
      <c r="AR37" s="560" t="s">
        <v>1738</v>
      </c>
      <c r="AS37" s="560">
        <v>0</v>
      </c>
      <c r="AT37" s="560">
        <v>0</v>
      </c>
      <c r="AU37" s="560">
        <v>0</v>
      </c>
      <c r="AV37" s="560">
        <v>69</v>
      </c>
      <c r="AW37" s="560">
        <v>64</v>
      </c>
      <c r="AX37" s="560">
        <v>74</v>
      </c>
      <c r="AY37" s="560">
        <v>78</v>
      </c>
      <c r="AZ37" s="560">
        <v>1</v>
      </c>
      <c r="BA37" s="560">
        <v>2268</v>
      </c>
      <c r="BB37" s="560">
        <v>0</v>
      </c>
      <c r="BC37" s="560">
        <v>0.5</v>
      </c>
      <c r="BD37" s="560">
        <v>0</v>
      </c>
      <c r="BE37" s="560" t="s">
        <v>1715</v>
      </c>
      <c r="BF37" s="560">
        <v>2.5</v>
      </c>
      <c r="BG37" s="560">
        <v>17.399999999999999</v>
      </c>
      <c r="BH37" s="560">
        <v>1</v>
      </c>
      <c r="BI37" s="560">
        <v>2</v>
      </c>
      <c r="BJ37" s="560">
        <v>40</v>
      </c>
      <c r="BK37" s="560">
        <v>0</v>
      </c>
      <c r="BL37" s="560" t="s">
        <v>1716</v>
      </c>
      <c r="BM37" s="560">
        <v>0.06</v>
      </c>
      <c r="BN37" s="560">
        <v>300</v>
      </c>
      <c r="BO37" s="560">
        <v>6</v>
      </c>
      <c r="BP37" s="560" t="s">
        <v>1747</v>
      </c>
      <c r="BQ37" s="560">
        <v>0.03</v>
      </c>
      <c r="BR37" s="560">
        <v>80</v>
      </c>
      <c r="BS37" s="560">
        <v>6</v>
      </c>
      <c r="BT37" s="560">
        <v>2200</v>
      </c>
      <c r="BU37" s="560">
        <v>18700</v>
      </c>
      <c r="BV37" s="560">
        <v>200</v>
      </c>
      <c r="BW37" s="560">
        <v>30.609376350000002</v>
      </c>
      <c r="BX37" s="560">
        <v>2210</v>
      </c>
      <c r="BY37" s="560">
        <v>17.543859650000002</v>
      </c>
      <c r="BZ37" s="560">
        <v>1784</v>
      </c>
      <c r="CA37" s="560">
        <v>37.664196859999997</v>
      </c>
      <c r="CB37" s="560">
        <v>0.85</v>
      </c>
      <c r="CC37" s="560">
        <v>91</v>
      </c>
      <c r="CD37" s="560">
        <v>91</v>
      </c>
      <c r="CE37" s="560">
        <v>91</v>
      </c>
      <c r="CF37" s="560">
        <v>91</v>
      </c>
      <c r="CG37" s="560">
        <v>0.29299999999999998</v>
      </c>
      <c r="CH37" s="560">
        <v>0.3</v>
      </c>
      <c r="CI37" s="560">
        <v>0.54</v>
      </c>
      <c r="CJ37" s="560">
        <v>40</v>
      </c>
      <c r="CK37" s="560">
        <v>5</v>
      </c>
      <c r="CL37" s="560">
        <v>1</v>
      </c>
      <c r="CM37" s="562">
        <v>1584</v>
      </c>
      <c r="CN37" s="562">
        <v>160</v>
      </c>
      <c r="CO37" s="562">
        <v>30.609376350000002</v>
      </c>
      <c r="CP37" s="562">
        <v>0</v>
      </c>
      <c r="CQ37" s="562">
        <v>0</v>
      </c>
      <c r="CR37" s="562" t="s">
        <v>1718</v>
      </c>
      <c r="CS37" s="562">
        <v>0</v>
      </c>
      <c r="CT37" s="562">
        <v>0</v>
      </c>
      <c r="CU37" s="562">
        <v>0.75</v>
      </c>
      <c r="CV37" s="562">
        <v>1</v>
      </c>
      <c r="CW37" s="562">
        <v>1.75</v>
      </c>
      <c r="CX37" s="562">
        <v>2</v>
      </c>
      <c r="CY37" s="562">
        <v>1.5</v>
      </c>
      <c r="CZ37" s="560">
        <v>2181.666667</v>
      </c>
      <c r="DA37" s="560">
        <v>11.80555556</v>
      </c>
      <c r="DB37" s="560" t="s">
        <v>1719</v>
      </c>
      <c r="DC37" s="560">
        <v>50</v>
      </c>
      <c r="DD37" s="560">
        <v>4</v>
      </c>
      <c r="DE37" s="560" t="s">
        <v>1720</v>
      </c>
      <c r="DF37" s="560">
        <v>5</v>
      </c>
      <c r="DG37" s="560">
        <v>0</v>
      </c>
      <c r="DH37" s="560">
        <v>4.5</v>
      </c>
      <c r="DI37" s="560">
        <v>4.5</v>
      </c>
      <c r="DJ37" s="560">
        <v>0</v>
      </c>
      <c r="DK37" s="560">
        <v>0</v>
      </c>
      <c r="DL37" s="560">
        <v>0</v>
      </c>
      <c r="DM37" s="560">
        <v>0</v>
      </c>
      <c r="DN37" s="560">
        <v>0</v>
      </c>
      <c r="DO37" s="560">
        <v>0</v>
      </c>
    </row>
    <row r="38" spans="1:119">
      <c r="A38" s="560" t="s">
        <v>1758</v>
      </c>
      <c r="B38" s="560" t="s">
        <v>1713</v>
      </c>
      <c r="C38" s="560" t="s">
        <v>797</v>
      </c>
      <c r="D38" s="560">
        <v>3</v>
      </c>
      <c r="E38" s="560">
        <v>422.34503599999999</v>
      </c>
      <c r="F38" s="560">
        <v>56.056001000000002</v>
      </c>
      <c r="G38" s="560">
        <v>7927.5</v>
      </c>
      <c r="H38" s="560">
        <v>391.60199999999998</v>
      </c>
      <c r="I38" s="560">
        <v>0.90101900000000001</v>
      </c>
      <c r="J38" s="560">
        <v>0.31571199999999999</v>
      </c>
      <c r="K38" s="560">
        <v>0.34545199999999998</v>
      </c>
      <c r="L38" s="560">
        <v>0.53478999999999999</v>
      </c>
      <c r="M38" s="560">
        <v>15554.193803</v>
      </c>
      <c r="N38" s="560">
        <v>20231.226033999999</v>
      </c>
      <c r="O38" s="560">
        <v>9618.0938389999992</v>
      </c>
      <c r="P38" s="560">
        <v>3198.327186</v>
      </c>
      <c r="Q38" s="560">
        <v>468.84700600000002</v>
      </c>
      <c r="R38" s="560">
        <v>2927.8839990000001</v>
      </c>
      <c r="S38" s="560">
        <v>2439.1463229999999</v>
      </c>
      <c r="T38" s="560">
        <v>3135.0039769999998</v>
      </c>
      <c r="U38" s="560">
        <v>808.87732800000003</v>
      </c>
      <c r="V38" s="560">
        <v>71.123887999999994</v>
      </c>
      <c r="W38" s="560">
        <v>9.1119719999999997</v>
      </c>
      <c r="X38" s="560">
        <v>0</v>
      </c>
      <c r="Y38" s="560">
        <v>61.445377000000001</v>
      </c>
      <c r="Z38" s="560">
        <v>383.71778699999999</v>
      </c>
      <c r="AA38" s="560">
        <v>45246.755346999998</v>
      </c>
      <c r="AB38" s="560">
        <v>55750.831868000001</v>
      </c>
      <c r="AC38" s="560">
        <v>50447.622055</v>
      </c>
      <c r="AD38" s="560">
        <v>44425.187836999998</v>
      </c>
      <c r="AE38" s="560">
        <v>546.36931800000002</v>
      </c>
      <c r="AF38" s="560">
        <v>17812.325658999998</v>
      </c>
      <c r="AG38" s="560">
        <v>23376.449087000001</v>
      </c>
      <c r="AH38" s="560">
        <v>7652.2984939999997</v>
      </c>
      <c r="AI38" s="560">
        <v>0</v>
      </c>
      <c r="AJ38" s="560">
        <v>0</v>
      </c>
      <c r="AK38" s="560">
        <v>0</v>
      </c>
      <c r="AL38" s="560">
        <v>200.75</v>
      </c>
      <c r="AM38" s="560">
        <v>0</v>
      </c>
      <c r="AN38" s="560">
        <v>0</v>
      </c>
      <c r="AO38" s="560">
        <v>0</v>
      </c>
      <c r="AP38" s="560">
        <v>0</v>
      </c>
      <c r="AQ38" s="560" t="s">
        <v>1758</v>
      </c>
      <c r="AR38" s="560" t="s">
        <v>1740</v>
      </c>
      <c r="AS38" s="560">
        <v>0</v>
      </c>
      <c r="AT38" s="560">
        <v>0</v>
      </c>
      <c r="AU38" s="560">
        <v>0</v>
      </c>
      <c r="AV38" s="560">
        <v>69</v>
      </c>
      <c r="AW38" s="560">
        <v>64</v>
      </c>
      <c r="AX38" s="560">
        <v>74</v>
      </c>
      <c r="AY38" s="560">
        <v>78</v>
      </c>
      <c r="AZ38" s="560">
        <v>1</v>
      </c>
      <c r="BA38" s="560">
        <v>2268</v>
      </c>
      <c r="BB38" s="560">
        <v>0</v>
      </c>
      <c r="BC38" s="560">
        <v>0.5</v>
      </c>
      <c r="BD38" s="560">
        <v>0</v>
      </c>
      <c r="BE38" s="560" t="s">
        <v>1715</v>
      </c>
      <c r="BF38" s="560">
        <v>2.5</v>
      </c>
      <c r="BG38" s="560">
        <v>17.399999999999999</v>
      </c>
      <c r="BH38" s="560">
        <v>1</v>
      </c>
      <c r="BI38" s="560">
        <v>2</v>
      </c>
      <c r="BJ38" s="560">
        <v>40</v>
      </c>
      <c r="BK38" s="560">
        <v>0</v>
      </c>
      <c r="BL38" s="560" t="s">
        <v>1716</v>
      </c>
      <c r="BM38" s="560">
        <v>0.06</v>
      </c>
      <c r="BN38" s="560">
        <v>300</v>
      </c>
      <c r="BO38" s="560">
        <v>6</v>
      </c>
      <c r="BP38" s="560" t="s">
        <v>1747</v>
      </c>
      <c r="BQ38" s="560">
        <v>0.03</v>
      </c>
      <c r="BR38" s="560">
        <v>80</v>
      </c>
      <c r="BS38" s="560">
        <v>6</v>
      </c>
      <c r="BT38" s="560">
        <v>2200</v>
      </c>
      <c r="BU38" s="560">
        <v>18700</v>
      </c>
      <c r="BV38" s="560">
        <v>200</v>
      </c>
      <c r="BW38" s="560">
        <v>30.609376350000002</v>
      </c>
      <c r="BX38" s="560">
        <v>2210</v>
      </c>
      <c r="BY38" s="560">
        <v>17.543859650000002</v>
      </c>
      <c r="BZ38" s="560">
        <v>1784</v>
      </c>
      <c r="CA38" s="560">
        <v>37.664196859999997</v>
      </c>
      <c r="CB38" s="560">
        <v>0.85</v>
      </c>
      <c r="CC38" s="560">
        <v>91</v>
      </c>
      <c r="CD38" s="560">
        <v>91</v>
      </c>
      <c r="CE38" s="560">
        <v>91</v>
      </c>
      <c r="CF38" s="560">
        <v>91</v>
      </c>
      <c r="CG38" s="560">
        <v>0.29299999999999998</v>
      </c>
      <c r="CH38" s="560">
        <v>0.3</v>
      </c>
      <c r="CI38" s="560">
        <v>0.54</v>
      </c>
      <c r="CJ38" s="560">
        <v>40</v>
      </c>
      <c r="CK38" s="560">
        <v>5</v>
      </c>
      <c r="CL38" s="560">
        <v>1</v>
      </c>
      <c r="CM38" s="562">
        <v>1584</v>
      </c>
      <c r="CN38" s="562">
        <v>160</v>
      </c>
      <c r="CO38" s="562">
        <v>30.609376350000002</v>
      </c>
      <c r="CP38" s="562">
        <v>0</v>
      </c>
      <c r="CQ38" s="562">
        <v>0</v>
      </c>
      <c r="CR38" s="562" t="s">
        <v>1718</v>
      </c>
      <c r="CS38" s="562">
        <v>0</v>
      </c>
      <c r="CT38" s="562">
        <v>0</v>
      </c>
      <c r="CU38" s="562">
        <v>0.75</v>
      </c>
      <c r="CV38" s="562">
        <v>1</v>
      </c>
      <c r="CW38" s="562">
        <v>1.75</v>
      </c>
      <c r="CX38" s="562">
        <v>2</v>
      </c>
      <c r="CY38" s="562">
        <v>1.5</v>
      </c>
      <c r="CZ38" s="560">
        <v>2181.666667</v>
      </c>
      <c r="DA38" s="560">
        <v>11.80555556</v>
      </c>
      <c r="DB38" s="560" t="s">
        <v>1719</v>
      </c>
      <c r="DC38" s="560">
        <v>50</v>
      </c>
      <c r="DD38" s="560">
        <v>4</v>
      </c>
      <c r="DE38" s="560" t="s">
        <v>1720</v>
      </c>
      <c r="DF38" s="560">
        <v>5</v>
      </c>
      <c r="DG38" s="560">
        <v>0</v>
      </c>
      <c r="DH38" s="560">
        <v>4.5</v>
      </c>
      <c r="DI38" s="560">
        <v>4.5</v>
      </c>
      <c r="DJ38" s="560">
        <v>0</v>
      </c>
      <c r="DK38" s="560">
        <v>0</v>
      </c>
      <c r="DL38" s="560">
        <v>0</v>
      </c>
      <c r="DM38" s="560">
        <v>0</v>
      </c>
      <c r="DN38" s="560">
        <v>0</v>
      </c>
      <c r="DO38" s="560">
        <v>0</v>
      </c>
    </row>
    <row r="39" spans="1:119">
      <c r="A39" s="560" t="s">
        <v>1759</v>
      </c>
      <c r="B39" s="560" t="s">
        <v>1713</v>
      </c>
      <c r="C39" s="560" t="s">
        <v>800</v>
      </c>
      <c r="D39" s="560">
        <v>3</v>
      </c>
      <c r="E39" s="560">
        <v>422.34503599999999</v>
      </c>
      <c r="F39" s="560">
        <v>56.056001000000002</v>
      </c>
      <c r="G39" s="560">
        <v>7927.5</v>
      </c>
      <c r="H39" s="560">
        <v>755.94</v>
      </c>
      <c r="I39" s="560">
        <v>0.90101900000000001</v>
      </c>
      <c r="J39" s="560">
        <v>0.31571199999999999</v>
      </c>
      <c r="K39" s="560">
        <v>0.34545199999999998</v>
      </c>
      <c r="L39" s="560">
        <v>0.53478999999999999</v>
      </c>
      <c r="M39" s="560">
        <v>15554.193803</v>
      </c>
      <c r="N39" s="560">
        <v>20231.226033999999</v>
      </c>
      <c r="O39" s="560">
        <v>9618.0938389999992</v>
      </c>
      <c r="P39" s="560">
        <v>3198.327186</v>
      </c>
      <c r="Q39" s="560">
        <v>468.84700600000002</v>
      </c>
      <c r="R39" s="560">
        <v>2927.8839990000001</v>
      </c>
      <c r="S39" s="560">
        <v>3743.8460089999999</v>
      </c>
      <c r="T39" s="560">
        <v>4675.1647469999998</v>
      </c>
      <c r="U39" s="560">
        <v>1284.1718780000001</v>
      </c>
      <c r="V39" s="560">
        <v>63.843929000000003</v>
      </c>
      <c r="W39" s="560">
        <v>4.971603</v>
      </c>
      <c r="X39" s="560">
        <v>0</v>
      </c>
      <c r="Y39" s="560">
        <v>94.638058000000001</v>
      </c>
      <c r="Z39" s="560">
        <v>591.001441</v>
      </c>
      <c r="AA39" s="560">
        <v>45246.755346999998</v>
      </c>
      <c r="AB39" s="560">
        <v>55750.831868000001</v>
      </c>
      <c r="AC39" s="560">
        <v>50447.622055</v>
      </c>
      <c r="AD39" s="560">
        <v>44425.187836999998</v>
      </c>
      <c r="AE39" s="560">
        <v>546.36931800000002</v>
      </c>
      <c r="AF39" s="560">
        <v>18261.670553</v>
      </c>
      <c r="AG39" s="560">
        <v>23879.526059</v>
      </c>
      <c r="AH39" s="560">
        <v>8025.3016180000004</v>
      </c>
      <c r="AI39" s="560">
        <v>0</v>
      </c>
      <c r="AJ39" s="560">
        <v>0</v>
      </c>
      <c r="AK39" s="560">
        <v>0</v>
      </c>
      <c r="AL39" s="560">
        <v>200.75</v>
      </c>
      <c r="AM39" s="560">
        <v>0</v>
      </c>
      <c r="AN39" s="560">
        <v>0</v>
      </c>
      <c r="AO39" s="560">
        <v>0</v>
      </c>
      <c r="AP39" s="560">
        <v>0</v>
      </c>
      <c r="AQ39" s="560" t="s">
        <v>1759</v>
      </c>
      <c r="AR39" s="560" t="s">
        <v>1742</v>
      </c>
      <c r="AS39" s="560">
        <v>0</v>
      </c>
      <c r="AT39" s="560">
        <v>0</v>
      </c>
      <c r="AU39" s="560">
        <v>0</v>
      </c>
      <c r="AV39" s="560">
        <v>69</v>
      </c>
      <c r="AW39" s="560">
        <v>64</v>
      </c>
      <c r="AX39" s="560">
        <v>74</v>
      </c>
      <c r="AY39" s="560">
        <v>78</v>
      </c>
      <c r="AZ39" s="560">
        <v>1</v>
      </c>
      <c r="BA39" s="560">
        <v>2268</v>
      </c>
      <c r="BB39" s="560">
        <v>0</v>
      </c>
      <c r="BC39" s="560">
        <v>0.5</v>
      </c>
      <c r="BD39" s="560">
        <v>0</v>
      </c>
      <c r="BE39" s="560" t="s">
        <v>1715</v>
      </c>
      <c r="BF39" s="560">
        <v>2.5</v>
      </c>
      <c r="BG39" s="560">
        <v>17.399999999999999</v>
      </c>
      <c r="BH39" s="560">
        <v>1</v>
      </c>
      <c r="BI39" s="560">
        <v>2</v>
      </c>
      <c r="BJ39" s="560">
        <v>40</v>
      </c>
      <c r="BK39" s="560">
        <v>0</v>
      </c>
      <c r="BL39" s="560" t="s">
        <v>1716</v>
      </c>
      <c r="BM39" s="560">
        <v>0.06</v>
      </c>
      <c r="BN39" s="560">
        <v>300</v>
      </c>
      <c r="BO39" s="560">
        <v>6</v>
      </c>
      <c r="BP39" s="560" t="s">
        <v>1747</v>
      </c>
      <c r="BQ39" s="560">
        <v>0.03</v>
      </c>
      <c r="BR39" s="560">
        <v>80</v>
      </c>
      <c r="BS39" s="560">
        <v>6</v>
      </c>
      <c r="BT39" s="560">
        <v>2200</v>
      </c>
      <c r="BU39" s="560">
        <v>18700</v>
      </c>
      <c r="BV39" s="560">
        <v>200</v>
      </c>
      <c r="BW39" s="560">
        <v>30.609376350000002</v>
      </c>
      <c r="BX39" s="560">
        <v>2210</v>
      </c>
      <c r="BY39" s="560">
        <v>17.543859650000002</v>
      </c>
      <c r="BZ39" s="560">
        <v>1784</v>
      </c>
      <c r="CA39" s="560">
        <v>37.664196859999997</v>
      </c>
      <c r="CB39" s="560">
        <v>0.85</v>
      </c>
      <c r="CC39" s="560">
        <v>91</v>
      </c>
      <c r="CD39" s="560">
        <v>91</v>
      </c>
      <c r="CE39" s="560">
        <v>91</v>
      </c>
      <c r="CF39" s="560">
        <v>91</v>
      </c>
      <c r="CG39" s="560">
        <v>0.29299999999999998</v>
      </c>
      <c r="CH39" s="560">
        <v>0.3</v>
      </c>
      <c r="CI39" s="560">
        <v>0.54</v>
      </c>
      <c r="CJ39" s="560">
        <v>40</v>
      </c>
      <c r="CK39" s="560">
        <v>5</v>
      </c>
      <c r="CL39" s="560">
        <v>1</v>
      </c>
      <c r="CM39" s="562">
        <v>1584</v>
      </c>
      <c r="CN39" s="562">
        <v>160</v>
      </c>
      <c r="CO39" s="562">
        <v>30.609376350000002</v>
      </c>
      <c r="CP39" s="562">
        <v>0</v>
      </c>
      <c r="CQ39" s="562">
        <v>0</v>
      </c>
      <c r="CR39" s="562" t="s">
        <v>1718</v>
      </c>
      <c r="CS39" s="562">
        <v>0</v>
      </c>
      <c r="CT39" s="562">
        <v>0</v>
      </c>
      <c r="CU39" s="562">
        <v>0.75</v>
      </c>
      <c r="CV39" s="562">
        <v>1</v>
      </c>
      <c r="CW39" s="562">
        <v>1.75</v>
      </c>
      <c r="CX39" s="562">
        <v>2</v>
      </c>
      <c r="CY39" s="562">
        <v>1.5</v>
      </c>
      <c r="CZ39" s="560">
        <v>2181.666667</v>
      </c>
      <c r="DA39" s="560">
        <v>11.80555556</v>
      </c>
      <c r="DB39" s="560" t="s">
        <v>1719</v>
      </c>
      <c r="DC39" s="560">
        <v>50</v>
      </c>
      <c r="DD39" s="560">
        <v>4</v>
      </c>
      <c r="DE39" s="560" t="s">
        <v>1720</v>
      </c>
      <c r="DF39" s="560">
        <v>5</v>
      </c>
      <c r="DG39" s="560">
        <v>0</v>
      </c>
      <c r="DH39" s="560">
        <v>4.5</v>
      </c>
      <c r="DI39" s="560">
        <v>4.5</v>
      </c>
      <c r="DJ39" s="560">
        <v>0</v>
      </c>
      <c r="DK39" s="560">
        <v>0</v>
      </c>
      <c r="DL39" s="560">
        <v>0</v>
      </c>
      <c r="DM39" s="560">
        <v>0</v>
      </c>
      <c r="DN39" s="560">
        <v>0</v>
      </c>
      <c r="DO39" s="560">
        <v>0</v>
      </c>
    </row>
    <row r="40" spans="1:119">
      <c r="A40" s="560" t="s">
        <v>1042</v>
      </c>
      <c r="B40" s="560" t="s">
        <v>1713</v>
      </c>
      <c r="C40" s="560" t="s">
        <v>794</v>
      </c>
      <c r="D40" s="560">
        <v>3</v>
      </c>
      <c r="E40" s="560">
        <v>489.25743499999999</v>
      </c>
      <c r="F40" s="560">
        <v>56.970159000000002</v>
      </c>
      <c r="G40" s="560">
        <v>7927.5</v>
      </c>
      <c r="H40" s="560">
        <v>139.9665</v>
      </c>
      <c r="I40" s="560">
        <v>0.90101900000000001</v>
      </c>
      <c r="J40" s="560">
        <v>0.3251</v>
      </c>
      <c r="K40" s="560">
        <v>0.34863899999999998</v>
      </c>
      <c r="L40" s="560">
        <v>0.56074199999999996</v>
      </c>
      <c r="M40" s="560">
        <v>18614.469481</v>
      </c>
      <c r="N40" s="560">
        <v>24510.366999000002</v>
      </c>
      <c r="O40" s="560">
        <v>11294.843601</v>
      </c>
      <c r="P40" s="560">
        <v>3340.238456</v>
      </c>
      <c r="Q40" s="560">
        <v>580.55909199999996</v>
      </c>
      <c r="R40" s="560">
        <v>3021.2586350000001</v>
      </c>
      <c r="S40" s="560">
        <v>1313.382715</v>
      </c>
      <c r="T40" s="560">
        <v>1775.8155810000001</v>
      </c>
      <c r="U40" s="560">
        <v>431.02065199999998</v>
      </c>
      <c r="V40" s="560">
        <v>60.295341999999998</v>
      </c>
      <c r="W40" s="560">
        <v>14.203403</v>
      </c>
      <c r="X40" s="560">
        <v>0</v>
      </c>
      <c r="Y40" s="560">
        <v>33.716244000000003</v>
      </c>
      <c r="Z40" s="560">
        <v>175.46102500000001</v>
      </c>
      <c r="AA40" s="560">
        <v>48814.954384999997</v>
      </c>
      <c r="AB40" s="560">
        <v>61213.366693999997</v>
      </c>
      <c r="AC40" s="560">
        <v>54968.709818000003</v>
      </c>
      <c r="AD40" s="560">
        <v>47741.756777000002</v>
      </c>
      <c r="AE40" s="560">
        <v>655.64318100000003</v>
      </c>
      <c r="AF40" s="560">
        <v>15432.770354</v>
      </c>
      <c r="AG40" s="560">
        <v>19489.566796999999</v>
      </c>
      <c r="AH40" s="560">
        <v>5769.5890920000002</v>
      </c>
      <c r="AI40" s="560">
        <v>0</v>
      </c>
      <c r="AJ40" s="560">
        <v>0</v>
      </c>
      <c r="AK40" s="560">
        <v>0</v>
      </c>
      <c r="AL40" s="560">
        <v>200.75</v>
      </c>
      <c r="AM40" s="560">
        <v>0</v>
      </c>
      <c r="AN40" s="560">
        <v>0</v>
      </c>
      <c r="AO40" s="560">
        <v>0</v>
      </c>
      <c r="AP40" s="560">
        <v>0</v>
      </c>
      <c r="AQ40" s="560" t="s">
        <v>1042</v>
      </c>
      <c r="AR40" s="560" t="s">
        <v>1738</v>
      </c>
      <c r="AS40" s="560">
        <v>0</v>
      </c>
      <c r="AT40" s="560">
        <v>0</v>
      </c>
      <c r="AU40" s="560">
        <v>0</v>
      </c>
      <c r="AV40" s="560">
        <v>69</v>
      </c>
      <c r="AW40" s="560">
        <v>64</v>
      </c>
      <c r="AX40" s="560">
        <v>74</v>
      </c>
      <c r="AY40" s="560">
        <v>78</v>
      </c>
      <c r="AZ40" s="560">
        <v>1</v>
      </c>
      <c r="BA40" s="560">
        <v>2268</v>
      </c>
      <c r="BB40" s="560">
        <v>0</v>
      </c>
      <c r="BC40" s="560">
        <v>0.5</v>
      </c>
      <c r="BD40" s="560">
        <v>0</v>
      </c>
      <c r="BE40" s="560" t="s">
        <v>1715</v>
      </c>
      <c r="BF40" s="560">
        <v>3</v>
      </c>
      <c r="BG40" s="560">
        <v>17.399999999999999</v>
      </c>
      <c r="BH40" s="560">
        <v>1</v>
      </c>
      <c r="BI40" s="560">
        <v>2</v>
      </c>
      <c r="BJ40" s="560">
        <v>40</v>
      </c>
      <c r="BK40" s="560">
        <v>0</v>
      </c>
      <c r="BL40" s="560" t="s">
        <v>1716</v>
      </c>
      <c r="BM40" s="560">
        <v>0.06</v>
      </c>
      <c r="BN40" s="560">
        <v>300</v>
      </c>
      <c r="BO40" s="560">
        <v>4.5</v>
      </c>
      <c r="BP40" s="560" t="s">
        <v>1747</v>
      </c>
      <c r="BQ40" s="560">
        <v>0.03</v>
      </c>
      <c r="BR40" s="560">
        <v>80</v>
      </c>
      <c r="BS40" s="560">
        <v>4.9000000000000004</v>
      </c>
      <c r="BT40" s="560">
        <v>2200</v>
      </c>
      <c r="BU40" s="560">
        <v>18700</v>
      </c>
      <c r="BV40" s="560">
        <v>200</v>
      </c>
      <c r="BW40" s="560">
        <v>26.8</v>
      </c>
      <c r="BX40" s="560">
        <v>2210</v>
      </c>
      <c r="BY40" s="560">
        <v>11.4</v>
      </c>
      <c r="BZ40" s="560">
        <v>1784</v>
      </c>
      <c r="CA40" s="560">
        <v>35</v>
      </c>
      <c r="CB40" s="560">
        <v>0.85</v>
      </c>
      <c r="CC40" s="560">
        <v>91</v>
      </c>
      <c r="CD40" s="560">
        <v>91</v>
      </c>
      <c r="CE40" s="560">
        <v>91</v>
      </c>
      <c r="CF40" s="560">
        <v>91</v>
      </c>
      <c r="CG40" s="560">
        <v>0.29299999999999998</v>
      </c>
      <c r="CH40" s="560">
        <v>0.3</v>
      </c>
      <c r="CI40" s="560">
        <v>0.54</v>
      </c>
      <c r="CJ40" s="560">
        <v>40</v>
      </c>
      <c r="CK40" s="560">
        <v>5</v>
      </c>
      <c r="CL40" s="560">
        <v>1</v>
      </c>
      <c r="CM40" s="562">
        <v>1584</v>
      </c>
      <c r="CN40" s="562">
        <v>160</v>
      </c>
      <c r="CO40" s="562">
        <v>26.8</v>
      </c>
      <c r="CP40" s="562">
        <v>0</v>
      </c>
      <c r="CQ40" s="562">
        <v>0</v>
      </c>
      <c r="CR40" s="562" t="s">
        <v>1718</v>
      </c>
      <c r="CS40" s="562">
        <v>0</v>
      </c>
      <c r="CT40" s="562">
        <v>0</v>
      </c>
      <c r="CU40" s="562">
        <v>0.75</v>
      </c>
      <c r="CV40" s="562">
        <v>1</v>
      </c>
      <c r="CW40" s="562">
        <v>1.75</v>
      </c>
      <c r="CX40" s="562">
        <v>2</v>
      </c>
      <c r="CY40" s="562">
        <v>1.5</v>
      </c>
      <c r="CZ40" s="560">
        <v>2181.666667</v>
      </c>
      <c r="DA40" s="560">
        <v>11.80555556</v>
      </c>
      <c r="DB40" s="560" t="s">
        <v>1719</v>
      </c>
      <c r="DC40" s="560">
        <v>50</v>
      </c>
      <c r="DD40" s="560">
        <v>4</v>
      </c>
      <c r="DE40" s="560" t="s">
        <v>1720</v>
      </c>
      <c r="DF40" s="560">
        <v>5</v>
      </c>
      <c r="DG40" s="560">
        <v>0</v>
      </c>
      <c r="DH40" s="560">
        <v>4.5</v>
      </c>
      <c r="DI40" s="560">
        <v>4.5</v>
      </c>
      <c r="DJ40" s="560">
        <v>0</v>
      </c>
      <c r="DK40" s="560">
        <v>0</v>
      </c>
      <c r="DL40" s="560">
        <v>0</v>
      </c>
      <c r="DM40" s="560">
        <v>0</v>
      </c>
      <c r="DN40" s="560">
        <v>0</v>
      </c>
      <c r="DO40" s="560">
        <v>0</v>
      </c>
    </row>
    <row r="41" spans="1:119">
      <c r="A41" s="560" t="s">
        <v>1760</v>
      </c>
      <c r="B41" s="560" t="s">
        <v>1713</v>
      </c>
      <c r="C41" s="560" t="s">
        <v>797</v>
      </c>
      <c r="D41" s="560">
        <v>3</v>
      </c>
      <c r="E41" s="560">
        <v>489.25743499999999</v>
      </c>
      <c r="F41" s="560">
        <v>56.970159000000002</v>
      </c>
      <c r="G41" s="560">
        <v>7927.5</v>
      </c>
      <c r="H41" s="560">
        <v>391.60199999999998</v>
      </c>
      <c r="I41" s="560">
        <v>0.90101900000000001</v>
      </c>
      <c r="J41" s="560">
        <v>0.3251</v>
      </c>
      <c r="K41" s="560">
        <v>0.34863899999999998</v>
      </c>
      <c r="L41" s="560">
        <v>0.56074199999999996</v>
      </c>
      <c r="M41" s="560">
        <v>18614.469481</v>
      </c>
      <c r="N41" s="560">
        <v>24510.366999000002</v>
      </c>
      <c r="O41" s="560">
        <v>11294.843601</v>
      </c>
      <c r="P41" s="560">
        <v>3340.238456</v>
      </c>
      <c r="Q41" s="560">
        <v>580.55909199999996</v>
      </c>
      <c r="R41" s="560">
        <v>3021.2586350000001</v>
      </c>
      <c r="S41" s="560">
        <v>2466.5981790000001</v>
      </c>
      <c r="T41" s="560">
        <v>3189.3497400000001</v>
      </c>
      <c r="U41" s="560">
        <v>832.24579200000005</v>
      </c>
      <c r="V41" s="560">
        <v>72.617121999999995</v>
      </c>
      <c r="W41" s="560">
        <v>9.0860040000000009</v>
      </c>
      <c r="X41" s="560">
        <v>0</v>
      </c>
      <c r="Y41" s="560">
        <v>62.649673</v>
      </c>
      <c r="Z41" s="560">
        <v>326.032038</v>
      </c>
      <c r="AA41" s="560">
        <v>48814.954384999997</v>
      </c>
      <c r="AB41" s="560">
        <v>61213.366693999997</v>
      </c>
      <c r="AC41" s="560">
        <v>54968.709818000003</v>
      </c>
      <c r="AD41" s="560">
        <v>47741.756777000002</v>
      </c>
      <c r="AE41" s="560">
        <v>655.64318100000003</v>
      </c>
      <c r="AF41" s="560">
        <v>19665.31121</v>
      </c>
      <c r="AG41" s="560">
        <v>25939.875177999998</v>
      </c>
      <c r="AH41" s="560">
        <v>8533.3780559999996</v>
      </c>
      <c r="AI41" s="560">
        <v>0</v>
      </c>
      <c r="AJ41" s="560">
        <v>0</v>
      </c>
      <c r="AK41" s="560">
        <v>0</v>
      </c>
      <c r="AL41" s="560">
        <v>200.75</v>
      </c>
      <c r="AM41" s="560">
        <v>0</v>
      </c>
      <c r="AN41" s="560">
        <v>0</v>
      </c>
      <c r="AO41" s="560">
        <v>0</v>
      </c>
      <c r="AP41" s="560">
        <v>0</v>
      </c>
      <c r="AQ41" s="560" t="s">
        <v>1760</v>
      </c>
      <c r="AR41" s="560" t="s">
        <v>1740</v>
      </c>
      <c r="AS41" s="560">
        <v>0</v>
      </c>
      <c r="AT41" s="560">
        <v>0</v>
      </c>
      <c r="AU41" s="560">
        <v>0</v>
      </c>
      <c r="AV41" s="560">
        <v>69</v>
      </c>
      <c r="AW41" s="560">
        <v>64</v>
      </c>
      <c r="AX41" s="560">
        <v>74</v>
      </c>
      <c r="AY41" s="560">
        <v>78</v>
      </c>
      <c r="AZ41" s="560">
        <v>1</v>
      </c>
      <c r="BA41" s="560">
        <v>2268</v>
      </c>
      <c r="BB41" s="560">
        <v>0</v>
      </c>
      <c r="BC41" s="560">
        <v>0.5</v>
      </c>
      <c r="BD41" s="560">
        <v>0</v>
      </c>
      <c r="BE41" s="560" t="s">
        <v>1715</v>
      </c>
      <c r="BF41" s="560">
        <v>3</v>
      </c>
      <c r="BG41" s="560">
        <v>17.399999999999999</v>
      </c>
      <c r="BH41" s="560">
        <v>1</v>
      </c>
      <c r="BI41" s="560">
        <v>2</v>
      </c>
      <c r="BJ41" s="560">
        <v>40</v>
      </c>
      <c r="BK41" s="560">
        <v>0</v>
      </c>
      <c r="BL41" s="560" t="s">
        <v>1716</v>
      </c>
      <c r="BM41" s="560">
        <v>0.06</v>
      </c>
      <c r="BN41" s="560">
        <v>300</v>
      </c>
      <c r="BO41" s="560">
        <v>4.5</v>
      </c>
      <c r="BP41" s="560" t="s">
        <v>1747</v>
      </c>
      <c r="BQ41" s="560">
        <v>0.03</v>
      </c>
      <c r="BR41" s="560">
        <v>80</v>
      </c>
      <c r="BS41" s="560">
        <v>4.9000000000000004</v>
      </c>
      <c r="BT41" s="560">
        <v>2200</v>
      </c>
      <c r="BU41" s="560">
        <v>18700</v>
      </c>
      <c r="BV41" s="560">
        <v>200</v>
      </c>
      <c r="BW41" s="560">
        <v>26.8</v>
      </c>
      <c r="BX41" s="560">
        <v>2210</v>
      </c>
      <c r="BY41" s="560">
        <v>11.4</v>
      </c>
      <c r="BZ41" s="560">
        <v>1784</v>
      </c>
      <c r="CA41" s="560">
        <v>35</v>
      </c>
      <c r="CB41" s="560">
        <v>0.85</v>
      </c>
      <c r="CC41" s="560">
        <v>91</v>
      </c>
      <c r="CD41" s="560">
        <v>91</v>
      </c>
      <c r="CE41" s="560">
        <v>91</v>
      </c>
      <c r="CF41" s="560">
        <v>91</v>
      </c>
      <c r="CG41" s="560">
        <v>0.29299999999999998</v>
      </c>
      <c r="CH41" s="560">
        <v>0.3</v>
      </c>
      <c r="CI41" s="560">
        <v>0.54</v>
      </c>
      <c r="CJ41" s="560">
        <v>40</v>
      </c>
      <c r="CK41" s="560">
        <v>5</v>
      </c>
      <c r="CL41" s="560">
        <v>1</v>
      </c>
      <c r="CM41" s="562">
        <v>1584</v>
      </c>
      <c r="CN41" s="562">
        <v>160</v>
      </c>
      <c r="CO41" s="562">
        <v>26.8</v>
      </c>
      <c r="CP41" s="562">
        <v>0</v>
      </c>
      <c r="CQ41" s="562">
        <v>0</v>
      </c>
      <c r="CR41" s="562" t="s">
        <v>1718</v>
      </c>
      <c r="CS41" s="562">
        <v>0</v>
      </c>
      <c r="CT41" s="562">
        <v>0</v>
      </c>
      <c r="CU41" s="562">
        <v>0.75</v>
      </c>
      <c r="CV41" s="562">
        <v>1</v>
      </c>
      <c r="CW41" s="562">
        <v>1.75</v>
      </c>
      <c r="CX41" s="562">
        <v>2</v>
      </c>
      <c r="CY41" s="562">
        <v>1.5</v>
      </c>
      <c r="CZ41" s="560">
        <v>2181.666667</v>
      </c>
      <c r="DA41" s="560">
        <v>11.80555556</v>
      </c>
      <c r="DB41" s="560" t="s">
        <v>1719</v>
      </c>
      <c r="DC41" s="560">
        <v>50</v>
      </c>
      <c r="DD41" s="560">
        <v>4</v>
      </c>
      <c r="DE41" s="560" t="s">
        <v>1720</v>
      </c>
      <c r="DF41" s="560">
        <v>5</v>
      </c>
      <c r="DG41" s="560">
        <v>0</v>
      </c>
      <c r="DH41" s="560">
        <v>4.5</v>
      </c>
      <c r="DI41" s="560">
        <v>4.5</v>
      </c>
      <c r="DJ41" s="560">
        <v>0</v>
      </c>
      <c r="DK41" s="560">
        <v>0</v>
      </c>
      <c r="DL41" s="560">
        <v>0</v>
      </c>
      <c r="DM41" s="560">
        <v>0</v>
      </c>
      <c r="DN41" s="560">
        <v>0</v>
      </c>
      <c r="DO41" s="560">
        <v>0</v>
      </c>
    </row>
    <row r="42" spans="1:119">
      <c r="A42" s="560" t="s">
        <v>1761</v>
      </c>
      <c r="B42" s="560" t="s">
        <v>1713</v>
      </c>
      <c r="C42" s="560" t="s">
        <v>800</v>
      </c>
      <c r="D42" s="560">
        <v>3</v>
      </c>
      <c r="E42" s="560">
        <v>489.25743499999999</v>
      </c>
      <c r="F42" s="560">
        <v>56.970159000000002</v>
      </c>
      <c r="G42" s="560">
        <v>7927.5</v>
      </c>
      <c r="H42" s="560">
        <v>755.94</v>
      </c>
      <c r="I42" s="560">
        <v>0.90101900000000001</v>
      </c>
      <c r="J42" s="560">
        <v>0.3251</v>
      </c>
      <c r="K42" s="560">
        <v>0.34863899999999998</v>
      </c>
      <c r="L42" s="560">
        <v>0.56074199999999996</v>
      </c>
      <c r="M42" s="560">
        <v>18614.469481</v>
      </c>
      <c r="N42" s="560">
        <v>24510.366999000002</v>
      </c>
      <c r="O42" s="560">
        <v>11294.843601</v>
      </c>
      <c r="P42" s="560">
        <v>3340.238456</v>
      </c>
      <c r="Q42" s="560">
        <v>580.55909199999996</v>
      </c>
      <c r="R42" s="560">
        <v>3021.2586350000001</v>
      </c>
      <c r="S42" s="560">
        <v>3867.0973840000001</v>
      </c>
      <c r="T42" s="560">
        <v>4864.3166609999998</v>
      </c>
      <c r="U42" s="560">
        <v>1352.019055</v>
      </c>
      <c r="V42" s="560">
        <v>66.726281999999998</v>
      </c>
      <c r="W42" s="560">
        <v>4.9353059999999997</v>
      </c>
      <c r="X42" s="560">
        <v>0</v>
      </c>
      <c r="Y42" s="560">
        <v>98.681910999999999</v>
      </c>
      <c r="Z42" s="560">
        <v>513.545615</v>
      </c>
      <c r="AA42" s="560">
        <v>48814.954384999997</v>
      </c>
      <c r="AB42" s="560">
        <v>61213.366693999997</v>
      </c>
      <c r="AC42" s="560">
        <v>54968.709818000003</v>
      </c>
      <c r="AD42" s="560">
        <v>47741.756777000002</v>
      </c>
      <c r="AE42" s="560">
        <v>655.64318100000003</v>
      </c>
      <c r="AF42" s="560">
        <v>20178.165539000001</v>
      </c>
      <c r="AG42" s="560">
        <v>26439.249287999999</v>
      </c>
      <c r="AH42" s="560">
        <v>8982.357231</v>
      </c>
      <c r="AI42" s="560">
        <v>0</v>
      </c>
      <c r="AJ42" s="560">
        <v>0</v>
      </c>
      <c r="AK42" s="560">
        <v>0</v>
      </c>
      <c r="AL42" s="560">
        <v>200.75</v>
      </c>
      <c r="AM42" s="560">
        <v>0</v>
      </c>
      <c r="AN42" s="560">
        <v>0</v>
      </c>
      <c r="AO42" s="560">
        <v>0</v>
      </c>
      <c r="AP42" s="560">
        <v>0</v>
      </c>
      <c r="AQ42" s="560" t="s">
        <v>1761</v>
      </c>
      <c r="AR42" s="560" t="s">
        <v>1742</v>
      </c>
      <c r="AS42" s="560">
        <v>0</v>
      </c>
      <c r="AT42" s="560">
        <v>0</v>
      </c>
      <c r="AU42" s="560">
        <v>0</v>
      </c>
      <c r="AV42" s="560">
        <v>69</v>
      </c>
      <c r="AW42" s="560">
        <v>64</v>
      </c>
      <c r="AX42" s="560">
        <v>74</v>
      </c>
      <c r="AY42" s="560">
        <v>78</v>
      </c>
      <c r="AZ42" s="560">
        <v>1</v>
      </c>
      <c r="BA42" s="560">
        <v>2268</v>
      </c>
      <c r="BB42" s="560">
        <v>0</v>
      </c>
      <c r="BC42" s="560">
        <v>0.5</v>
      </c>
      <c r="BD42" s="560">
        <v>0</v>
      </c>
      <c r="BE42" s="560" t="s">
        <v>1715</v>
      </c>
      <c r="BF42" s="560">
        <v>3</v>
      </c>
      <c r="BG42" s="560">
        <v>17.399999999999999</v>
      </c>
      <c r="BH42" s="560">
        <v>1</v>
      </c>
      <c r="BI42" s="560">
        <v>2</v>
      </c>
      <c r="BJ42" s="560">
        <v>40</v>
      </c>
      <c r="BK42" s="560">
        <v>0</v>
      </c>
      <c r="BL42" s="560" t="s">
        <v>1716</v>
      </c>
      <c r="BM42" s="560">
        <v>0.06</v>
      </c>
      <c r="BN42" s="560">
        <v>300</v>
      </c>
      <c r="BO42" s="560">
        <v>4.5</v>
      </c>
      <c r="BP42" s="560" t="s">
        <v>1747</v>
      </c>
      <c r="BQ42" s="560">
        <v>0.03</v>
      </c>
      <c r="BR42" s="560">
        <v>80</v>
      </c>
      <c r="BS42" s="560">
        <v>4.9000000000000004</v>
      </c>
      <c r="BT42" s="560">
        <v>2200</v>
      </c>
      <c r="BU42" s="560">
        <v>18700</v>
      </c>
      <c r="BV42" s="560">
        <v>200</v>
      </c>
      <c r="BW42" s="560">
        <v>26.8</v>
      </c>
      <c r="BX42" s="560">
        <v>2210</v>
      </c>
      <c r="BY42" s="560">
        <v>11.4</v>
      </c>
      <c r="BZ42" s="560">
        <v>1784</v>
      </c>
      <c r="CA42" s="560">
        <v>35</v>
      </c>
      <c r="CB42" s="560">
        <v>0.85</v>
      </c>
      <c r="CC42" s="560">
        <v>91</v>
      </c>
      <c r="CD42" s="560">
        <v>91</v>
      </c>
      <c r="CE42" s="560">
        <v>91</v>
      </c>
      <c r="CF42" s="560">
        <v>91</v>
      </c>
      <c r="CG42" s="560">
        <v>0.29299999999999998</v>
      </c>
      <c r="CH42" s="560">
        <v>0.3</v>
      </c>
      <c r="CI42" s="560">
        <v>0.54</v>
      </c>
      <c r="CJ42" s="560">
        <v>40</v>
      </c>
      <c r="CK42" s="560">
        <v>5</v>
      </c>
      <c r="CL42" s="560">
        <v>1</v>
      </c>
      <c r="CM42" s="562">
        <v>1584</v>
      </c>
      <c r="CN42" s="562">
        <v>160</v>
      </c>
      <c r="CO42" s="562">
        <v>26.8</v>
      </c>
      <c r="CP42" s="562">
        <v>0</v>
      </c>
      <c r="CQ42" s="562">
        <v>0</v>
      </c>
      <c r="CR42" s="562" t="s">
        <v>1718</v>
      </c>
      <c r="CS42" s="562">
        <v>0</v>
      </c>
      <c r="CT42" s="562">
        <v>0</v>
      </c>
      <c r="CU42" s="562">
        <v>0.75</v>
      </c>
      <c r="CV42" s="562">
        <v>1</v>
      </c>
      <c r="CW42" s="562">
        <v>1.75</v>
      </c>
      <c r="CX42" s="562">
        <v>2</v>
      </c>
      <c r="CY42" s="562">
        <v>1.5</v>
      </c>
      <c r="CZ42" s="560">
        <v>2181.666667</v>
      </c>
      <c r="DA42" s="560">
        <v>11.80555556</v>
      </c>
      <c r="DB42" s="560" t="s">
        <v>1719</v>
      </c>
      <c r="DC42" s="560">
        <v>50</v>
      </c>
      <c r="DD42" s="560">
        <v>4</v>
      </c>
      <c r="DE42" s="560" t="s">
        <v>1720</v>
      </c>
      <c r="DF42" s="560">
        <v>5</v>
      </c>
      <c r="DG42" s="560">
        <v>0</v>
      </c>
      <c r="DH42" s="560">
        <v>4.5</v>
      </c>
      <c r="DI42" s="560">
        <v>4.5</v>
      </c>
      <c r="DJ42" s="560">
        <v>0</v>
      </c>
      <c r="DK42" s="560">
        <v>0</v>
      </c>
      <c r="DL42" s="560">
        <v>0</v>
      </c>
      <c r="DM42" s="560">
        <v>0</v>
      </c>
      <c r="DN42" s="560">
        <v>0</v>
      </c>
      <c r="DO42" s="560">
        <v>0</v>
      </c>
    </row>
    <row r="43" spans="1:119">
      <c r="A43" s="560" t="s">
        <v>1762</v>
      </c>
      <c r="B43" s="560" t="s">
        <v>1713</v>
      </c>
      <c r="C43" s="560" t="s">
        <v>764</v>
      </c>
      <c r="D43" s="560">
        <v>3</v>
      </c>
      <c r="E43" s="560">
        <v>439.44079399999998</v>
      </c>
      <c r="F43" s="560">
        <v>58.184882999999999</v>
      </c>
      <c r="G43" s="560">
        <v>4974.4274999999998</v>
      </c>
      <c r="H43" s="560">
        <v>139.9665</v>
      </c>
      <c r="I43" s="560">
        <v>0.968943</v>
      </c>
      <c r="J43" s="560">
        <v>0.25920199999999999</v>
      </c>
      <c r="K43" s="560">
        <v>0.27765499999999999</v>
      </c>
      <c r="L43" s="560">
        <v>0.37495899999999999</v>
      </c>
      <c r="M43" s="560">
        <v>9438.9973160000009</v>
      </c>
      <c r="N43" s="560">
        <v>9592.5687830000006</v>
      </c>
      <c r="O43" s="560">
        <v>3341.0447669999999</v>
      </c>
      <c r="P43" s="560">
        <v>218.90734499999999</v>
      </c>
      <c r="Q43" s="560">
        <v>212.27640199999999</v>
      </c>
      <c r="R43" s="560">
        <v>1325.6364530000001</v>
      </c>
      <c r="S43" s="560">
        <v>889.05945899999995</v>
      </c>
      <c r="T43" s="560">
        <v>1113.781974</v>
      </c>
      <c r="U43" s="560">
        <v>272.744461</v>
      </c>
      <c r="V43" s="560">
        <v>50.064824000000002</v>
      </c>
      <c r="W43" s="560">
        <v>18.562227</v>
      </c>
      <c r="X43" s="560">
        <v>0</v>
      </c>
      <c r="Y43" s="560">
        <v>21.101572999999998</v>
      </c>
      <c r="Z43" s="560">
        <v>131.776376</v>
      </c>
      <c r="AA43" s="560">
        <v>36191.644835999999</v>
      </c>
      <c r="AB43" s="560">
        <v>36849.374866999999</v>
      </c>
      <c r="AC43" s="560">
        <v>26777.766807</v>
      </c>
      <c r="AD43" s="560">
        <v>20080.745669</v>
      </c>
      <c r="AE43" s="560">
        <v>546.36931800000002</v>
      </c>
      <c r="AF43" s="560">
        <v>12766.760531</v>
      </c>
      <c r="AG43" s="560">
        <v>14190.568319</v>
      </c>
      <c r="AH43" s="560">
        <v>4060.5592219999999</v>
      </c>
      <c r="AI43" s="560">
        <v>0</v>
      </c>
      <c r="AJ43" s="560">
        <v>0</v>
      </c>
      <c r="AK43" s="560">
        <v>0</v>
      </c>
      <c r="AL43" s="560">
        <v>200.75</v>
      </c>
      <c r="AM43" s="560">
        <v>0</v>
      </c>
      <c r="AN43" s="560">
        <v>0</v>
      </c>
      <c r="AO43" s="560">
        <v>0</v>
      </c>
      <c r="AP43" s="560">
        <v>0</v>
      </c>
      <c r="AQ43" s="560" t="s">
        <v>1762</v>
      </c>
      <c r="AR43" s="560" t="s">
        <v>1714</v>
      </c>
      <c r="AS43" s="560">
        <v>0</v>
      </c>
      <c r="AT43" s="560">
        <v>0</v>
      </c>
      <c r="AU43" s="560">
        <v>0</v>
      </c>
      <c r="AV43" s="560">
        <v>69</v>
      </c>
      <c r="AW43" s="560">
        <v>64</v>
      </c>
      <c r="AX43" s="560">
        <v>74</v>
      </c>
      <c r="AY43" s="560">
        <v>78</v>
      </c>
      <c r="AZ43" s="560">
        <v>1</v>
      </c>
      <c r="BA43" s="560">
        <v>2522</v>
      </c>
      <c r="BB43" s="560">
        <v>0</v>
      </c>
      <c r="BC43" s="560">
        <v>0.5</v>
      </c>
      <c r="BD43" s="560">
        <v>0</v>
      </c>
      <c r="BE43" s="560" t="s">
        <v>1715</v>
      </c>
      <c r="BF43" s="560">
        <v>2.5</v>
      </c>
      <c r="BG43" s="560">
        <v>17.399999999999999</v>
      </c>
      <c r="BH43" s="560">
        <v>1</v>
      </c>
      <c r="BI43" s="560">
        <v>2</v>
      </c>
      <c r="BJ43" s="560">
        <v>40</v>
      </c>
      <c r="BK43" s="560">
        <v>0</v>
      </c>
      <c r="BL43" s="560" t="s">
        <v>1747</v>
      </c>
      <c r="BM43" s="560">
        <v>3.0000000000000001E-3</v>
      </c>
      <c r="BN43" s="560">
        <v>15</v>
      </c>
      <c r="BO43" s="560">
        <v>6</v>
      </c>
      <c r="BP43" s="560" t="s">
        <v>1747</v>
      </c>
      <c r="BQ43" s="560">
        <v>5.0000000000000001E-3</v>
      </c>
      <c r="BR43" s="560">
        <v>40</v>
      </c>
      <c r="BS43" s="560">
        <v>6</v>
      </c>
      <c r="BT43" s="560">
        <v>2688</v>
      </c>
      <c r="BU43" s="560">
        <v>22848</v>
      </c>
      <c r="BV43" s="560">
        <v>0</v>
      </c>
      <c r="BW43" s="560">
        <v>30.609376350000002</v>
      </c>
      <c r="BX43" s="560">
        <v>1480</v>
      </c>
      <c r="BY43" s="560">
        <v>17.543859650000002</v>
      </c>
      <c r="BZ43" s="560">
        <v>1344</v>
      </c>
      <c r="CA43" s="560">
        <v>37.664196859999997</v>
      </c>
      <c r="CB43" s="560">
        <v>0.85</v>
      </c>
      <c r="CC43" s="560">
        <v>94</v>
      </c>
      <c r="CD43" s="560">
        <v>94</v>
      </c>
      <c r="CE43" s="560">
        <v>94</v>
      </c>
      <c r="CF43" s="560">
        <v>94</v>
      </c>
      <c r="CG43" s="560">
        <v>0.29299999999999998</v>
      </c>
      <c r="CH43" s="560">
        <v>0.3</v>
      </c>
      <c r="CI43" s="560">
        <v>0.54</v>
      </c>
      <c r="CJ43" s="560">
        <v>40</v>
      </c>
      <c r="CK43" s="560">
        <v>5</v>
      </c>
      <c r="CL43" s="560">
        <v>4</v>
      </c>
      <c r="CM43" s="562">
        <v>1344</v>
      </c>
      <c r="CN43" s="562">
        <v>148</v>
      </c>
      <c r="CO43" s="562">
        <v>30.609376350000002</v>
      </c>
      <c r="CP43" s="562">
        <v>0</v>
      </c>
      <c r="CQ43" s="562">
        <v>0</v>
      </c>
      <c r="CR43" s="562" t="s">
        <v>1718</v>
      </c>
      <c r="CS43" s="562">
        <v>0</v>
      </c>
      <c r="CT43" s="562">
        <v>0</v>
      </c>
      <c r="CU43" s="562">
        <v>0.75</v>
      </c>
      <c r="CV43" s="562">
        <v>0.5</v>
      </c>
      <c r="CW43" s="562">
        <v>17.856999999999999</v>
      </c>
      <c r="CX43" s="562">
        <v>6.5</v>
      </c>
      <c r="CY43" s="562">
        <v>17.856999999999999</v>
      </c>
      <c r="CZ43" s="560">
        <v>2665.6</v>
      </c>
      <c r="DA43" s="560">
        <v>17</v>
      </c>
      <c r="DB43" s="560" t="s">
        <v>1719</v>
      </c>
      <c r="DC43" s="560">
        <v>50</v>
      </c>
      <c r="DD43" s="560">
        <v>4</v>
      </c>
      <c r="DE43" s="560" t="s">
        <v>1720</v>
      </c>
      <c r="DF43" s="560">
        <v>5</v>
      </c>
      <c r="DG43" s="560">
        <v>0</v>
      </c>
      <c r="DH43" s="560">
        <v>4.5</v>
      </c>
      <c r="DI43" s="560">
        <v>4.5</v>
      </c>
      <c r="DJ43" s="560">
        <v>0</v>
      </c>
      <c r="DK43" s="560">
        <v>0</v>
      </c>
      <c r="DL43" s="560">
        <v>0</v>
      </c>
      <c r="DM43" s="560">
        <v>0</v>
      </c>
      <c r="DN43" s="560">
        <v>0</v>
      </c>
      <c r="DO43" s="560">
        <v>0</v>
      </c>
    </row>
    <row r="44" spans="1:119">
      <c r="A44" s="560" t="s">
        <v>1763</v>
      </c>
      <c r="B44" s="560" t="s">
        <v>1713</v>
      </c>
      <c r="C44" s="560" t="s">
        <v>767</v>
      </c>
      <c r="D44" s="560">
        <v>3</v>
      </c>
      <c r="E44" s="560">
        <v>439.44079399999998</v>
      </c>
      <c r="F44" s="560">
        <v>58.184882999999999</v>
      </c>
      <c r="G44" s="560">
        <v>4974.4274999999998</v>
      </c>
      <c r="H44" s="560">
        <v>391.60199999999998</v>
      </c>
      <c r="I44" s="560">
        <v>0.968943</v>
      </c>
      <c r="J44" s="560">
        <v>0.25920199999999999</v>
      </c>
      <c r="K44" s="560">
        <v>0.27765499999999999</v>
      </c>
      <c r="L44" s="560">
        <v>0.37495899999999999</v>
      </c>
      <c r="M44" s="560">
        <v>9438.9973160000009</v>
      </c>
      <c r="N44" s="560">
        <v>9592.5687830000006</v>
      </c>
      <c r="O44" s="560">
        <v>3341.0447669999999</v>
      </c>
      <c r="P44" s="560">
        <v>218.90734499999999</v>
      </c>
      <c r="Q44" s="560">
        <v>212.27640199999999</v>
      </c>
      <c r="R44" s="560">
        <v>1325.6364530000001</v>
      </c>
      <c r="S44" s="560">
        <v>1793.102224</v>
      </c>
      <c r="T44" s="560">
        <v>2083.8347140000001</v>
      </c>
      <c r="U44" s="560">
        <v>549.49371799999994</v>
      </c>
      <c r="V44" s="560">
        <v>64.718659000000002</v>
      </c>
      <c r="W44" s="560">
        <v>12.099417000000001</v>
      </c>
      <c r="X44" s="560">
        <v>0</v>
      </c>
      <c r="Y44" s="560">
        <v>40.986395000000002</v>
      </c>
      <c r="Z44" s="560">
        <v>255.95430500000001</v>
      </c>
      <c r="AA44" s="560">
        <v>36191.644835999999</v>
      </c>
      <c r="AB44" s="560">
        <v>36849.374866999999</v>
      </c>
      <c r="AC44" s="560">
        <v>26777.766807</v>
      </c>
      <c r="AD44" s="560">
        <v>20080.745669</v>
      </c>
      <c r="AE44" s="560">
        <v>546.36931800000002</v>
      </c>
      <c r="AF44" s="560">
        <v>17269.943131</v>
      </c>
      <c r="AG44" s="560">
        <v>18775.996125999998</v>
      </c>
      <c r="AH44" s="560">
        <v>5950.3543710000004</v>
      </c>
      <c r="AI44" s="560">
        <v>0</v>
      </c>
      <c r="AJ44" s="560">
        <v>0</v>
      </c>
      <c r="AK44" s="560">
        <v>0</v>
      </c>
      <c r="AL44" s="560">
        <v>200.75</v>
      </c>
      <c r="AM44" s="560">
        <v>0</v>
      </c>
      <c r="AN44" s="560">
        <v>0</v>
      </c>
      <c r="AO44" s="560">
        <v>0</v>
      </c>
      <c r="AP44" s="560">
        <v>0</v>
      </c>
      <c r="AQ44" s="560" t="s">
        <v>1763</v>
      </c>
      <c r="AR44" s="560" t="s">
        <v>1722</v>
      </c>
      <c r="AS44" s="560">
        <v>0</v>
      </c>
      <c r="AT44" s="560">
        <v>0</v>
      </c>
      <c r="AU44" s="560">
        <v>0</v>
      </c>
      <c r="AV44" s="560">
        <v>69</v>
      </c>
      <c r="AW44" s="560">
        <v>64</v>
      </c>
      <c r="AX44" s="560">
        <v>74</v>
      </c>
      <c r="AY44" s="560">
        <v>78</v>
      </c>
      <c r="AZ44" s="560">
        <v>1</v>
      </c>
      <c r="BA44" s="560">
        <v>2522</v>
      </c>
      <c r="BB44" s="560">
        <v>0</v>
      </c>
      <c r="BC44" s="560">
        <v>0.5</v>
      </c>
      <c r="BD44" s="560">
        <v>0</v>
      </c>
      <c r="BE44" s="560" t="s">
        <v>1715</v>
      </c>
      <c r="BF44" s="560">
        <v>2.5</v>
      </c>
      <c r="BG44" s="560">
        <v>17.399999999999999</v>
      </c>
      <c r="BH44" s="560">
        <v>1</v>
      </c>
      <c r="BI44" s="560">
        <v>2</v>
      </c>
      <c r="BJ44" s="560">
        <v>40</v>
      </c>
      <c r="BK44" s="560">
        <v>0</v>
      </c>
      <c r="BL44" s="560" t="s">
        <v>1747</v>
      </c>
      <c r="BM44" s="560">
        <v>3.0000000000000001E-3</v>
      </c>
      <c r="BN44" s="560">
        <v>15</v>
      </c>
      <c r="BO44" s="560">
        <v>6</v>
      </c>
      <c r="BP44" s="560" t="s">
        <v>1747</v>
      </c>
      <c r="BQ44" s="560">
        <v>5.0000000000000001E-3</v>
      </c>
      <c r="BR44" s="560">
        <v>40</v>
      </c>
      <c r="BS44" s="560">
        <v>6</v>
      </c>
      <c r="BT44" s="560">
        <v>2688</v>
      </c>
      <c r="BU44" s="560">
        <v>22848</v>
      </c>
      <c r="BV44" s="560">
        <v>0</v>
      </c>
      <c r="BW44" s="560">
        <v>30.609376350000002</v>
      </c>
      <c r="BX44" s="560">
        <v>1480</v>
      </c>
      <c r="BY44" s="560">
        <v>17.543859650000002</v>
      </c>
      <c r="BZ44" s="560">
        <v>1344</v>
      </c>
      <c r="CA44" s="560">
        <v>37.664196859999997</v>
      </c>
      <c r="CB44" s="560">
        <v>0.85</v>
      </c>
      <c r="CC44" s="560">
        <v>94</v>
      </c>
      <c r="CD44" s="560">
        <v>94</v>
      </c>
      <c r="CE44" s="560">
        <v>94</v>
      </c>
      <c r="CF44" s="560">
        <v>94</v>
      </c>
      <c r="CG44" s="560">
        <v>0.29299999999999998</v>
      </c>
      <c r="CH44" s="560">
        <v>0.3</v>
      </c>
      <c r="CI44" s="560">
        <v>0.54</v>
      </c>
      <c r="CJ44" s="560">
        <v>40</v>
      </c>
      <c r="CK44" s="560">
        <v>5</v>
      </c>
      <c r="CL44" s="560">
        <v>4</v>
      </c>
      <c r="CM44" s="562">
        <v>1344</v>
      </c>
      <c r="CN44" s="562">
        <v>148</v>
      </c>
      <c r="CO44" s="562">
        <v>30.609376350000002</v>
      </c>
      <c r="CP44" s="562">
        <v>0</v>
      </c>
      <c r="CQ44" s="562">
        <v>0</v>
      </c>
      <c r="CR44" s="562" t="s">
        <v>1718</v>
      </c>
      <c r="CS44" s="562">
        <v>0</v>
      </c>
      <c r="CT44" s="562">
        <v>0</v>
      </c>
      <c r="CU44" s="562">
        <v>0.75</v>
      </c>
      <c r="CV44" s="562">
        <v>0.5</v>
      </c>
      <c r="CW44" s="562">
        <v>17.856999999999999</v>
      </c>
      <c r="CX44" s="562">
        <v>6.5</v>
      </c>
      <c r="CY44" s="562">
        <v>17.856999999999999</v>
      </c>
      <c r="CZ44" s="560">
        <v>2665.6</v>
      </c>
      <c r="DA44" s="560">
        <v>17</v>
      </c>
      <c r="DB44" s="560" t="s">
        <v>1719</v>
      </c>
      <c r="DC44" s="560">
        <v>50</v>
      </c>
      <c r="DD44" s="560">
        <v>4</v>
      </c>
      <c r="DE44" s="560" t="s">
        <v>1720</v>
      </c>
      <c r="DF44" s="560">
        <v>5</v>
      </c>
      <c r="DG44" s="560">
        <v>0</v>
      </c>
      <c r="DH44" s="560">
        <v>4.5</v>
      </c>
      <c r="DI44" s="560">
        <v>4.5</v>
      </c>
      <c r="DJ44" s="560">
        <v>0</v>
      </c>
      <c r="DK44" s="560">
        <v>0</v>
      </c>
      <c r="DL44" s="560">
        <v>0</v>
      </c>
      <c r="DM44" s="560">
        <v>0</v>
      </c>
      <c r="DN44" s="560">
        <v>0</v>
      </c>
      <c r="DO44" s="560">
        <v>0</v>
      </c>
    </row>
    <row r="45" spans="1:119">
      <c r="A45" s="560" t="s">
        <v>1764</v>
      </c>
      <c r="B45" s="560" t="s">
        <v>1713</v>
      </c>
      <c r="C45" s="560" t="s">
        <v>770</v>
      </c>
      <c r="D45" s="560">
        <v>3</v>
      </c>
      <c r="E45" s="560">
        <v>439.44079399999998</v>
      </c>
      <c r="F45" s="560">
        <v>58.184882999999999</v>
      </c>
      <c r="G45" s="560">
        <v>4974.4274999999998</v>
      </c>
      <c r="H45" s="560">
        <v>755.94</v>
      </c>
      <c r="I45" s="560">
        <v>0.968943</v>
      </c>
      <c r="J45" s="560">
        <v>0.25920199999999999</v>
      </c>
      <c r="K45" s="560">
        <v>0.27765499999999999</v>
      </c>
      <c r="L45" s="560">
        <v>0.37495899999999999</v>
      </c>
      <c r="M45" s="560">
        <v>9438.9973160000009</v>
      </c>
      <c r="N45" s="560">
        <v>9592.5687830000006</v>
      </c>
      <c r="O45" s="560">
        <v>3341.0447669999999</v>
      </c>
      <c r="P45" s="560">
        <v>218.90734499999999</v>
      </c>
      <c r="Q45" s="560">
        <v>212.27640199999999</v>
      </c>
      <c r="R45" s="560">
        <v>1325.6364530000001</v>
      </c>
      <c r="S45" s="560">
        <v>3039.3308569999999</v>
      </c>
      <c r="T45" s="560">
        <v>3334.0653790000001</v>
      </c>
      <c r="U45" s="560">
        <v>937.00133700000004</v>
      </c>
      <c r="V45" s="560">
        <v>62.272866999999998</v>
      </c>
      <c r="W45" s="560">
        <v>6.6459739999999998</v>
      </c>
      <c r="X45" s="560">
        <v>0</v>
      </c>
      <c r="Y45" s="560">
        <v>67.95138</v>
      </c>
      <c r="Z45" s="560">
        <v>424.34687000000002</v>
      </c>
      <c r="AA45" s="560">
        <v>36191.644835999999</v>
      </c>
      <c r="AB45" s="560">
        <v>36849.374866999999</v>
      </c>
      <c r="AC45" s="560">
        <v>26777.766807</v>
      </c>
      <c r="AD45" s="560">
        <v>20080.745669</v>
      </c>
      <c r="AE45" s="560">
        <v>546.36931800000002</v>
      </c>
      <c r="AF45" s="560">
        <v>19244.601007000001</v>
      </c>
      <c r="AG45" s="560">
        <v>19873.938959999999</v>
      </c>
      <c r="AH45" s="560">
        <v>6513.1735420000005</v>
      </c>
      <c r="AI45" s="560">
        <v>0</v>
      </c>
      <c r="AJ45" s="560">
        <v>0</v>
      </c>
      <c r="AK45" s="560">
        <v>0</v>
      </c>
      <c r="AL45" s="560">
        <v>200.75</v>
      </c>
      <c r="AM45" s="560">
        <v>0</v>
      </c>
      <c r="AN45" s="560">
        <v>0</v>
      </c>
      <c r="AO45" s="560">
        <v>0</v>
      </c>
      <c r="AP45" s="560">
        <v>0</v>
      </c>
      <c r="AQ45" s="560" t="s">
        <v>1764</v>
      </c>
      <c r="AR45" s="560" t="s">
        <v>1724</v>
      </c>
      <c r="AS45" s="560">
        <v>0</v>
      </c>
      <c r="AT45" s="560">
        <v>0</v>
      </c>
      <c r="AU45" s="560">
        <v>0</v>
      </c>
      <c r="AV45" s="560">
        <v>69</v>
      </c>
      <c r="AW45" s="560">
        <v>64</v>
      </c>
      <c r="AX45" s="560">
        <v>74</v>
      </c>
      <c r="AY45" s="560">
        <v>78</v>
      </c>
      <c r="AZ45" s="560">
        <v>1</v>
      </c>
      <c r="BA45" s="560">
        <v>2522</v>
      </c>
      <c r="BB45" s="560">
        <v>0</v>
      </c>
      <c r="BC45" s="560">
        <v>0.5</v>
      </c>
      <c r="BD45" s="560">
        <v>0</v>
      </c>
      <c r="BE45" s="560" t="s">
        <v>1715</v>
      </c>
      <c r="BF45" s="560">
        <v>2.5</v>
      </c>
      <c r="BG45" s="560">
        <v>17.399999999999999</v>
      </c>
      <c r="BH45" s="560">
        <v>1</v>
      </c>
      <c r="BI45" s="560">
        <v>2</v>
      </c>
      <c r="BJ45" s="560">
        <v>40</v>
      </c>
      <c r="BK45" s="560">
        <v>0</v>
      </c>
      <c r="BL45" s="560" t="s">
        <v>1747</v>
      </c>
      <c r="BM45" s="560">
        <v>3.0000000000000001E-3</v>
      </c>
      <c r="BN45" s="560">
        <v>15</v>
      </c>
      <c r="BO45" s="560">
        <v>6</v>
      </c>
      <c r="BP45" s="560" t="s">
        <v>1747</v>
      </c>
      <c r="BQ45" s="560">
        <v>5.0000000000000001E-3</v>
      </c>
      <c r="BR45" s="560">
        <v>40</v>
      </c>
      <c r="BS45" s="560">
        <v>6</v>
      </c>
      <c r="BT45" s="560">
        <v>2688</v>
      </c>
      <c r="BU45" s="560">
        <v>22848</v>
      </c>
      <c r="BV45" s="560">
        <v>0</v>
      </c>
      <c r="BW45" s="560">
        <v>30.609376350000002</v>
      </c>
      <c r="BX45" s="560">
        <v>1480</v>
      </c>
      <c r="BY45" s="560">
        <v>17.543859650000002</v>
      </c>
      <c r="BZ45" s="560">
        <v>1344</v>
      </c>
      <c r="CA45" s="560">
        <v>37.664196859999997</v>
      </c>
      <c r="CB45" s="560">
        <v>0.85</v>
      </c>
      <c r="CC45" s="560">
        <v>94</v>
      </c>
      <c r="CD45" s="560">
        <v>94</v>
      </c>
      <c r="CE45" s="560">
        <v>94</v>
      </c>
      <c r="CF45" s="560">
        <v>94</v>
      </c>
      <c r="CG45" s="560">
        <v>0.29299999999999998</v>
      </c>
      <c r="CH45" s="560">
        <v>0.3</v>
      </c>
      <c r="CI45" s="560">
        <v>0.54</v>
      </c>
      <c r="CJ45" s="560">
        <v>40</v>
      </c>
      <c r="CK45" s="560">
        <v>5</v>
      </c>
      <c r="CL45" s="560">
        <v>4</v>
      </c>
      <c r="CM45" s="562">
        <v>1344</v>
      </c>
      <c r="CN45" s="562">
        <v>148</v>
      </c>
      <c r="CO45" s="562">
        <v>30.609376350000002</v>
      </c>
      <c r="CP45" s="562">
        <v>0</v>
      </c>
      <c r="CQ45" s="562">
        <v>0</v>
      </c>
      <c r="CR45" s="562" t="s">
        <v>1718</v>
      </c>
      <c r="CS45" s="562">
        <v>0</v>
      </c>
      <c r="CT45" s="562">
        <v>0</v>
      </c>
      <c r="CU45" s="562">
        <v>0.75</v>
      </c>
      <c r="CV45" s="562">
        <v>0.5</v>
      </c>
      <c r="CW45" s="562">
        <v>17.856999999999999</v>
      </c>
      <c r="CX45" s="562">
        <v>6.5</v>
      </c>
      <c r="CY45" s="562">
        <v>17.856999999999999</v>
      </c>
      <c r="CZ45" s="560">
        <v>2665.6</v>
      </c>
      <c r="DA45" s="560">
        <v>17</v>
      </c>
      <c r="DB45" s="560" t="s">
        <v>1719</v>
      </c>
      <c r="DC45" s="560">
        <v>50</v>
      </c>
      <c r="DD45" s="560">
        <v>4</v>
      </c>
      <c r="DE45" s="560" t="s">
        <v>1720</v>
      </c>
      <c r="DF45" s="560">
        <v>5</v>
      </c>
      <c r="DG45" s="560">
        <v>0</v>
      </c>
      <c r="DH45" s="560">
        <v>4.5</v>
      </c>
      <c r="DI45" s="560">
        <v>4.5</v>
      </c>
      <c r="DJ45" s="560">
        <v>0</v>
      </c>
      <c r="DK45" s="560">
        <v>0</v>
      </c>
      <c r="DL45" s="560">
        <v>0</v>
      </c>
      <c r="DM45" s="560">
        <v>0</v>
      </c>
      <c r="DN45" s="560">
        <v>0</v>
      </c>
      <c r="DO45" s="560">
        <v>0</v>
      </c>
    </row>
    <row r="46" spans="1:119">
      <c r="A46" s="560" t="s">
        <v>1765</v>
      </c>
      <c r="B46" s="560" t="s">
        <v>1713</v>
      </c>
      <c r="C46" s="560" t="s">
        <v>764</v>
      </c>
      <c r="D46" s="560">
        <v>3</v>
      </c>
      <c r="E46" s="560">
        <v>473.85255100000001</v>
      </c>
      <c r="F46" s="560">
        <v>58.538055</v>
      </c>
      <c r="G46" s="560">
        <v>4974.4274999999998</v>
      </c>
      <c r="H46" s="560">
        <v>139.9665</v>
      </c>
      <c r="I46" s="560">
        <v>0.968943</v>
      </c>
      <c r="J46" s="560">
        <v>0.25878000000000001</v>
      </c>
      <c r="K46" s="560">
        <v>0.275646</v>
      </c>
      <c r="L46" s="560">
        <v>0.375278</v>
      </c>
      <c r="M46" s="560">
        <v>10537.829061</v>
      </c>
      <c r="N46" s="560">
        <v>10735.431963999999</v>
      </c>
      <c r="O46" s="560">
        <v>3744.5521950000002</v>
      </c>
      <c r="P46" s="560">
        <v>289.73647599999998</v>
      </c>
      <c r="Q46" s="560">
        <v>235.44326799999999</v>
      </c>
      <c r="R46" s="560">
        <v>1470.310293</v>
      </c>
      <c r="S46" s="560">
        <v>893.05930699999999</v>
      </c>
      <c r="T46" s="560">
        <v>1114.338448</v>
      </c>
      <c r="U46" s="560">
        <v>274.14681400000001</v>
      </c>
      <c r="V46" s="560">
        <v>48.569034000000002</v>
      </c>
      <c r="W46" s="560">
        <v>17.951630000000002</v>
      </c>
      <c r="X46" s="560">
        <v>0</v>
      </c>
      <c r="Y46" s="560">
        <v>21.162520000000001</v>
      </c>
      <c r="Z46" s="560">
        <v>132.15697599999999</v>
      </c>
      <c r="AA46" s="560">
        <v>37724.939155</v>
      </c>
      <c r="AB46" s="560">
        <v>38490.431430999997</v>
      </c>
      <c r="AC46" s="560">
        <v>28415.014402000001</v>
      </c>
      <c r="AD46" s="560">
        <v>21720.929205</v>
      </c>
      <c r="AE46" s="560">
        <v>546.36931800000002</v>
      </c>
      <c r="AF46" s="560">
        <v>13417.984139</v>
      </c>
      <c r="AG46" s="560">
        <v>14886.203742</v>
      </c>
      <c r="AH46" s="560">
        <v>4282.6541370000004</v>
      </c>
      <c r="AI46" s="560">
        <v>0</v>
      </c>
      <c r="AJ46" s="560">
        <v>0</v>
      </c>
      <c r="AK46" s="560">
        <v>0</v>
      </c>
      <c r="AL46" s="560">
        <v>200.75</v>
      </c>
      <c r="AM46" s="560">
        <v>0</v>
      </c>
      <c r="AN46" s="560">
        <v>0</v>
      </c>
      <c r="AO46" s="560">
        <v>0</v>
      </c>
      <c r="AP46" s="560">
        <v>0</v>
      </c>
      <c r="AQ46" s="560" t="s">
        <v>1765</v>
      </c>
      <c r="AR46" s="560" t="s">
        <v>1714</v>
      </c>
      <c r="AS46" s="560">
        <v>0</v>
      </c>
      <c r="AT46" s="560">
        <v>0</v>
      </c>
      <c r="AU46" s="560">
        <v>0</v>
      </c>
      <c r="AV46" s="560">
        <v>69</v>
      </c>
      <c r="AW46" s="560">
        <v>64</v>
      </c>
      <c r="AX46" s="560">
        <v>74</v>
      </c>
      <c r="AY46" s="560">
        <v>78</v>
      </c>
      <c r="AZ46" s="560">
        <v>1</v>
      </c>
      <c r="BA46" s="560">
        <v>2522</v>
      </c>
      <c r="BB46" s="560">
        <v>0</v>
      </c>
      <c r="BC46" s="560">
        <v>0.5</v>
      </c>
      <c r="BD46" s="560">
        <v>0</v>
      </c>
      <c r="BE46" s="560" t="s">
        <v>1715</v>
      </c>
      <c r="BF46" s="560">
        <v>2.5</v>
      </c>
      <c r="BG46" s="560">
        <v>17.399999999999999</v>
      </c>
      <c r="BH46" s="560">
        <v>1</v>
      </c>
      <c r="BI46" s="560">
        <v>2</v>
      </c>
      <c r="BJ46" s="560">
        <v>40</v>
      </c>
      <c r="BK46" s="560">
        <v>0</v>
      </c>
      <c r="BL46" s="560" t="s">
        <v>1747</v>
      </c>
      <c r="BM46" s="560">
        <v>3.0000000000000001E-3</v>
      </c>
      <c r="BN46" s="560">
        <v>15</v>
      </c>
      <c r="BO46" s="560">
        <v>4.5</v>
      </c>
      <c r="BP46" s="560" t="s">
        <v>1747</v>
      </c>
      <c r="BQ46" s="560">
        <v>5.0000000000000001E-3</v>
      </c>
      <c r="BR46" s="560">
        <v>40</v>
      </c>
      <c r="BS46" s="560">
        <v>4.9000000000000004</v>
      </c>
      <c r="BT46" s="560">
        <v>2688</v>
      </c>
      <c r="BU46" s="560">
        <v>22848</v>
      </c>
      <c r="BV46" s="560">
        <v>0</v>
      </c>
      <c r="BW46" s="560">
        <v>26.8</v>
      </c>
      <c r="BX46" s="560">
        <v>1480</v>
      </c>
      <c r="BY46" s="560">
        <v>11.4</v>
      </c>
      <c r="BZ46" s="560">
        <v>1344</v>
      </c>
      <c r="CA46" s="560">
        <v>35</v>
      </c>
      <c r="CB46" s="560">
        <v>0.85</v>
      </c>
      <c r="CC46" s="560">
        <v>94</v>
      </c>
      <c r="CD46" s="560">
        <v>94</v>
      </c>
      <c r="CE46" s="560">
        <v>94</v>
      </c>
      <c r="CF46" s="560">
        <v>94</v>
      </c>
      <c r="CG46" s="560">
        <v>0.29299999999999998</v>
      </c>
      <c r="CH46" s="560">
        <v>0.3</v>
      </c>
      <c r="CI46" s="560">
        <v>0.54</v>
      </c>
      <c r="CJ46" s="560">
        <v>40</v>
      </c>
      <c r="CK46" s="560">
        <v>5</v>
      </c>
      <c r="CL46" s="560">
        <v>4</v>
      </c>
      <c r="CM46" s="562">
        <v>1344</v>
      </c>
      <c r="CN46" s="562">
        <v>148</v>
      </c>
      <c r="CO46" s="562">
        <v>26.8</v>
      </c>
      <c r="CP46" s="562">
        <v>0</v>
      </c>
      <c r="CQ46" s="562">
        <v>0</v>
      </c>
      <c r="CR46" s="562" t="s">
        <v>1718</v>
      </c>
      <c r="CS46" s="562">
        <v>0</v>
      </c>
      <c r="CT46" s="562">
        <v>0</v>
      </c>
      <c r="CU46" s="562">
        <v>0.75</v>
      </c>
      <c r="CV46" s="562">
        <v>0.5</v>
      </c>
      <c r="CW46" s="562">
        <v>17.856999999999999</v>
      </c>
      <c r="CX46" s="562">
        <v>6.5</v>
      </c>
      <c r="CY46" s="562">
        <v>17.856999999999999</v>
      </c>
      <c r="CZ46" s="560">
        <v>2665.6</v>
      </c>
      <c r="DA46" s="560">
        <v>17</v>
      </c>
      <c r="DB46" s="560" t="s">
        <v>1719</v>
      </c>
      <c r="DC46" s="560">
        <v>50</v>
      </c>
      <c r="DD46" s="560">
        <v>4</v>
      </c>
      <c r="DE46" s="560" t="s">
        <v>1720</v>
      </c>
      <c r="DF46" s="560">
        <v>5</v>
      </c>
      <c r="DG46" s="560">
        <v>0</v>
      </c>
      <c r="DH46" s="560">
        <v>4.5</v>
      </c>
      <c r="DI46" s="560">
        <v>4.5</v>
      </c>
      <c r="DJ46" s="560">
        <v>0</v>
      </c>
      <c r="DK46" s="560">
        <v>0</v>
      </c>
      <c r="DL46" s="560">
        <v>0</v>
      </c>
      <c r="DM46" s="560">
        <v>0</v>
      </c>
      <c r="DN46" s="560">
        <v>0</v>
      </c>
      <c r="DO46" s="560">
        <v>0</v>
      </c>
    </row>
    <row r="47" spans="1:119">
      <c r="A47" s="560" t="s">
        <v>1766</v>
      </c>
      <c r="B47" s="560" t="s">
        <v>1713</v>
      </c>
      <c r="C47" s="560" t="s">
        <v>767</v>
      </c>
      <c r="D47" s="560">
        <v>3</v>
      </c>
      <c r="E47" s="560">
        <v>473.85255100000001</v>
      </c>
      <c r="F47" s="560">
        <v>58.538055</v>
      </c>
      <c r="G47" s="560">
        <v>4974.4274999999998</v>
      </c>
      <c r="H47" s="560">
        <v>391.60199999999998</v>
      </c>
      <c r="I47" s="560">
        <v>0.968943</v>
      </c>
      <c r="J47" s="560">
        <v>0.25878000000000001</v>
      </c>
      <c r="K47" s="560">
        <v>0.275646</v>
      </c>
      <c r="L47" s="560">
        <v>0.375278</v>
      </c>
      <c r="M47" s="560">
        <v>10537.829061</v>
      </c>
      <c r="N47" s="560">
        <v>10735.431963999999</v>
      </c>
      <c r="O47" s="560">
        <v>3744.5521950000002</v>
      </c>
      <c r="P47" s="560">
        <v>289.73647599999998</v>
      </c>
      <c r="Q47" s="560">
        <v>235.44326799999999</v>
      </c>
      <c r="R47" s="560">
        <v>1470.310293</v>
      </c>
      <c r="S47" s="560">
        <v>1838.999415</v>
      </c>
      <c r="T47" s="560">
        <v>2131.5863880000002</v>
      </c>
      <c r="U47" s="560">
        <v>564.28717300000005</v>
      </c>
      <c r="V47" s="560">
        <v>63.184055000000001</v>
      </c>
      <c r="W47" s="560">
        <v>11.549359000000001</v>
      </c>
      <c r="X47" s="560">
        <v>0</v>
      </c>
      <c r="Y47" s="560">
        <v>42.014014000000003</v>
      </c>
      <c r="Z47" s="560">
        <v>262.37164300000001</v>
      </c>
      <c r="AA47" s="560">
        <v>37724.939155</v>
      </c>
      <c r="AB47" s="560">
        <v>38490.431430999997</v>
      </c>
      <c r="AC47" s="560">
        <v>28415.014402000001</v>
      </c>
      <c r="AD47" s="560">
        <v>21720.929205</v>
      </c>
      <c r="AE47" s="560">
        <v>546.36931800000002</v>
      </c>
      <c r="AF47" s="560">
        <v>18087.863808999999</v>
      </c>
      <c r="AG47" s="560">
        <v>19695.382549999998</v>
      </c>
      <c r="AH47" s="560">
        <v>6297.6163850000003</v>
      </c>
      <c r="AI47" s="560">
        <v>0</v>
      </c>
      <c r="AJ47" s="560">
        <v>0</v>
      </c>
      <c r="AK47" s="560">
        <v>0</v>
      </c>
      <c r="AL47" s="560">
        <v>200.75</v>
      </c>
      <c r="AM47" s="560">
        <v>0</v>
      </c>
      <c r="AN47" s="560">
        <v>0</v>
      </c>
      <c r="AO47" s="560">
        <v>0</v>
      </c>
      <c r="AP47" s="560">
        <v>0</v>
      </c>
      <c r="AQ47" s="560" t="s">
        <v>1766</v>
      </c>
      <c r="AR47" s="560" t="s">
        <v>1722</v>
      </c>
      <c r="AS47" s="560">
        <v>0</v>
      </c>
      <c r="AT47" s="560">
        <v>0</v>
      </c>
      <c r="AU47" s="560">
        <v>0</v>
      </c>
      <c r="AV47" s="560">
        <v>69</v>
      </c>
      <c r="AW47" s="560">
        <v>64</v>
      </c>
      <c r="AX47" s="560">
        <v>74</v>
      </c>
      <c r="AY47" s="560">
        <v>78</v>
      </c>
      <c r="AZ47" s="560">
        <v>1</v>
      </c>
      <c r="BA47" s="560">
        <v>2522</v>
      </c>
      <c r="BB47" s="560">
        <v>0</v>
      </c>
      <c r="BC47" s="560">
        <v>0.5</v>
      </c>
      <c r="BD47" s="560">
        <v>0</v>
      </c>
      <c r="BE47" s="560" t="s">
        <v>1715</v>
      </c>
      <c r="BF47" s="560">
        <v>2.5</v>
      </c>
      <c r="BG47" s="560">
        <v>17.399999999999999</v>
      </c>
      <c r="BH47" s="560">
        <v>1</v>
      </c>
      <c r="BI47" s="560">
        <v>2</v>
      </c>
      <c r="BJ47" s="560">
        <v>40</v>
      </c>
      <c r="BK47" s="560">
        <v>0</v>
      </c>
      <c r="BL47" s="560" t="s">
        <v>1747</v>
      </c>
      <c r="BM47" s="560">
        <v>3.0000000000000001E-3</v>
      </c>
      <c r="BN47" s="560">
        <v>15</v>
      </c>
      <c r="BO47" s="560">
        <v>4.5</v>
      </c>
      <c r="BP47" s="560" t="s">
        <v>1747</v>
      </c>
      <c r="BQ47" s="560">
        <v>5.0000000000000001E-3</v>
      </c>
      <c r="BR47" s="560">
        <v>40</v>
      </c>
      <c r="BS47" s="560">
        <v>4.9000000000000004</v>
      </c>
      <c r="BT47" s="560">
        <v>2688</v>
      </c>
      <c r="BU47" s="560">
        <v>22848</v>
      </c>
      <c r="BV47" s="560">
        <v>0</v>
      </c>
      <c r="BW47" s="560">
        <v>26.8</v>
      </c>
      <c r="BX47" s="560">
        <v>1480</v>
      </c>
      <c r="BY47" s="560">
        <v>11.4</v>
      </c>
      <c r="BZ47" s="560">
        <v>1344</v>
      </c>
      <c r="CA47" s="560">
        <v>35</v>
      </c>
      <c r="CB47" s="560">
        <v>0.85</v>
      </c>
      <c r="CC47" s="560">
        <v>94</v>
      </c>
      <c r="CD47" s="560">
        <v>94</v>
      </c>
      <c r="CE47" s="560">
        <v>94</v>
      </c>
      <c r="CF47" s="560">
        <v>94</v>
      </c>
      <c r="CG47" s="560">
        <v>0.29299999999999998</v>
      </c>
      <c r="CH47" s="560">
        <v>0.3</v>
      </c>
      <c r="CI47" s="560">
        <v>0.54</v>
      </c>
      <c r="CJ47" s="560">
        <v>40</v>
      </c>
      <c r="CK47" s="560">
        <v>5</v>
      </c>
      <c r="CL47" s="560">
        <v>4</v>
      </c>
      <c r="CM47" s="562">
        <v>1344</v>
      </c>
      <c r="CN47" s="562">
        <v>148</v>
      </c>
      <c r="CO47" s="562">
        <v>26.8</v>
      </c>
      <c r="CP47" s="562">
        <v>0</v>
      </c>
      <c r="CQ47" s="562">
        <v>0</v>
      </c>
      <c r="CR47" s="562" t="s">
        <v>1718</v>
      </c>
      <c r="CS47" s="562">
        <v>0</v>
      </c>
      <c r="CT47" s="562">
        <v>0</v>
      </c>
      <c r="CU47" s="562">
        <v>0.75</v>
      </c>
      <c r="CV47" s="562">
        <v>0.5</v>
      </c>
      <c r="CW47" s="562">
        <v>17.856999999999999</v>
      </c>
      <c r="CX47" s="562">
        <v>6.5</v>
      </c>
      <c r="CY47" s="562">
        <v>17.856999999999999</v>
      </c>
      <c r="CZ47" s="560">
        <v>2665.6</v>
      </c>
      <c r="DA47" s="560">
        <v>17</v>
      </c>
      <c r="DB47" s="560" t="s">
        <v>1719</v>
      </c>
      <c r="DC47" s="560">
        <v>50</v>
      </c>
      <c r="DD47" s="560">
        <v>4</v>
      </c>
      <c r="DE47" s="560" t="s">
        <v>1720</v>
      </c>
      <c r="DF47" s="560">
        <v>5</v>
      </c>
      <c r="DG47" s="560">
        <v>0</v>
      </c>
      <c r="DH47" s="560">
        <v>4.5</v>
      </c>
      <c r="DI47" s="560">
        <v>4.5</v>
      </c>
      <c r="DJ47" s="560">
        <v>0</v>
      </c>
      <c r="DK47" s="560">
        <v>0</v>
      </c>
      <c r="DL47" s="560">
        <v>0</v>
      </c>
      <c r="DM47" s="560">
        <v>0</v>
      </c>
      <c r="DN47" s="560">
        <v>0</v>
      </c>
      <c r="DO47" s="560">
        <v>0</v>
      </c>
    </row>
    <row r="48" spans="1:119">
      <c r="A48" s="560" t="s">
        <v>1767</v>
      </c>
      <c r="B48" s="560" t="s">
        <v>1713</v>
      </c>
      <c r="C48" s="560" t="s">
        <v>770</v>
      </c>
      <c r="D48" s="560">
        <v>3</v>
      </c>
      <c r="E48" s="560">
        <v>473.85255100000001</v>
      </c>
      <c r="F48" s="560">
        <v>58.538055</v>
      </c>
      <c r="G48" s="560">
        <v>4974.4274999999998</v>
      </c>
      <c r="H48" s="560">
        <v>755.94</v>
      </c>
      <c r="I48" s="560">
        <v>0.968943</v>
      </c>
      <c r="J48" s="560">
        <v>0.25878000000000001</v>
      </c>
      <c r="K48" s="560">
        <v>0.275646</v>
      </c>
      <c r="L48" s="560">
        <v>0.375278</v>
      </c>
      <c r="M48" s="560">
        <v>10537.829061</v>
      </c>
      <c r="N48" s="560">
        <v>10735.431963999999</v>
      </c>
      <c r="O48" s="560">
        <v>3744.5521950000002</v>
      </c>
      <c r="P48" s="560">
        <v>289.73647599999998</v>
      </c>
      <c r="Q48" s="560">
        <v>235.44326799999999</v>
      </c>
      <c r="R48" s="560">
        <v>1470.310293</v>
      </c>
      <c r="S48" s="560">
        <v>3137.2097349999999</v>
      </c>
      <c r="T48" s="560">
        <v>3441.2549210000002</v>
      </c>
      <c r="U48" s="560">
        <v>970.63462200000004</v>
      </c>
      <c r="V48" s="560">
        <v>60.508755999999998</v>
      </c>
      <c r="W48" s="560">
        <v>6.2339370000000001</v>
      </c>
      <c r="X48" s="560">
        <v>0</v>
      </c>
      <c r="Y48" s="560">
        <v>70.253967000000003</v>
      </c>
      <c r="Z48" s="560">
        <v>438.726204</v>
      </c>
      <c r="AA48" s="560">
        <v>37724.939155</v>
      </c>
      <c r="AB48" s="560">
        <v>38490.431430999997</v>
      </c>
      <c r="AC48" s="560">
        <v>28415.014402000001</v>
      </c>
      <c r="AD48" s="560">
        <v>21720.929205</v>
      </c>
      <c r="AE48" s="560">
        <v>546.36931800000002</v>
      </c>
      <c r="AF48" s="560">
        <v>20227.082066999999</v>
      </c>
      <c r="AG48" s="560">
        <v>21006.626777000001</v>
      </c>
      <c r="AH48" s="560">
        <v>6863.2557420000003</v>
      </c>
      <c r="AI48" s="560">
        <v>0</v>
      </c>
      <c r="AJ48" s="560">
        <v>0</v>
      </c>
      <c r="AK48" s="560">
        <v>0</v>
      </c>
      <c r="AL48" s="560">
        <v>200.75</v>
      </c>
      <c r="AM48" s="560">
        <v>0</v>
      </c>
      <c r="AN48" s="560">
        <v>0</v>
      </c>
      <c r="AO48" s="560">
        <v>0</v>
      </c>
      <c r="AP48" s="560">
        <v>0</v>
      </c>
      <c r="AQ48" s="560" t="s">
        <v>1767</v>
      </c>
      <c r="AR48" s="560" t="s">
        <v>1724</v>
      </c>
      <c r="AS48" s="560">
        <v>0</v>
      </c>
      <c r="AT48" s="560">
        <v>0</v>
      </c>
      <c r="AU48" s="560">
        <v>0</v>
      </c>
      <c r="AV48" s="560">
        <v>69</v>
      </c>
      <c r="AW48" s="560">
        <v>64</v>
      </c>
      <c r="AX48" s="560">
        <v>74</v>
      </c>
      <c r="AY48" s="560">
        <v>78</v>
      </c>
      <c r="AZ48" s="560">
        <v>1</v>
      </c>
      <c r="BA48" s="560">
        <v>2522</v>
      </c>
      <c r="BB48" s="560">
        <v>0</v>
      </c>
      <c r="BC48" s="560">
        <v>0.5</v>
      </c>
      <c r="BD48" s="560">
        <v>0</v>
      </c>
      <c r="BE48" s="560" t="s">
        <v>1715</v>
      </c>
      <c r="BF48" s="560">
        <v>2.5</v>
      </c>
      <c r="BG48" s="560">
        <v>17.399999999999999</v>
      </c>
      <c r="BH48" s="560">
        <v>1</v>
      </c>
      <c r="BI48" s="560">
        <v>2</v>
      </c>
      <c r="BJ48" s="560">
        <v>40</v>
      </c>
      <c r="BK48" s="560">
        <v>0</v>
      </c>
      <c r="BL48" s="560" t="s">
        <v>1747</v>
      </c>
      <c r="BM48" s="560">
        <v>3.0000000000000001E-3</v>
      </c>
      <c r="BN48" s="560">
        <v>15</v>
      </c>
      <c r="BO48" s="560">
        <v>4.5</v>
      </c>
      <c r="BP48" s="560" t="s">
        <v>1747</v>
      </c>
      <c r="BQ48" s="560">
        <v>5.0000000000000001E-3</v>
      </c>
      <c r="BR48" s="560">
        <v>40</v>
      </c>
      <c r="BS48" s="560">
        <v>4.9000000000000004</v>
      </c>
      <c r="BT48" s="560">
        <v>2688</v>
      </c>
      <c r="BU48" s="560">
        <v>22848</v>
      </c>
      <c r="BV48" s="560">
        <v>0</v>
      </c>
      <c r="BW48" s="560">
        <v>26.8</v>
      </c>
      <c r="BX48" s="560">
        <v>1480</v>
      </c>
      <c r="BY48" s="560">
        <v>11.4</v>
      </c>
      <c r="BZ48" s="560">
        <v>1344</v>
      </c>
      <c r="CA48" s="560">
        <v>35</v>
      </c>
      <c r="CB48" s="560">
        <v>0.85</v>
      </c>
      <c r="CC48" s="560">
        <v>94</v>
      </c>
      <c r="CD48" s="560">
        <v>94</v>
      </c>
      <c r="CE48" s="560">
        <v>94</v>
      </c>
      <c r="CF48" s="560">
        <v>94</v>
      </c>
      <c r="CG48" s="560">
        <v>0.29299999999999998</v>
      </c>
      <c r="CH48" s="560">
        <v>0.3</v>
      </c>
      <c r="CI48" s="560">
        <v>0.54</v>
      </c>
      <c r="CJ48" s="560">
        <v>40</v>
      </c>
      <c r="CK48" s="560">
        <v>5</v>
      </c>
      <c r="CL48" s="560">
        <v>4</v>
      </c>
      <c r="CM48" s="562">
        <v>1344</v>
      </c>
      <c r="CN48" s="562">
        <v>148</v>
      </c>
      <c r="CO48" s="562">
        <v>26.8</v>
      </c>
      <c r="CP48" s="562">
        <v>0</v>
      </c>
      <c r="CQ48" s="562">
        <v>0</v>
      </c>
      <c r="CR48" s="562" t="s">
        <v>1718</v>
      </c>
      <c r="CS48" s="562">
        <v>0</v>
      </c>
      <c r="CT48" s="562">
        <v>0</v>
      </c>
      <c r="CU48" s="562">
        <v>0.75</v>
      </c>
      <c r="CV48" s="562">
        <v>0.5</v>
      </c>
      <c r="CW48" s="562">
        <v>17.856999999999999</v>
      </c>
      <c r="CX48" s="562">
        <v>6.5</v>
      </c>
      <c r="CY48" s="562">
        <v>17.856999999999999</v>
      </c>
      <c r="CZ48" s="560">
        <v>2665.6</v>
      </c>
      <c r="DA48" s="560">
        <v>17</v>
      </c>
      <c r="DB48" s="560" t="s">
        <v>1719</v>
      </c>
      <c r="DC48" s="560">
        <v>50</v>
      </c>
      <c r="DD48" s="560">
        <v>4</v>
      </c>
      <c r="DE48" s="560" t="s">
        <v>1720</v>
      </c>
      <c r="DF48" s="560">
        <v>5</v>
      </c>
      <c r="DG48" s="560">
        <v>0</v>
      </c>
      <c r="DH48" s="560">
        <v>4.5</v>
      </c>
      <c r="DI48" s="560">
        <v>4.5</v>
      </c>
      <c r="DJ48" s="560">
        <v>0</v>
      </c>
      <c r="DK48" s="560">
        <v>0</v>
      </c>
      <c r="DL48" s="560">
        <v>0</v>
      </c>
      <c r="DM48" s="560">
        <v>0</v>
      </c>
      <c r="DN48" s="560">
        <v>0</v>
      </c>
      <c r="DO48" s="560">
        <v>0</v>
      </c>
    </row>
    <row r="49" spans="1:119">
      <c r="A49" s="560" t="s">
        <v>1768</v>
      </c>
      <c r="B49" s="560" t="s">
        <v>1713</v>
      </c>
      <c r="C49" s="560" t="s">
        <v>779</v>
      </c>
      <c r="D49" s="560">
        <v>3</v>
      </c>
      <c r="E49" s="560">
        <v>445.51968099999999</v>
      </c>
      <c r="F49" s="560">
        <v>57.057375999999998</v>
      </c>
      <c r="G49" s="560">
        <v>6644.9655000000002</v>
      </c>
      <c r="H49" s="560">
        <v>139.9665</v>
      </c>
      <c r="I49" s="560">
        <v>0.91800700000000002</v>
      </c>
      <c r="J49" s="560">
        <v>0.28903200000000001</v>
      </c>
      <c r="K49" s="560">
        <v>0.30869200000000002</v>
      </c>
      <c r="L49" s="560">
        <v>0.427037</v>
      </c>
      <c r="M49" s="560">
        <v>13972.897843000001</v>
      </c>
      <c r="N49" s="560">
        <v>14233.667503999999</v>
      </c>
      <c r="O49" s="560">
        <v>5673.3654690000003</v>
      </c>
      <c r="P49" s="560">
        <v>725.55274199999997</v>
      </c>
      <c r="Q49" s="560">
        <v>347.41458699999998</v>
      </c>
      <c r="R49" s="560">
        <v>2169.5555210000002</v>
      </c>
      <c r="S49" s="560">
        <v>889.05945899999995</v>
      </c>
      <c r="T49" s="560">
        <v>1113.781974</v>
      </c>
      <c r="U49" s="560">
        <v>272.744461</v>
      </c>
      <c r="V49" s="560">
        <v>50.064824000000002</v>
      </c>
      <c r="W49" s="560">
        <v>18.562227</v>
      </c>
      <c r="X49" s="560">
        <v>0</v>
      </c>
      <c r="Y49" s="560">
        <v>21.101572999999998</v>
      </c>
      <c r="Z49" s="560">
        <v>131.776376</v>
      </c>
      <c r="AA49" s="560">
        <v>42141.735107</v>
      </c>
      <c r="AB49" s="560">
        <v>42838.363335000002</v>
      </c>
      <c r="AC49" s="560">
        <v>36028.042117999998</v>
      </c>
      <c r="AD49" s="560">
        <v>29656.679649000002</v>
      </c>
      <c r="AE49" s="560">
        <v>546.36931800000002</v>
      </c>
      <c r="AF49" s="560">
        <v>12766.760531</v>
      </c>
      <c r="AG49" s="560">
        <v>14190.568319</v>
      </c>
      <c r="AH49" s="560">
        <v>4060.5592219999999</v>
      </c>
      <c r="AI49" s="560">
        <v>0</v>
      </c>
      <c r="AJ49" s="560">
        <v>0</v>
      </c>
      <c r="AK49" s="560">
        <v>0</v>
      </c>
      <c r="AL49" s="560">
        <v>200.75</v>
      </c>
      <c r="AM49" s="560">
        <v>0</v>
      </c>
      <c r="AN49" s="560">
        <v>0</v>
      </c>
      <c r="AO49" s="560">
        <v>0</v>
      </c>
      <c r="AP49" s="560">
        <v>0</v>
      </c>
      <c r="AQ49" s="560" t="s">
        <v>1768</v>
      </c>
      <c r="AR49" s="560" t="s">
        <v>1729</v>
      </c>
      <c r="AS49" s="560">
        <v>0</v>
      </c>
      <c r="AT49" s="560">
        <v>0</v>
      </c>
      <c r="AU49" s="560">
        <v>0</v>
      </c>
      <c r="AV49" s="560">
        <v>69</v>
      </c>
      <c r="AW49" s="560">
        <v>64</v>
      </c>
      <c r="AX49" s="560">
        <v>74</v>
      </c>
      <c r="AY49" s="560">
        <v>78</v>
      </c>
      <c r="AZ49" s="560">
        <v>1</v>
      </c>
      <c r="BA49" s="560">
        <v>2522</v>
      </c>
      <c r="BB49" s="560">
        <v>0</v>
      </c>
      <c r="BC49" s="560">
        <v>0.5</v>
      </c>
      <c r="BD49" s="560">
        <v>0</v>
      </c>
      <c r="BE49" s="560" t="s">
        <v>1715</v>
      </c>
      <c r="BF49" s="560">
        <v>2.5</v>
      </c>
      <c r="BG49" s="560">
        <v>17.399999999999999</v>
      </c>
      <c r="BH49" s="560">
        <v>1</v>
      </c>
      <c r="BI49" s="560">
        <v>2</v>
      </c>
      <c r="BJ49" s="560">
        <v>40</v>
      </c>
      <c r="BK49" s="560">
        <v>0</v>
      </c>
      <c r="BL49" s="560" t="s">
        <v>1747</v>
      </c>
      <c r="BM49" s="560">
        <v>3.0000000000000001E-3</v>
      </c>
      <c r="BN49" s="560">
        <v>15</v>
      </c>
      <c r="BO49" s="560">
        <v>6</v>
      </c>
      <c r="BP49" s="560" t="s">
        <v>1747</v>
      </c>
      <c r="BQ49" s="560">
        <v>5.0000000000000001E-3</v>
      </c>
      <c r="BR49" s="560">
        <v>40</v>
      </c>
      <c r="BS49" s="560">
        <v>6</v>
      </c>
      <c r="BT49" s="560">
        <v>2688</v>
      </c>
      <c r="BU49" s="560">
        <v>22848</v>
      </c>
      <c r="BV49" s="560">
        <v>0</v>
      </c>
      <c r="BW49" s="560">
        <v>30.609376350000002</v>
      </c>
      <c r="BX49" s="560">
        <v>1480</v>
      </c>
      <c r="BY49" s="560">
        <v>17.543859650000002</v>
      </c>
      <c r="BZ49" s="560">
        <v>1344</v>
      </c>
      <c r="CA49" s="560">
        <v>37.664196859999997</v>
      </c>
      <c r="CB49" s="560">
        <v>0.85</v>
      </c>
      <c r="CC49" s="560">
        <v>94</v>
      </c>
      <c r="CD49" s="560">
        <v>94</v>
      </c>
      <c r="CE49" s="560">
        <v>94</v>
      </c>
      <c r="CF49" s="560">
        <v>94</v>
      </c>
      <c r="CG49" s="560">
        <v>0.29299999999999998</v>
      </c>
      <c r="CH49" s="560">
        <v>0.3</v>
      </c>
      <c r="CI49" s="560">
        <v>0.54</v>
      </c>
      <c r="CJ49" s="560">
        <v>40</v>
      </c>
      <c r="CK49" s="560">
        <v>5</v>
      </c>
      <c r="CL49" s="560">
        <v>4</v>
      </c>
      <c r="CM49" s="562">
        <v>1344</v>
      </c>
      <c r="CN49" s="562">
        <v>148</v>
      </c>
      <c r="CO49" s="562">
        <v>30.609376350000002</v>
      </c>
      <c r="CP49" s="562">
        <v>0</v>
      </c>
      <c r="CQ49" s="562">
        <v>0</v>
      </c>
      <c r="CR49" s="562" t="s">
        <v>1718</v>
      </c>
      <c r="CS49" s="562">
        <v>0</v>
      </c>
      <c r="CT49" s="562">
        <v>0</v>
      </c>
      <c r="CU49" s="562">
        <v>0.75</v>
      </c>
      <c r="CV49" s="562">
        <v>0.5</v>
      </c>
      <c r="CW49" s="562">
        <v>17.856999999999999</v>
      </c>
      <c r="CX49" s="562">
        <v>6.5</v>
      </c>
      <c r="CY49" s="562">
        <v>17.856999999999999</v>
      </c>
      <c r="CZ49" s="560">
        <v>2665.6</v>
      </c>
      <c r="DA49" s="560">
        <v>17</v>
      </c>
      <c r="DB49" s="560" t="s">
        <v>1719</v>
      </c>
      <c r="DC49" s="560">
        <v>50</v>
      </c>
      <c r="DD49" s="560">
        <v>4</v>
      </c>
      <c r="DE49" s="560" t="s">
        <v>1720</v>
      </c>
      <c r="DF49" s="560">
        <v>5</v>
      </c>
      <c r="DG49" s="560">
        <v>0</v>
      </c>
      <c r="DH49" s="560">
        <v>4.5</v>
      </c>
      <c r="DI49" s="560">
        <v>4.5</v>
      </c>
      <c r="DJ49" s="560">
        <v>0</v>
      </c>
      <c r="DK49" s="560">
        <v>0</v>
      </c>
      <c r="DL49" s="560">
        <v>0</v>
      </c>
      <c r="DM49" s="560">
        <v>0</v>
      </c>
      <c r="DN49" s="560">
        <v>0</v>
      </c>
      <c r="DO49" s="560">
        <v>0</v>
      </c>
    </row>
    <row r="50" spans="1:119">
      <c r="A50" s="560" t="s">
        <v>1769</v>
      </c>
      <c r="B50" s="560" t="s">
        <v>1713</v>
      </c>
      <c r="C50" s="560" t="s">
        <v>782</v>
      </c>
      <c r="D50" s="560">
        <v>3</v>
      </c>
      <c r="E50" s="560">
        <v>445.51968099999999</v>
      </c>
      <c r="F50" s="560">
        <v>57.057375999999998</v>
      </c>
      <c r="G50" s="560">
        <v>6644.9655000000002</v>
      </c>
      <c r="H50" s="560">
        <v>391.60199999999998</v>
      </c>
      <c r="I50" s="560">
        <v>0.91800700000000002</v>
      </c>
      <c r="J50" s="560">
        <v>0.28903200000000001</v>
      </c>
      <c r="K50" s="560">
        <v>0.30869200000000002</v>
      </c>
      <c r="L50" s="560">
        <v>0.427037</v>
      </c>
      <c r="M50" s="560">
        <v>13972.897843000001</v>
      </c>
      <c r="N50" s="560">
        <v>14233.667503999999</v>
      </c>
      <c r="O50" s="560">
        <v>5673.3654690000003</v>
      </c>
      <c r="P50" s="560">
        <v>725.55274199999997</v>
      </c>
      <c r="Q50" s="560">
        <v>347.41458699999998</v>
      </c>
      <c r="R50" s="560">
        <v>2169.5555210000002</v>
      </c>
      <c r="S50" s="560">
        <v>1793.102224</v>
      </c>
      <c r="T50" s="560">
        <v>2083.8347140000001</v>
      </c>
      <c r="U50" s="560">
        <v>549.49371799999994</v>
      </c>
      <c r="V50" s="560">
        <v>64.718659000000002</v>
      </c>
      <c r="W50" s="560">
        <v>12.099417000000001</v>
      </c>
      <c r="X50" s="560">
        <v>0</v>
      </c>
      <c r="Y50" s="560">
        <v>40.986395000000002</v>
      </c>
      <c r="Z50" s="560">
        <v>255.95430500000001</v>
      </c>
      <c r="AA50" s="560">
        <v>42141.735107</v>
      </c>
      <c r="AB50" s="560">
        <v>42838.363335000002</v>
      </c>
      <c r="AC50" s="560">
        <v>36028.042117999998</v>
      </c>
      <c r="AD50" s="560">
        <v>29656.679649000002</v>
      </c>
      <c r="AE50" s="560">
        <v>546.36931800000002</v>
      </c>
      <c r="AF50" s="560">
        <v>17269.943131</v>
      </c>
      <c r="AG50" s="560">
        <v>18775.996125999998</v>
      </c>
      <c r="AH50" s="560">
        <v>5950.3543710000004</v>
      </c>
      <c r="AI50" s="560">
        <v>0</v>
      </c>
      <c r="AJ50" s="560">
        <v>0</v>
      </c>
      <c r="AK50" s="560">
        <v>0</v>
      </c>
      <c r="AL50" s="560">
        <v>200.75</v>
      </c>
      <c r="AM50" s="560">
        <v>0</v>
      </c>
      <c r="AN50" s="560">
        <v>0</v>
      </c>
      <c r="AO50" s="560">
        <v>0</v>
      </c>
      <c r="AP50" s="560">
        <v>0</v>
      </c>
      <c r="AQ50" s="560" t="s">
        <v>1769</v>
      </c>
      <c r="AR50" s="560" t="s">
        <v>1731</v>
      </c>
      <c r="AS50" s="560">
        <v>0</v>
      </c>
      <c r="AT50" s="560">
        <v>0</v>
      </c>
      <c r="AU50" s="560">
        <v>0</v>
      </c>
      <c r="AV50" s="560">
        <v>69</v>
      </c>
      <c r="AW50" s="560">
        <v>64</v>
      </c>
      <c r="AX50" s="560">
        <v>74</v>
      </c>
      <c r="AY50" s="560">
        <v>78</v>
      </c>
      <c r="AZ50" s="560">
        <v>1</v>
      </c>
      <c r="BA50" s="560">
        <v>2522</v>
      </c>
      <c r="BB50" s="560">
        <v>0</v>
      </c>
      <c r="BC50" s="560">
        <v>0.5</v>
      </c>
      <c r="BD50" s="560">
        <v>0</v>
      </c>
      <c r="BE50" s="560" t="s">
        <v>1715</v>
      </c>
      <c r="BF50" s="560">
        <v>2.5</v>
      </c>
      <c r="BG50" s="560">
        <v>17.399999999999999</v>
      </c>
      <c r="BH50" s="560">
        <v>1</v>
      </c>
      <c r="BI50" s="560">
        <v>2</v>
      </c>
      <c r="BJ50" s="560">
        <v>40</v>
      </c>
      <c r="BK50" s="560">
        <v>0</v>
      </c>
      <c r="BL50" s="560" t="s">
        <v>1747</v>
      </c>
      <c r="BM50" s="560">
        <v>3.0000000000000001E-3</v>
      </c>
      <c r="BN50" s="560">
        <v>15</v>
      </c>
      <c r="BO50" s="560">
        <v>6</v>
      </c>
      <c r="BP50" s="560" t="s">
        <v>1747</v>
      </c>
      <c r="BQ50" s="560">
        <v>5.0000000000000001E-3</v>
      </c>
      <c r="BR50" s="560">
        <v>40</v>
      </c>
      <c r="BS50" s="560">
        <v>6</v>
      </c>
      <c r="BT50" s="560">
        <v>2688</v>
      </c>
      <c r="BU50" s="560">
        <v>22848</v>
      </c>
      <c r="BV50" s="560">
        <v>0</v>
      </c>
      <c r="BW50" s="560">
        <v>30.609376350000002</v>
      </c>
      <c r="BX50" s="560">
        <v>1480</v>
      </c>
      <c r="BY50" s="560">
        <v>17.543859650000002</v>
      </c>
      <c r="BZ50" s="560">
        <v>1344</v>
      </c>
      <c r="CA50" s="560">
        <v>37.664196859999997</v>
      </c>
      <c r="CB50" s="560">
        <v>0.85</v>
      </c>
      <c r="CC50" s="560">
        <v>94</v>
      </c>
      <c r="CD50" s="560">
        <v>94</v>
      </c>
      <c r="CE50" s="560">
        <v>94</v>
      </c>
      <c r="CF50" s="560">
        <v>94</v>
      </c>
      <c r="CG50" s="560">
        <v>0.29299999999999998</v>
      </c>
      <c r="CH50" s="560">
        <v>0.3</v>
      </c>
      <c r="CI50" s="560">
        <v>0.54</v>
      </c>
      <c r="CJ50" s="560">
        <v>40</v>
      </c>
      <c r="CK50" s="560">
        <v>5</v>
      </c>
      <c r="CL50" s="560">
        <v>4</v>
      </c>
      <c r="CM50" s="562">
        <v>1344</v>
      </c>
      <c r="CN50" s="562">
        <v>148</v>
      </c>
      <c r="CO50" s="562">
        <v>30.609376350000002</v>
      </c>
      <c r="CP50" s="562">
        <v>0</v>
      </c>
      <c r="CQ50" s="562">
        <v>0</v>
      </c>
      <c r="CR50" s="562" t="s">
        <v>1718</v>
      </c>
      <c r="CS50" s="562">
        <v>0</v>
      </c>
      <c r="CT50" s="562">
        <v>0</v>
      </c>
      <c r="CU50" s="562">
        <v>0.75</v>
      </c>
      <c r="CV50" s="562">
        <v>0.5</v>
      </c>
      <c r="CW50" s="562">
        <v>17.856999999999999</v>
      </c>
      <c r="CX50" s="562">
        <v>6.5</v>
      </c>
      <c r="CY50" s="562">
        <v>17.856999999999999</v>
      </c>
      <c r="CZ50" s="560">
        <v>2665.6</v>
      </c>
      <c r="DA50" s="560">
        <v>17</v>
      </c>
      <c r="DB50" s="560" t="s">
        <v>1719</v>
      </c>
      <c r="DC50" s="560">
        <v>50</v>
      </c>
      <c r="DD50" s="560">
        <v>4</v>
      </c>
      <c r="DE50" s="560" t="s">
        <v>1720</v>
      </c>
      <c r="DF50" s="560">
        <v>5</v>
      </c>
      <c r="DG50" s="560">
        <v>0</v>
      </c>
      <c r="DH50" s="560">
        <v>4.5</v>
      </c>
      <c r="DI50" s="560">
        <v>4.5</v>
      </c>
      <c r="DJ50" s="560">
        <v>0</v>
      </c>
      <c r="DK50" s="560">
        <v>0</v>
      </c>
      <c r="DL50" s="560">
        <v>0</v>
      </c>
      <c r="DM50" s="560">
        <v>0</v>
      </c>
      <c r="DN50" s="560">
        <v>0</v>
      </c>
      <c r="DO50" s="560">
        <v>0</v>
      </c>
    </row>
    <row r="51" spans="1:119">
      <c r="A51" s="560" t="s">
        <v>1770</v>
      </c>
      <c r="B51" s="560" t="s">
        <v>1713</v>
      </c>
      <c r="C51" s="560" t="s">
        <v>785</v>
      </c>
      <c r="D51" s="560">
        <v>3</v>
      </c>
      <c r="E51" s="560">
        <v>445.51968099999999</v>
      </c>
      <c r="F51" s="560">
        <v>57.057375999999998</v>
      </c>
      <c r="G51" s="560">
        <v>6644.9655000000002</v>
      </c>
      <c r="H51" s="560">
        <v>755.94</v>
      </c>
      <c r="I51" s="560">
        <v>0.91800700000000002</v>
      </c>
      <c r="J51" s="560">
        <v>0.28903200000000001</v>
      </c>
      <c r="K51" s="560">
        <v>0.30869200000000002</v>
      </c>
      <c r="L51" s="560">
        <v>0.427037</v>
      </c>
      <c r="M51" s="560">
        <v>13972.897843000001</v>
      </c>
      <c r="N51" s="560">
        <v>14233.667503999999</v>
      </c>
      <c r="O51" s="560">
        <v>5673.3654690000003</v>
      </c>
      <c r="P51" s="560">
        <v>725.55274199999997</v>
      </c>
      <c r="Q51" s="560">
        <v>347.41458699999998</v>
      </c>
      <c r="R51" s="560">
        <v>2169.5555210000002</v>
      </c>
      <c r="S51" s="560">
        <v>3039.3308569999999</v>
      </c>
      <c r="T51" s="560">
        <v>3334.0653790000001</v>
      </c>
      <c r="U51" s="560">
        <v>937.00133700000004</v>
      </c>
      <c r="V51" s="560">
        <v>62.272866999999998</v>
      </c>
      <c r="W51" s="560">
        <v>6.6459739999999998</v>
      </c>
      <c r="X51" s="560">
        <v>0</v>
      </c>
      <c r="Y51" s="560">
        <v>67.95138</v>
      </c>
      <c r="Z51" s="560">
        <v>424.34687000000002</v>
      </c>
      <c r="AA51" s="560">
        <v>42141.735107</v>
      </c>
      <c r="AB51" s="560">
        <v>42838.363335000002</v>
      </c>
      <c r="AC51" s="560">
        <v>36028.042117999998</v>
      </c>
      <c r="AD51" s="560">
        <v>29656.679649000002</v>
      </c>
      <c r="AE51" s="560">
        <v>546.36931800000002</v>
      </c>
      <c r="AF51" s="560">
        <v>19244.601007000001</v>
      </c>
      <c r="AG51" s="560">
        <v>19873.938959999999</v>
      </c>
      <c r="AH51" s="560">
        <v>6513.1735420000005</v>
      </c>
      <c r="AI51" s="560">
        <v>0</v>
      </c>
      <c r="AJ51" s="560">
        <v>0</v>
      </c>
      <c r="AK51" s="560">
        <v>0</v>
      </c>
      <c r="AL51" s="560">
        <v>200.75</v>
      </c>
      <c r="AM51" s="560">
        <v>0</v>
      </c>
      <c r="AN51" s="560">
        <v>0</v>
      </c>
      <c r="AO51" s="560">
        <v>0</v>
      </c>
      <c r="AP51" s="560">
        <v>0</v>
      </c>
      <c r="AQ51" s="560" t="s">
        <v>1770</v>
      </c>
      <c r="AR51" s="560" t="s">
        <v>1733</v>
      </c>
      <c r="AS51" s="560">
        <v>0</v>
      </c>
      <c r="AT51" s="560">
        <v>0</v>
      </c>
      <c r="AU51" s="560">
        <v>0</v>
      </c>
      <c r="AV51" s="560">
        <v>69</v>
      </c>
      <c r="AW51" s="560">
        <v>64</v>
      </c>
      <c r="AX51" s="560">
        <v>74</v>
      </c>
      <c r="AY51" s="560">
        <v>78</v>
      </c>
      <c r="AZ51" s="560">
        <v>1</v>
      </c>
      <c r="BA51" s="560">
        <v>2522</v>
      </c>
      <c r="BB51" s="560">
        <v>0</v>
      </c>
      <c r="BC51" s="560">
        <v>0.5</v>
      </c>
      <c r="BD51" s="560">
        <v>0</v>
      </c>
      <c r="BE51" s="560" t="s">
        <v>1715</v>
      </c>
      <c r="BF51" s="560">
        <v>2.5</v>
      </c>
      <c r="BG51" s="560">
        <v>17.399999999999999</v>
      </c>
      <c r="BH51" s="560">
        <v>1</v>
      </c>
      <c r="BI51" s="560">
        <v>2</v>
      </c>
      <c r="BJ51" s="560">
        <v>40</v>
      </c>
      <c r="BK51" s="560">
        <v>0</v>
      </c>
      <c r="BL51" s="560" t="s">
        <v>1747</v>
      </c>
      <c r="BM51" s="560">
        <v>3.0000000000000001E-3</v>
      </c>
      <c r="BN51" s="560">
        <v>15</v>
      </c>
      <c r="BO51" s="560">
        <v>6</v>
      </c>
      <c r="BP51" s="560" t="s">
        <v>1747</v>
      </c>
      <c r="BQ51" s="560">
        <v>5.0000000000000001E-3</v>
      </c>
      <c r="BR51" s="560">
        <v>40</v>
      </c>
      <c r="BS51" s="560">
        <v>6</v>
      </c>
      <c r="BT51" s="560">
        <v>2688</v>
      </c>
      <c r="BU51" s="560">
        <v>22848</v>
      </c>
      <c r="BV51" s="560">
        <v>0</v>
      </c>
      <c r="BW51" s="560">
        <v>30.609376350000002</v>
      </c>
      <c r="BX51" s="560">
        <v>1480</v>
      </c>
      <c r="BY51" s="560">
        <v>17.543859650000002</v>
      </c>
      <c r="BZ51" s="560">
        <v>1344</v>
      </c>
      <c r="CA51" s="560">
        <v>37.664196859999997</v>
      </c>
      <c r="CB51" s="560">
        <v>0.85</v>
      </c>
      <c r="CC51" s="560">
        <v>94</v>
      </c>
      <c r="CD51" s="560">
        <v>94</v>
      </c>
      <c r="CE51" s="560">
        <v>94</v>
      </c>
      <c r="CF51" s="560">
        <v>94</v>
      </c>
      <c r="CG51" s="560">
        <v>0.29299999999999998</v>
      </c>
      <c r="CH51" s="560">
        <v>0.3</v>
      </c>
      <c r="CI51" s="560">
        <v>0.54</v>
      </c>
      <c r="CJ51" s="560">
        <v>40</v>
      </c>
      <c r="CK51" s="560">
        <v>5</v>
      </c>
      <c r="CL51" s="560">
        <v>4</v>
      </c>
      <c r="CM51" s="562">
        <v>1344</v>
      </c>
      <c r="CN51" s="562">
        <v>148</v>
      </c>
      <c r="CO51" s="562">
        <v>30.609376350000002</v>
      </c>
      <c r="CP51" s="562">
        <v>0</v>
      </c>
      <c r="CQ51" s="562">
        <v>0</v>
      </c>
      <c r="CR51" s="562" t="s">
        <v>1718</v>
      </c>
      <c r="CS51" s="562">
        <v>0</v>
      </c>
      <c r="CT51" s="562">
        <v>0</v>
      </c>
      <c r="CU51" s="562">
        <v>0.75</v>
      </c>
      <c r="CV51" s="562">
        <v>0.5</v>
      </c>
      <c r="CW51" s="562">
        <v>17.856999999999999</v>
      </c>
      <c r="CX51" s="562">
        <v>6.5</v>
      </c>
      <c r="CY51" s="562">
        <v>17.856999999999999</v>
      </c>
      <c r="CZ51" s="560">
        <v>2665.6</v>
      </c>
      <c r="DA51" s="560">
        <v>17</v>
      </c>
      <c r="DB51" s="560" t="s">
        <v>1719</v>
      </c>
      <c r="DC51" s="560">
        <v>50</v>
      </c>
      <c r="DD51" s="560">
        <v>4</v>
      </c>
      <c r="DE51" s="560" t="s">
        <v>1720</v>
      </c>
      <c r="DF51" s="560">
        <v>5</v>
      </c>
      <c r="DG51" s="560">
        <v>0</v>
      </c>
      <c r="DH51" s="560">
        <v>4.5</v>
      </c>
      <c r="DI51" s="560">
        <v>4.5</v>
      </c>
      <c r="DJ51" s="560">
        <v>0</v>
      </c>
      <c r="DK51" s="560">
        <v>0</v>
      </c>
      <c r="DL51" s="560">
        <v>0</v>
      </c>
      <c r="DM51" s="560">
        <v>0</v>
      </c>
      <c r="DN51" s="560">
        <v>0</v>
      </c>
      <c r="DO51" s="560">
        <v>0</v>
      </c>
    </row>
    <row r="52" spans="1:119">
      <c r="A52" s="560" t="s">
        <v>1771</v>
      </c>
      <c r="B52" s="560" t="s">
        <v>1713</v>
      </c>
      <c r="C52" s="560" t="s">
        <v>779</v>
      </c>
      <c r="D52" s="560">
        <v>3</v>
      </c>
      <c r="E52" s="560">
        <v>479.98236900000001</v>
      </c>
      <c r="F52" s="560">
        <v>57.482776999999999</v>
      </c>
      <c r="G52" s="560">
        <v>6644.9655000000002</v>
      </c>
      <c r="H52" s="560">
        <v>139.9665</v>
      </c>
      <c r="I52" s="560">
        <v>0.91800700000000002</v>
      </c>
      <c r="J52" s="560">
        <v>0.28877999999999998</v>
      </c>
      <c r="K52" s="560">
        <v>0.30670900000000001</v>
      </c>
      <c r="L52" s="560">
        <v>0.426983</v>
      </c>
      <c r="M52" s="560">
        <v>15419.857242</v>
      </c>
      <c r="N52" s="560">
        <v>15751.238542999999</v>
      </c>
      <c r="O52" s="560">
        <v>6330.242655</v>
      </c>
      <c r="P52" s="560">
        <v>948.18141700000001</v>
      </c>
      <c r="Q52" s="560">
        <v>378.85883699999999</v>
      </c>
      <c r="R52" s="560">
        <v>2365.9204650000001</v>
      </c>
      <c r="S52" s="560">
        <v>893.05930699999999</v>
      </c>
      <c r="T52" s="560">
        <v>1114.338448</v>
      </c>
      <c r="U52" s="560">
        <v>274.14681400000001</v>
      </c>
      <c r="V52" s="560">
        <v>48.569034000000002</v>
      </c>
      <c r="W52" s="560">
        <v>17.951630000000002</v>
      </c>
      <c r="X52" s="560">
        <v>0</v>
      </c>
      <c r="Y52" s="560">
        <v>21.162520000000001</v>
      </c>
      <c r="Z52" s="560">
        <v>132.15697599999999</v>
      </c>
      <c r="AA52" s="560">
        <v>44010.885817000002</v>
      </c>
      <c r="AB52" s="560">
        <v>44824.384757</v>
      </c>
      <c r="AC52" s="560">
        <v>38035.579807000002</v>
      </c>
      <c r="AD52" s="560">
        <v>31667.103781999998</v>
      </c>
      <c r="AE52" s="560">
        <v>546.36931800000002</v>
      </c>
      <c r="AF52" s="560">
        <v>13417.984139</v>
      </c>
      <c r="AG52" s="560">
        <v>14886.203742</v>
      </c>
      <c r="AH52" s="560">
        <v>4282.6541370000004</v>
      </c>
      <c r="AI52" s="560">
        <v>0</v>
      </c>
      <c r="AJ52" s="560">
        <v>0</v>
      </c>
      <c r="AK52" s="560">
        <v>0</v>
      </c>
      <c r="AL52" s="560">
        <v>200.75</v>
      </c>
      <c r="AM52" s="560">
        <v>0</v>
      </c>
      <c r="AN52" s="560">
        <v>0</v>
      </c>
      <c r="AO52" s="560">
        <v>0</v>
      </c>
      <c r="AP52" s="560">
        <v>0</v>
      </c>
      <c r="AQ52" s="560" t="s">
        <v>1771</v>
      </c>
      <c r="AR52" s="560" t="s">
        <v>1729</v>
      </c>
      <c r="AS52" s="560">
        <v>0</v>
      </c>
      <c r="AT52" s="560">
        <v>0</v>
      </c>
      <c r="AU52" s="560">
        <v>0</v>
      </c>
      <c r="AV52" s="560">
        <v>69</v>
      </c>
      <c r="AW52" s="560">
        <v>64</v>
      </c>
      <c r="AX52" s="560">
        <v>74</v>
      </c>
      <c r="AY52" s="560">
        <v>78</v>
      </c>
      <c r="AZ52" s="560">
        <v>1</v>
      </c>
      <c r="BA52" s="560">
        <v>2522</v>
      </c>
      <c r="BB52" s="560">
        <v>0</v>
      </c>
      <c r="BC52" s="560">
        <v>0.5</v>
      </c>
      <c r="BD52" s="560">
        <v>0</v>
      </c>
      <c r="BE52" s="560" t="s">
        <v>1715</v>
      </c>
      <c r="BF52" s="560">
        <v>2.5</v>
      </c>
      <c r="BG52" s="560">
        <v>17.399999999999999</v>
      </c>
      <c r="BH52" s="560">
        <v>1</v>
      </c>
      <c r="BI52" s="560">
        <v>2</v>
      </c>
      <c r="BJ52" s="560">
        <v>40</v>
      </c>
      <c r="BK52" s="560">
        <v>0</v>
      </c>
      <c r="BL52" s="560" t="s">
        <v>1747</v>
      </c>
      <c r="BM52" s="560">
        <v>3.0000000000000001E-3</v>
      </c>
      <c r="BN52" s="560">
        <v>15</v>
      </c>
      <c r="BO52" s="560">
        <v>4.5</v>
      </c>
      <c r="BP52" s="560" t="s">
        <v>1747</v>
      </c>
      <c r="BQ52" s="560">
        <v>5.0000000000000001E-3</v>
      </c>
      <c r="BR52" s="560">
        <v>40</v>
      </c>
      <c r="BS52" s="560">
        <v>4.9000000000000004</v>
      </c>
      <c r="BT52" s="560">
        <v>2688</v>
      </c>
      <c r="BU52" s="560">
        <v>22848</v>
      </c>
      <c r="BV52" s="560">
        <v>0</v>
      </c>
      <c r="BW52" s="560">
        <v>26.8</v>
      </c>
      <c r="BX52" s="560">
        <v>1480</v>
      </c>
      <c r="BY52" s="560">
        <v>11.4</v>
      </c>
      <c r="BZ52" s="560">
        <v>1344</v>
      </c>
      <c r="CA52" s="560">
        <v>35</v>
      </c>
      <c r="CB52" s="560">
        <v>0.85</v>
      </c>
      <c r="CC52" s="560">
        <v>94</v>
      </c>
      <c r="CD52" s="560">
        <v>94</v>
      </c>
      <c r="CE52" s="560">
        <v>94</v>
      </c>
      <c r="CF52" s="560">
        <v>94</v>
      </c>
      <c r="CG52" s="560">
        <v>0.29299999999999998</v>
      </c>
      <c r="CH52" s="560">
        <v>0.3</v>
      </c>
      <c r="CI52" s="560">
        <v>0.54</v>
      </c>
      <c r="CJ52" s="560">
        <v>40</v>
      </c>
      <c r="CK52" s="560">
        <v>5</v>
      </c>
      <c r="CL52" s="560">
        <v>4</v>
      </c>
      <c r="CM52" s="562">
        <v>1344</v>
      </c>
      <c r="CN52" s="562">
        <v>148</v>
      </c>
      <c r="CO52" s="562">
        <v>26.8</v>
      </c>
      <c r="CP52" s="562">
        <v>0</v>
      </c>
      <c r="CQ52" s="562">
        <v>0</v>
      </c>
      <c r="CR52" s="562" t="s">
        <v>1718</v>
      </c>
      <c r="CS52" s="562">
        <v>0</v>
      </c>
      <c r="CT52" s="562">
        <v>0</v>
      </c>
      <c r="CU52" s="562">
        <v>0.75</v>
      </c>
      <c r="CV52" s="562">
        <v>0.5</v>
      </c>
      <c r="CW52" s="562">
        <v>17.856999999999999</v>
      </c>
      <c r="CX52" s="562">
        <v>6.5</v>
      </c>
      <c r="CY52" s="562">
        <v>17.856999999999999</v>
      </c>
      <c r="CZ52" s="560">
        <v>2665.6</v>
      </c>
      <c r="DA52" s="560">
        <v>17</v>
      </c>
      <c r="DB52" s="560" t="s">
        <v>1719</v>
      </c>
      <c r="DC52" s="560">
        <v>50</v>
      </c>
      <c r="DD52" s="560">
        <v>4</v>
      </c>
      <c r="DE52" s="560" t="s">
        <v>1720</v>
      </c>
      <c r="DF52" s="560">
        <v>5</v>
      </c>
      <c r="DG52" s="560">
        <v>0</v>
      </c>
      <c r="DH52" s="560">
        <v>4.5</v>
      </c>
      <c r="DI52" s="560">
        <v>4.5</v>
      </c>
      <c r="DJ52" s="560">
        <v>0</v>
      </c>
      <c r="DK52" s="560">
        <v>0</v>
      </c>
      <c r="DL52" s="560">
        <v>0</v>
      </c>
      <c r="DM52" s="560">
        <v>0</v>
      </c>
      <c r="DN52" s="560">
        <v>0</v>
      </c>
      <c r="DO52" s="560">
        <v>0</v>
      </c>
    </row>
    <row r="53" spans="1:119">
      <c r="A53" s="560" t="s">
        <v>1772</v>
      </c>
      <c r="B53" s="560" t="s">
        <v>1713</v>
      </c>
      <c r="C53" s="560" t="s">
        <v>782</v>
      </c>
      <c r="D53" s="560">
        <v>3</v>
      </c>
      <c r="E53" s="560">
        <v>479.98236900000001</v>
      </c>
      <c r="F53" s="560">
        <v>57.482776999999999</v>
      </c>
      <c r="G53" s="560">
        <v>6644.9655000000002</v>
      </c>
      <c r="H53" s="560">
        <v>391.60199999999998</v>
      </c>
      <c r="I53" s="560">
        <v>0.91800700000000002</v>
      </c>
      <c r="J53" s="560">
        <v>0.28877999999999998</v>
      </c>
      <c r="K53" s="560">
        <v>0.30670900000000001</v>
      </c>
      <c r="L53" s="560">
        <v>0.426983</v>
      </c>
      <c r="M53" s="560">
        <v>15419.857242</v>
      </c>
      <c r="N53" s="560">
        <v>15751.238542999999</v>
      </c>
      <c r="O53" s="560">
        <v>6330.242655</v>
      </c>
      <c r="P53" s="560">
        <v>948.18141700000001</v>
      </c>
      <c r="Q53" s="560">
        <v>378.85883699999999</v>
      </c>
      <c r="R53" s="560">
        <v>2365.9204650000001</v>
      </c>
      <c r="S53" s="560">
        <v>1838.999415</v>
      </c>
      <c r="T53" s="560">
        <v>2131.5863880000002</v>
      </c>
      <c r="U53" s="560">
        <v>564.28717300000005</v>
      </c>
      <c r="V53" s="560">
        <v>63.184055000000001</v>
      </c>
      <c r="W53" s="560">
        <v>11.549359000000001</v>
      </c>
      <c r="X53" s="560">
        <v>0</v>
      </c>
      <c r="Y53" s="560">
        <v>42.014014000000003</v>
      </c>
      <c r="Z53" s="560">
        <v>262.37164300000001</v>
      </c>
      <c r="AA53" s="560">
        <v>44010.885817000002</v>
      </c>
      <c r="AB53" s="560">
        <v>44824.384757</v>
      </c>
      <c r="AC53" s="560">
        <v>38035.579807000002</v>
      </c>
      <c r="AD53" s="560">
        <v>31667.103781999998</v>
      </c>
      <c r="AE53" s="560">
        <v>546.36931800000002</v>
      </c>
      <c r="AF53" s="560">
        <v>18087.863808999999</v>
      </c>
      <c r="AG53" s="560">
        <v>19695.382549999998</v>
      </c>
      <c r="AH53" s="560">
        <v>6297.6163850000003</v>
      </c>
      <c r="AI53" s="560">
        <v>0</v>
      </c>
      <c r="AJ53" s="560">
        <v>0</v>
      </c>
      <c r="AK53" s="560">
        <v>0</v>
      </c>
      <c r="AL53" s="560">
        <v>200.75</v>
      </c>
      <c r="AM53" s="560">
        <v>0</v>
      </c>
      <c r="AN53" s="560">
        <v>0</v>
      </c>
      <c r="AO53" s="560">
        <v>0</v>
      </c>
      <c r="AP53" s="560">
        <v>0</v>
      </c>
      <c r="AQ53" s="560" t="s">
        <v>1772</v>
      </c>
      <c r="AR53" s="560" t="s">
        <v>1731</v>
      </c>
      <c r="AS53" s="560">
        <v>0</v>
      </c>
      <c r="AT53" s="560">
        <v>0</v>
      </c>
      <c r="AU53" s="560">
        <v>0</v>
      </c>
      <c r="AV53" s="560">
        <v>69</v>
      </c>
      <c r="AW53" s="560">
        <v>64</v>
      </c>
      <c r="AX53" s="560">
        <v>74</v>
      </c>
      <c r="AY53" s="560">
        <v>78</v>
      </c>
      <c r="AZ53" s="560">
        <v>1</v>
      </c>
      <c r="BA53" s="560">
        <v>2522</v>
      </c>
      <c r="BB53" s="560">
        <v>0</v>
      </c>
      <c r="BC53" s="560">
        <v>0.5</v>
      </c>
      <c r="BD53" s="560">
        <v>0</v>
      </c>
      <c r="BE53" s="560" t="s">
        <v>1715</v>
      </c>
      <c r="BF53" s="560">
        <v>2.5</v>
      </c>
      <c r="BG53" s="560">
        <v>17.399999999999999</v>
      </c>
      <c r="BH53" s="560">
        <v>1</v>
      </c>
      <c r="BI53" s="560">
        <v>2</v>
      </c>
      <c r="BJ53" s="560">
        <v>40</v>
      </c>
      <c r="BK53" s="560">
        <v>0</v>
      </c>
      <c r="BL53" s="560" t="s">
        <v>1747</v>
      </c>
      <c r="BM53" s="560">
        <v>3.0000000000000001E-3</v>
      </c>
      <c r="BN53" s="560">
        <v>15</v>
      </c>
      <c r="BO53" s="560">
        <v>4.5</v>
      </c>
      <c r="BP53" s="560" t="s">
        <v>1747</v>
      </c>
      <c r="BQ53" s="560">
        <v>5.0000000000000001E-3</v>
      </c>
      <c r="BR53" s="560">
        <v>40</v>
      </c>
      <c r="BS53" s="560">
        <v>4.9000000000000004</v>
      </c>
      <c r="BT53" s="560">
        <v>2688</v>
      </c>
      <c r="BU53" s="560">
        <v>22848</v>
      </c>
      <c r="BV53" s="560">
        <v>0</v>
      </c>
      <c r="BW53" s="560">
        <v>26.8</v>
      </c>
      <c r="BX53" s="560">
        <v>1480</v>
      </c>
      <c r="BY53" s="560">
        <v>11.4</v>
      </c>
      <c r="BZ53" s="560">
        <v>1344</v>
      </c>
      <c r="CA53" s="560">
        <v>35</v>
      </c>
      <c r="CB53" s="560">
        <v>0.85</v>
      </c>
      <c r="CC53" s="560">
        <v>94</v>
      </c>
      <c r="CD53" s="560">
        <v>94</v>
      </c>
      <c r="CE53" s="560">
        <v>94</v>
      </c>
      <c r="CF53" s="560">
        <v>94</v>
      </c>
      <c r="CG53" s="560">
        <v>0.29299999999999998</v>
      </c>
      <c r="CH53" s="560">
        <v>0.3</v>
      </c>
      <c r="CI53" s="560">
        <v>0.54</v>
      </c>
      <c r="CJ53" s="560">
        <v>40</v>
      </c>
      <c r="CK53" s="560">
        <v>5</v>
      </c>
      <c r="CL53" s="560">
        <v>4</v>
      </c>
      <c r="CM53" s="562">
        <v>1344</v>
      </c>
      <c r="CN53" s="562">
        <v>148</v>
      </c>
      <c r="CO53" s="562">
        <v>26.8</v>
      </c>
      <c r="CP53" s="562">
        <v>0</v>
      </c>
      <c r="CQ53" s="562">
        <v>0</v>
      </c>
      <c r="CR53" s="562" t="s">
        <v>1718</v>
      </c>
      <c r="CS53" s="562">
        <v>0</v>
      </c>
      <c r="CT53" s="562">
        <v>0</v>
      </c>
      <c r="CU53" s="562">
        <v>0.75</v>
      </c>
      <c r="CV53" s="562">
        <v>0.5</v>
      </c>
      <c r="CW53" s="562">
        <v>17.856999999999999</v>
      </c>
      <c r="CX53" s="562">
        <v>6.5</v>
      </c>
      <c r="CY53" s="562">
        <v>17.856999999999999</v>
      </c>
      <c r="CZ53" s="560">
        <v>2665.6</v>
      </c>
      <c r="DA53" s="560">
        <v>17</v>
      </c>
      <c r="DB53" s="560" t="s">
        <v>1719</v>
      </c>
      <c r="DC53" s="560">
        <v>50</v>
      </c>
      <c r="DD53" s="560">
        <v>4</v>
      </c>
      <c r="DE53" s="560" t="s">
        <v>1720</v>
      </c>
      <c r="DF53" s="560">
        <v>5</v>
      </c>
      <c r="DG53" s="560">
        <v>0</v>
      </c>
      <c r="DH53" s="560">
        <v>4.5</v>
      </c>
      <c r="DI53" s="560">
        <v>4.5</v>
      </c>
      <c r="DJ53" s="560">
        <v>0</v>
      </c>
      <c r="DK53" s="560">
        <v>0</v>
      </c>
      <c r="DL53" s="560">
        <v>0</v>
      </c>
      <c r="DM53" s="560">
        <v>0</v>
      </c>
      <c r="DN53" s="560">
        <v>0</v>
      </c>
      <c r="DO53" s="560">
        <v>0</v>
      </c>
    </row>
    <row r="54" spans="1:119">
      <c r="A54" s="560" t="s">
        <v>1773</v>
      </c>
      <c r="B54" s="560" t="s">
        <v>1713</v>
      </c>
      <c r="C54" s="560" t="s">
        <v>785</v>
      </c>
      <c r="D54" s="560">
        <v>3</v>
      </c>
      <c r="E54" s="560">
        <v>479.98236900000001</v>
      </c>
      <c r="F54" s="560">
        <v>57.482776999999999</v>
      </c>
      <c r="G54" s="560">
        <v>6644.9655000000002</v>
      </c>
      <c r="H54" s="560">
        <v>755.94</v>
      </c>
      <c r="I54" s="560">
        <v>0.91800700000000002</v>
      </c>
      <c r="J54" s="560">
        <v>0.28877999999999998</v>
      </c>
      <c r="K54" s="560">
        <v>0.30670900000000001</v>
      </c>
      <c r="L54" s="560">
        <v>0.426983</v>
      </c>
      <c r="M54" s="560">
        <v>15419.857242</v>
      </c>
      <c r="N54" s="560">
        <v>15751.238542999999</v>
      </c>
      <c r="O54" s="560">
        <v>6330.242655</v>
      </c>
      <c r="P54" s="560">
        <v>948.18141700000001</v>
      </c>
      <c r="Q54" s="560">
        <v>378.85883699999999</v>
      </c>
      <c r="R54" s="560">
        <v>2365.9204650000001</v>
      </c>
      <c r="S54" s="560">
        <v>3137.2097349999999</v>
      </c>
      <c r="T54" s="560">
        <v>3441.2549210000002</v>
      </c>
      <c r="U54" s="560">
        <v>970.63462200000004</v>
      </c>
      <c r="V54" s="560">
        <v>60.508755999999998</v>
      </c>
      <c r="W54" s="560">
        <v>6.2339370000000001</v>
      </c>
      <c r="X54" s="560">
        <v>0</v>
      </c>
      <c r="Y54" s="560">
        <v>70.253967000000003</v>
      </c>
      <c r="Z54" s="560">
        <v>438.726204</v>
      </c>
      <c r="AA54" s="560">
        <v>44010.885817000002</v>
      </c>
      <c r="AB54" s="560">
        <v>44824.384757</v>
      </c>
      <c r="AC54" s="560">
        <v>38035.579807000002</v>
      </c>
      <c r="AD54" s="560">
        <v>31667.103781999998</v>
      </c>
      <c r="AE54" s="560">
        <v>546.36931800000002</v>
      </c>
      <c r="AF54" s="560">
        <v>20227.082066999999</v>
      </c>
      <c r="AG54" s="560">
        <v>21006.626777000001</v>
      </c>
      <c r="AH54" s="560">
        <v>6863.2557420000003</v>
      </c>
      <c r="AI54" s="560">
        <v>0</v>
      </c>
      <c r="AJ54" s="560">
        <v>0</v>
      </c>
      <c r="AK54" s="560">
        <v>0</v>
      </c>
      <c r="AL54" s="560">
        <v>200.75</v>
      </c>
      <c r="AM54" s="560">
        <v>0</v>
      </c>
      <c r="AN54" s="560">
        <v>0</v>
      </c>
      <c r="AO54" s="560">
        <v>0</v>
      </c>
      <c r="AP54" s="560">
        <v>0</v>
      </c>
      <c r="AQ54" s="560" t="s">
        <v>1773</v>
      </c>
      <c r="AR54" s="560" t="s">
        <v>1733</v>
      </c>
      <c r="AS54" s="560">
        <v>0</v>
      </c>
      <c r="AT54" s="560">
        <v>0</v>
      </c>
      <c r="AU54" s="560">
        <v>0</v>
      </c>
      <c r="AV54" s="560">
        <v>69</v>
      </c>
      <c r="AW54" s="560">
        <v>64</v>
      </c>
      <c r="AX54" s="560">
        <v>74</v>
      </c>
      <c r="AY54" s="560">
        <v>78</v>
      </c>
      <c r="AZ54" s="560">
        <v>1</v>
      </c>
      <c r="BA54" s="560">
        <v>2522</v>
      </c>
      <c r="BB54" s="560">
        <v>0</v>
      </c>
      <c r="BC54" s="560">
        <v>0.5</v>
      </c>
      <c r="BD54" s="560">
        <v>0</v>
      </c>
      <c r="BE54" s="560" t="s">
        <v>1715</v>
      </c>
      <c r="BF54" s="560">
        <v>2.5</v>
      </c>
      <c r="BG54" s="560">
        <v>17.399999999999999</v>
      </c>
      <c r="BH54" s="560">
        <v>1</v>
      </c>
      <c r="BI54" s="560">
        <v>2</v>
      </c>
      <c r="BJ54" s="560">
        <v>40</v>
      </c>
      <c r="BK54" s="560">
        <v>0</v>
      </c>
      <c r="BL54" s="560" t="s">
        <v>1747</v>
      </c>
      <c r="BM54" s="560">
        <v>3.0000000000000001E-3</v>
      </c>
      <c r="BN54" s="560">
        <v>15</v>
      </c>
      <c r="BO54" s="560">
        <v>4.5</v>
      </c>
      <c r="BP54" s="560" t="s">
        <v>1747</v>
      </c>
      <c r="BQ54" s="560">
        <v>5.0000000000000001E-3</v>
      </c>
      <c r="BR54" s="560">
        <v>40</v>
      </c>
      <c r="BS54" s="560">
        <v>4.9000000000000004</v>
      </c>
      <c r="BT54" s="560">
        <v>2688</v>
      </c>
      <c r="BU54" s="560">
        <v>22848</v>
      </c>
      <c r="BV54" s="560">
        <v>0</v>
      </c>
      <c r="BW54" s="560">
        <v>26.8</v>
      </c>
      <c r="BX54" s="560">
        <v>1480</v>
      </c>
      <c r="BY54" s="560">
        <v>11.4</v>
      </c>
      <c r="BZ54" s="560">
        <v>1344</v>
      </c>
      <c r="CA54" s="560">
        <v>35</v>
      </c>
      <c r="CB54" s="560">
        <v>0.85</v>
      </c>
      <c r="CC54" s="560">
        <v>94</v>
      </c>
      <c r="CD54" s="560">
        <v>94</v>
      </c>
      <c r="CE54" s="560">
        <v>94</v>
      </c>
      <c r="CF54" s="560">
        <v>94</v>
      </c>
      <c r="CG54" s="560">
        <v>0.29299999999999998</v>
      </c>
      <c r="CH54" s="560">
        <v>0.3</v>
      </c>
      <c r="CI54" s="560">
        <v>0.54</v>
      </c>
      <c r="CJ54" s="560">
        <v>40</v>
      </c>
      <c r="CK54" s="560">
        <v>5</v>
      </c>
      <c r="CL54" s="560">
        <v>4</v>
      </c>
      <c r="CM54" s="562">
        <v>1344</v>
      </c>
      <c r="CN54" s="562">
        <v>148</v>
      </c>
      <c r="CO54" s="562">
        <v>26.8</v>
      </c>
      <c r="CP54" s="562">
        <v>0</v>
      </c>
      <c r="CQ54" s="562">
        <v>0</v>
      </c>
      <c r="CR54" s="562" t="s">
        <v>1718</v>
      </c>
      <c r="CS54" s="562">
        <v>0</v>
      </c>
      <c r="CT54" s="562">
        <v>0</v>
      </c>
      <c r="CU54" s="562">
        <v>0.75</v>
      </c>
      <c r="CV54" s="562">
        <v>0.5</v>
      </c>
      <c r="CW54" s="562">
        <v>17.856999999999999</v>
      </c>
      <c r="CX54" s="562">
        <v>6.5</v>
      </c>
      <c r="CY54" s="562">
        <v>17.856999999999999</v>
      </c>
      <c r="CZ54" s="560">
        <v>2665.6</v>
      </c>
      <c r="DA54" s="560">
        <v>17</v>
      </c>
      <c r="DB54" s="560" t="s">
        <v>1719</v>
      </c>
      <c r="DC54" s="560">
        <v>50</v>
      </c>
      <c r="DD54" s="560">
        <v>4</v>
      </c>
      <c r="DE54" s="560" t="s">
        <v>1720</v>
      </c>
      <c r="DF54" s="560">
        <v>5</v>
      </c>
      <c r="DG54" s="560">
        <v>0</v>
      </c>
      <c r="DH54" s="560">
        <v>4.5</v>
      </c>
      <c r="DI54" s="560">
        <v>4.5</v>
      </c>
      <c r="DJ54" s="560">
        <v>0</v>
      </c>
      <c r="DK54" s="560">
        <v>0</v>
      </c>
      <c r="DL54" s="560">
        <v>0</v>
      </c>
      <c r="DM54" s="560">
        <v>0</v>
      </c>
      <c r="DN54" s="560">
        <v>0</v>
      </c>
      <c r="DO54" s="560">
        <v>0</v>
      </c>
    </row>
    <row r="55" spans="1:119">
      <c r="A55" s="560" t="s">
        <v>1774</v>
      </c>
      <c r="B55" s="560" t="s">
        <v>1713</v>
      </c>
      <c r="C55" s="560" t="s">
        <v>794</v>
      </c>
      <c r="D55" s="560">
        <v>3</v>
      </c>
      <c r="E55" s="560">
        <v>438.57444400000003</v>
      </c>
      <c r="F55" s="560">
        <v>56.605074000000002</v>
      </c>
      <c r="G55" s="560">
        <v>7927.5</v>
      </c>
      <c r="H55" s="560">
        <v>139.9665</v>
      </c>
      <c r="I55" s="560">
        <v>0.90101900000000001</v>
      </c>
      <c r="J55" s="560">
        <v>0.27956500000000001</v>
      </c>
      <c r="K55" s="560">
        <v>0.29584700000000003</v>
      </c>
      <c r="L55" s="560">
        <v>0.44134699999999999</v>
      </c>
      <c r="M55" s="560">
        <v>17406.074414999999</v>
      </c>
      <c r="N55" s="560">
        <v>17738.775833</v>
      </c>
      <c r="O55" s="560">
        <v>7858.401022</v>
      </c>
      <c r="P55" s="560">
        <v>1705.6526759999999</v>
      </c>
      <c r="Q55" s="560">
        <v>441.448036</v>
      </c>
      <c r="R55" s="560">
        <v>2756.7812629999999</v>
      </c>
      <c r="S55" s="560">
        <v>889.05945899999995</v>
      </c>
      <c r="T55" s="560">
        <v>1113.781974</v>
      </c>
      <c r="U55" s="560">
        <v>272.744461</v>
      </c>
      <c r="V55" s="560">
        <v>50.064824000000002</v>
      </c>
      <c r="W55" s="560">
        <v>18.562227</v>
      </c>
      <c r="X55" s="560">
        <v>0</v>
      </c>
      <c r="Y55" s="560">
        <v>21.101572999999998</v>
      </c>
      <c r="Z55" s="560">
        <v>131.776376</v>
      </c>
      <c r="AA55" s="560">
        <v>46171.386719000002</v>
      </c>
      <c r="AB55" s="560">
        <v>46932.397851000002</v>
      </c>
      <c r="AC55" s="560">
        <v>41328.850267000002</v>
      </c>
      <c r="AD55" s="560">
        <v>35190.645074</v>
      </c>
      <c r="AE55" s="560">
        <v>546.36931800000002</v>
      </c>
      <c r="AF55" s="560">
        <v>12766.760531</v>
      </c>
      <c r="AG55" s="560">
        <v>14190.568319</v>
      </c>
      <c r="AH55" s="560">
        <v>4060.5592219999999</v>
      </c>
      <c r="AI55" s="560">
        <v>0</v>
      </c>
      <c r="AJ55" s="560">
        <v>0</v>
      </c>
      <c r="AK55" s="560">
        <v>0</v>
      </c>
      <c r="AL55" s="560">
        <v>200.75</v>
      </c>
      <c r="AM55" s="560">
        <v>0</v>
      </c>
      <c r="AN55" s="560">
        <v>0</v>
      </c>
      <c r="AO55" s="560">
        <v>0</v>
      </c>
      <c r="AP55" s="560">
        <v>0</v>
      </c>
      <c r="AQ55" s="560" t="s">
        <v>1774</v>
      </c>
      <c r="AR55" s="560" t="s">
        <v>1738</v>
      </c>
      <c r="AS55" s="560">
        <v>0</v>
      </c>
      <c r="AT55" s="560">
        <v>0</v>
      </c>
      <c r="AU55" s="560">
        <v>0</v>
      </c>
      <c r="AV55" s="560">
        <v>69</v>
      </c>
      <c r="AW55" s="560">
        <v>64</v>
      </c>
      <c r="AX55" s="560">
        <v>74</v>
      </c>
      <c r="AY55" s="560">
        <v>78</v>
      </c>
      <c r="AZ55" s="560">
        <v>1</v>
      </c>
      <c r="BA55" s="560">
        <v>2522</v>
      </c>
      <c r="BB55" s="560">
        <v>0</v>
      </c>
      <c r="BC55" s="560">
        <v>0.5</v>
      </c>
      <c r="BD55" s="560">
        <v>0</v>
      </c>
      <c r="BE55" s="560" t="s">
        <v>1715</v>
      </c>
      <c r="BF55" s="560">
        <v>2.5</v>
      </c>
      <c r="BG55" s="560">
        <v>17.399999999999999</v>
      </c>
      <c r="BH55" s="560">
        <v>1</v>
      </c>
      <c r="BI55" s="560">
        <v>2</v>
      </c>
      <c r="BJ55" s="560">
        <v>40</v>
      </c>
      <c r="BK55" s="560">
        <v>0</v>
      </c>
      <c r="BL55" s="560" t="s">
        <v>1747</v>
      </c>
      <c r="BM55" s="560">
        <v>3.0000000000000001E-3</v>
      </c>
      <c r="BN55" s="560">
        <v>15</v>
      </c>
      <c r="BO55" s="560">
        <v>6</v>
      </c>
      <c r="BP55" s="560" t="s">
        <v>1747</v>
      </c>
      <c r="BQ55" s="560">
        <v>5.0000000000000001E-3</v>
      </c>
      <c r="BR55" s="560">
        <v>40</v>
      </c>
      <c r="BS55" s="560">
        <v>6</v>
      </c>
      <c r="BT55" s="560">
        <v>2688</v>
      </c>
      <c r="BU55" s="560">
        <v>22848</v>
      </c>
      <c r="BV55" s="560">
        <v>0</v>
      </c>
      <c r="BW55" s="560">
        <v>30.609376350000002</v>
      </c>
      <c r="BX55" s="560">
        <v>1480</v>
      </c>
      <c r="BY55" s="560">
        <v>17.543859650000002</v>
      </c>
      <c r="BZ55" s="560">
        <v>1344</v>
      </c>
      <c r="CA55" s="560">
        <v>37.664196859999997</v>
      </c>
      <c r="CB55" s="560">
        <v>0.85</v>
      </c>
      <c r="CC55" s="560">
        <v>94</v>
      </c>
      <c r="CD55" s="560">
        <v>94</v>
      </c>
      <c r="CE55" s="560">
        <v>94</v>
      </c>
      <c r="CF55" s="560">
        <v>94</v>
      </c>
      <c r="CG55" s="560">
        <v>0.29299999999999998</v>
      </c>
      <c r="CH55" s="560">
        <v>0.3</v>
      </c>
      <c r="CI55" s="560">
        <v>0.54</v>
      </c>
      <c r="CJ55" s="560">
        <v>40</v>
      </c>
      <c r="CK55" s="560">
        <v>5</v>
      </c>
      <c r="CL55" s="560">
        <v>4</v>
      </c>
      <c r="CM55" s="562">
        <v>1344</v>
      </c>
      <c r="CN55" s="562">
        <v>148</v>
      </c>
      <c r="CO55" s="562">
        <v>30.609376350000002</v>
      </c>
      <c r="CP55" s="562">
        <v>0</v>
      </c>
      <c r="CQ55" s="562">
        <v>0</v>
      </c>
      <c r="CR55" s="562" t="s">
        <v>1718</v>
      </c>
      <c r="CS55" s="562">
        <v>0</v>
      </c>
      <c r="CT55" s="562">
        <v>0</v>
      </c>
      <c r="CU55" s="562">
        <v>0.75</v>
      </c>
      <c r="CV55" s="562">
        <v>0.5</v>
      </c>
      <c r="CW55" s="562">
        <v>17.856999999999999</v>
      </c>
      <c r="CX55" s="562">
        <v>6.5</v>
      </c>
      <c r="CY55" s="562">
        <v>17.856999999999999</v>
      </c>
      <c r="CZ55" s="560">
        <v>2665.6</v>
      </c>
      <c r="DA55" s="560">
        <v>17</v>
      </c>
      <c r="DB55" s="560" t="s">
        <v>1719</v>
      </c>
      <c r="DC55" s="560">
        <v>50</v>
      </c>
      <c r="DD55" s="560">
        <v>4</v>
      </c>
      <c r="DE55" s="560" t="s">
        <v>1720</v>
      </c>
      <c r="DF55" s="560">
        <v>5</v>
      </c>
      <c r="DG55" s="560">
        <v>0</v>
      </c>
      <c r="DH55" s="560">
        <v>4.5</v>
      </c>
      <c r="DI55" s="560">
        <v>4.5</v>
      </c>
      <c r="DJ55" s="560">
        <v>0</v>
      </c>
      <c r="DK55" s="560">
        <v>0</v>
      </c>
      <c r="DL55" s="560">
        <v>0</v>
      </c>
      <c r="DM55" s="560">
        <v>0</v>
      </c>
      <c r="DN55" s="560">
        <v>0</v>
      </c>
      <c r="DO55" s="560">
        <v>0</v>
      </c>
    </row>
    <row r="56" spans="1:119">
      <c r="A56" s="560" t="s">
        <v>1775</v>
      </c>
      <c r="B56" s="560" t="s">
        <v>1713</v>
      </c>
      <c r="C56" s="560" t="s">
        <v>797</v>
      </c>
      <c r="D56" s="560">
        <v>3</v>
      </c>
      <c r="E56" s="560">
        <v>438.57444400000003</v>
      </c>
      <c r="F56" s="560">
        <v>56.605074000000002</v>
      </c>
      <c r="G56" s="560">
        <v>7927.5</v>
      </c>
      <c r="H56" s="560">
        <v>391.60199999999998</v>
      </c>
      <c r="I56" s="560">
        <v>0.90101900000000001</v>
      </c>
      <c r="J56" s="560">
        <v>0.27956500000000001</v>
      </c>
      <c r="K56" s="560">
        <v>0.29584700000000003</v>
      </c>
      <c r="L56" s="560">
        <v>0.44134699999999999</v>
      </c>
      <c r="M56" s="560">
        <v>17406.074414999999</v>
      </c>
      <c r="N56" s="560">
        <v>17738.775833</v>
      </c>
      <c r="O56" s="560">
        <v>7858.401022</v>
      </c>
      <c r="P56" s="560">
        <v>1705.6526759999999</v>
      </c>
      <c r="Q56" s="560">
        <v>441.448036</v>
      </c>
      <c r="R56" s="560">
        <v>2756.7812629999999</v>
      </c>
      <c r="S56" s="560">
        <v>1793.102224</v>
      </c>
      <c r="T56" s="560">
        <v>2083.8347140000001</v>
      </c>
      <c r="U56" s="560">
        <v>549.49371799999994</v>
      </c>
      <c r="V56" s="560">
        <v>64.718659000000002</v>
      </c>
      <c r="W56" s="560">
        <v>12.099417000000001</v>
      </c>
      <c r="X56" s="560">
        <v>0</v>
      </c>
      <c r="Y56" s="560">
        <v>40.986395000000002</v>
      </c>
      <c r="Z56" s="560">
        <v>255.95430500000001</v>
      </c>
      <c r="AA56" s="560">
        <v>46171.386719000002</v>
      </c>
      <c r="AB56" s="560">
        <v>46932.397851000002</v>
      </c>
      <c r="AC56" s="560">
        <v>41328.850267000002</v>
      </c>
      <c r="AD56" s="560">
        <v>35190.645074</v>
      </c>
      <c r="AE56" s="560">
        <v>546.36931800000002</v>
      </c>
      <c r="AF56" s="560">
        <v>17269.943131</v>
      </c>
      <c r="AG56" s="560">
        <v>18775.996125999998</v>
      </c>
      <c r="AH56" s="560">
        <v>5950.3543710000004</v>
      </c>
      <c r="AI56" s="560">
        <v>0</v>
      </c>
      <c r="AJ56" s="560">
        <v>0</v>
      </c>
      <c r="AK56" s="560">
        <v>0</v>
      </c>
      <c r="AL56" s="560">
        <v>200.75</v>
      </c>
      <c r="AM56" s="560">
        <v>0</v>
      </c>
      <c r="AN56" s="560">
        <v>0</v>
      </c>
      <c r="AO56" s="560">
        <v>0</v>
      </c>
      <c r="AP56" s="560">
        <v>0</v>
      </c>
      <c r="AQ56" s="560" t="s">
        <v>1775</v>
      </c>
      <c r="AR56" s="560" t="s">
        <v>1740</v>
      </c>
      <c r="AS56" s="560">
        <v>0</v>
      </c>
      <c r="AT56" s="560">
        <v>0</v>
      </c>
      <c r="AU56" s="560">
        <v>0</v>
      </c>
      <c r="AV56" s="560">
        <v>69</v>
      </c>
      <c r="AW56" s="560">
        <v>64</v>
      </c>
      <c r="AX56" s="560">
        <v>74</v>
      </c>
      <c r="AY56" s="560">
        <v>78</v>
      </c>
      <c r="AZ56" s="560">
        <v>1</v>
      </c>
      <c r="BA56" s="560">
        <v>2522</v>
      </c>
      <c r="BB56" s="560">
        <v>0</v>
      </c>
      <c r="BC56" s="560">
        <v>0.5</v>
      </c>
      <c r="BD56" s="560">
        <v>0</v>
      </c>
      <c r="BE56" s="560" t="s">
        <v>1715</v>
      </c>
      <c r="BF56" s="560">
        <v>2.5</v>
      </c>
      <c r="BG56" s="560">
        <v>17.399999999999999</v>
      </c>
      <c r="BH56" s="560">
        <v>1</v>
      </c>
      <c r="BI56" s="560">
        <v>2</v>
      </c>
      <c r="BJ56" s="560">
        <v>40</v>
      </c>
      <c r="BK56" s="560">
        <v>0</v>
      </c>
      <c r="BL56" s="560" t="s">
        <v>1747</v>
      </c>
      <c r="BM56" s="560">
        <v>3.0000000000000001E-3</v>
      </c>
      <c r="BN56" s="560">
        <v>15</v>
      </c>
      <c r="BO56" s="560">
        <v>6</v>
      </c>
      <c r="BP56" s="560" t="s">
        <v>1747</v>
      </c>
      <c r="BQ56" s="560">
        <v>5.0000000000000001E-3</v>
      </c>
      <c r="BR56" s="560">
        <v>40</v>
      </c>
      <c r="BS56" s="560">
        <v>6</v>
      </c>
      <c r="BT56" s="560">
        <v>2688</v>
      </c>
      <c r="BU56" s="560">
        <v>22848</v>
      </c>
      <c r="BV56" s="560">
        <v>0</v>
      </c>
      <c r="BW56" s="560">
        <v>30.609376350000002</v>
      </c>
      <c r="BX56" s="560">
        <v>1480</v>
      </c>
      <c r="BY56" s="560">
        <v>17.543859650000002</v>
      </c>
      <c r="BZ56" s="560">
        <v>1344</v>
      </c>
      <c r="CA56" s="560">
        <v>37.664196859999997</v>
      </c>
      <c r="CB56" s="560">
        <v>0.85</v>
      </c>
      <c r="CC56" s="560">
        <v>94</v>
      </c>
      <c r="CD56" s="560">
        <v>94</v>
      </c>
      <c r="CE56" s="560">
        <v>94</v>
      </c>
      <c r="CF56" s="560">
        <v>94</v>
      </c>
      <c r="CG56" s="560">
        <v>0.29299999999999998</v>
      </c>
      <c r="CH56" s="560">
        <v>0.3</v>
      </c>
      <c r="CI56" s="560">
        <v>0.54</v>
      </c>
      <c r="CJ56" s="560">
        <v>40</v>
      </c>
      <c r="CK56" s="560">
        <v>5</v>
      </c>
      <c r="CL56" s="560">
        <v>4</v>
      </c>
      <c r="CM56" s="562">
        <v>1344</v>
      </c>
      <c r="CN56" s="562">
        <v>148</v>
      </c>
      <c r="CO56" s="562">
        <v>30.609376350000002</v>
      </c>
      <c r="CP56" s="562">
        <v>0</v>
      </c>
      <c r="CQ56" s="562">
        <v>0</v>
      </c>
      <c r="CR56" s="562" t="s">
        <v>1718</v>
      </c>
      <c r="CS56" s="562">
        <v>0</v>
      </c>
      <c r="CT56" s="562">
        <v>0</v>
      </c>
      <c r="CU56" s="562">
        <v>0.75</v>
      </c>
      <c r="CV56" s="562">
        <v>0.5</v>
      </c>
      <c r="CW56" s="562">
        <v>17.856999999999999</v>
      </c>
      <c r="CX56" s="562">
        <v>6.5</v>
      </c>
      <c r="CY56" s="562">
        <v>17.856999999999999</v>
      </c>
      <c r="CZ56" s="560">
        <v>2665.6</v>
      </c>
      <c r="DA56" s="560">
        <v>17</v>
      </c>
      <c r="DB56" s="560" t="s">
        <v>1719</v>
      </c>
      <c r="DC56" s="560">
        <v>50</v>
      </c>
      <c r="DD56" s="560">
        <v>4</v>
      </c>
      <c r="DE56" s="560" t="s">
        <v>1720</v>
      </c>
      <c r="DF56" s="560">
        <v>5</v>
      </c>
      <c r="DG56" s="560">
        <v>0</v>
      </c>
      <c r="DH56" s="560">
        <v>4.5</v>
      </c>
      <c r="DI56" s="560">
        <v>4.5</v>
      </c>
      <c r="DJ56" s="560">
        <v>0</v>
      </c>
      <c r="DK56" s="560">
        <v>0</v>
      </c>
      <c r="DL56" s="560">
        <v>0</v>
      </c>
      <c r="DM56" s="560">
        <v>0</v>
      </c>
      <c r="DN56" s="560">
        <v>0</v>
      </c>
      <c r="DO56" s="560">
        <v>0</v>
      </c>
    </row>
    <row r="57" spans="1:119">
      <c r="A57" s="560" t="s">
        <v>1776</v>
      </c>
      <c r="B57" s="560" t="s">
        <v>1713</v>
      </c>
      <c r="C57" s="560" t="s">
        <v>800</v>
      </c>
      <c r="D57" s="560">
        <v>3</v>
      </c>
      <c r="E57" s="560">
        <v>438.57444400000003</v>
      </c>
      <c r="F57" s="560">
        <v>56.605074000000002</v>
      </c>
      <c r="G57" s="560">
        <v>7927.5</v>
      </c>
      <c r="H57" s="560">
        <v>755.94</v>
      </c>
      <c r="I57" s="560">
        <v>0.90101900000000001</v>
      </c>
      <c r="J57" s="560">
        <v>0.27956500000000001</v>
      </c>
      <c r="K57" s="560">
        <v>0.29584700000000003</v>
      </c>
      <c r="L57" s="560">
        <v>0.44134699999999999</v>
      </c>
      <c r="M57" s="560">
        <v>17406.074414999999</v>
      </c>
      <c r="N57" s="560">
        <v>17738.775833</v>
      </c>
      <c r="O57" s="560">
        <v>7858.401022</v>
      </c>
      <c r="P57" s="560">
        <v>1705.6526759999999</v>
      </c>
      <c r="Q57" s="560">
        <v>441.448036</v>
      </c>
      <c r="R57" s="560">
        <v>2756.7812629999999</v>
      </c>
      <c r="S57" s="560">
        <v>3039.3308569999999</v>
      </c>
      <c r="T57" s="560">
        <v>3334.0653790000001</v>
      </c>
      <c r="U57" s="560">
        <v>937.00133700000004</v>
      </c>
      <c r="V57" s="560">
        <v>62.272866999999998</v>
      </c>
      <c r="W57" s="560">
        <v>6.6459739999999998</v>
      </c>
      <c r="X57" s="560">
        <v>0</v>
      </c>
      <c r="Y57" s="560">
        <v>67.95138</v>
      </c>
      <c r="Z57" s="560">
        <v>424.34687000000002</v>
      </c>
      <c r="AA57" s="560">
        <v>46171.386719000002</v>
      </c>
      <c r="AB57" s="560">
        <v>46932.397851000002</v>
      </c>
      <c r="AC57" s="560">
        <v>41328.850267000002</v>
      </c>
      <c r="AD57" s="560">
        <v>35190.645074</v>
      </c>
      <c r="AE57" s="560">
        <v>546.36931800000002</v>
      </c>
      <c r="AF57" s="560">
        <v>19244.601007000001</v>
      </c>
      <c r="AG57" s="560">
        <v>19873.938959999999</v>
      </c>
      <c r="AH57" s="560">
        <v>6513.1735420000005</v>
      </c>
      <c r="AI57" s="560">
        <v>0</v>
      </c>
      <c r="AJ57" s="560">
        <v>0</v>
      </c>
      <c r="AK57" s="560">
        <v>0</v>
      </c>
      <c r="AL57" s="560">
        <v>200.75</v>
      </c>
      <c r="AM57" s="560">
        <v>0</v>
      </c>
      <c r="AN57" s="560">
        <v>0</v>
      </c>
      <c r="AO57" s="560">
        <v>0</v>
      </c>
      <c r="AP57" s="560">
        <v>0</v>
      </c>
      <c r="AQ57" s="560" t="s">
        <v>1776</v>
      </c>
      <c r="AR57" s="560" t="s">
        <v>1742</v>
      </c>
      <c r="AS57" s="560">
        <v>0</v>
      </c>
      <c r="AT57" s="560">
        <v>0</v>
      </c>
      <c r="AU57" s="560">
        <v>0</v>
      </c>
      <c r="AV57" s="560">
        <v>69</v>
      </c>
      <c r="AW57" s="560">
        <v>64</v>
      </c>
      <c r="AX57" s="560">
        <v>74</v>
      </c>
      <c r="AY57" s="560">
        <v>78</v>
      </c>
      <c r="AZ57" s="560">
        <v>1</v>
      </c>
      <c r="BA57" s="560">
        <v>2522</v>
      </c>
      <c r="BB57" s="560">
        <v>0</v>
      </c>
      <c r="BC57" s="560">
        <v>0.5</v>
      </c>
      <c r="BD57" s="560">
        <v>0</v>
      </c>
      <c r="BE57" s="560" t="s">
        <v>1715</v>
      </c>
      <c r="BF57" s="560">
        <v>2.5</v>
      </c>
      <c r="BG57" s="560">
        <v>17.399999999999999</v>
      </c>
      <c r="BH57" s="560">
        <v>1</v>
      </c>
      <c r="BI57" s="560">
        <v>2</v>
      </c>
      <c r="BJ57" s="560">
        <v>40</v>
      </c>
      <c r="BK57" s="560">
        <v>0</v>
      </c>
      <c r="BL57" s="560" t="s">
        <v>1747</v>
      </c>
      <c r="BM57" s="560">
        <v>3.0000000000000001E-3</v>
      </c>
      <c r="BN57" s="560">
        <v>15</v>
      </c>
      <c r="BO57" s="560">
        <v>6</v>
      </c>
      <c r="BP57" s="560" t="s">
        <v>1747</v>
      </c>
      <c r="BQ57" s="560">
        <v>5.0000000000000001E-3</v>
      </c>
      <c r="BR57" s="560">
        <v>40</v>
      </c>
      <c r="BS57" s="560">
        <v>6</v>
      </c>
      <c r="BT57" s="560">
        <v>2688</v>
      </c>
      <c r="BU57" s="560">
        <v>22848</v>
      </c>
      <c r="BV57" s="560">
        <v>0</v>
      </c>
      <c r="BW57" s="560">
        <v>30.609376350000002</v>
      </c>
      <c r="BX57" s="560">
        <v>1480</v>
      </c>
      <c r="BY57" s="560">
        <v>17.543859650000002</v>
      </c>
      <c r="BZ57" s="560">
        <v>1344</v>
      </c>
      <c r="CA57" s="560">
        <v>37.664196859999997</v>
      </c>
      <c r="CB57" s="560">
        <v>0.85</v>
      </c>
      <c r="CC57" s="560">
        <v>94</v>
      </c>
      <c r="CD57" s="560">
        <v>94</v>
      </c>
      <c r="CE57" s="560">
        <v>94</v>
      </c>
      <c r="CF57" s="560">
        <v>94</v>
      </c>
      <c r="CG57" s="560">
        <v>0.29299999999999998</v>
      </c>
      <c r="CH57" s="560">
        <v>0.3</v>
      </c>
      <c r="CI57" s="560">
        <v>0.54</v>
      </c>
      <c r="CJ57" s="560">
        <v>40</v>
      </c>
      <c r="CK57" s="560">
        <v>5</v>
      </c>
      <c r="CL57" s="560">
        <v>4</v>
      </c>
      <c r="CM57" s="562">
        <v>1344</v>
      </c>
      <c r="CN57" s="562">
        <v>148</v>
      </c>
      <c r="CO57" s="562">
        <v>30.609376350000002</v>
      </c>
      <c r="CP57" s="562">
        <v>0</v>
      </c>
      <c r="CQ57" s="562">
        <v>0</v>
      </c>
      <c r="CR57" s="562" t="s">
        <v>1718</v>
      </c>
      <c r="CS57" s="562">
        <v>0</v>
      </c>
      <c r="CT57" s="562">
        <v>0</v>
      </c>
      <c r="CU57" s="562">
        <v>0.75</v>
      </c>
      <c r="CV57" s="562">
        <v>0.5</v>
      </c>
      <c r="CW57" s="562">
        <v>17.856999999999999</v>
      </c>
      <c r="CX57" s="562">
        <v>6.5</v>
      </c>
      <c r="CY57" s="562">
        <v>17.856999999999999</v>
      </c>
      <c r="CZ57" s="560">
        <v>2665.6</v>
      </c>
      <c r="DA57" s="560">
        <v>17</v>
      </c>
      <c r="DB57" s="560" t="s">
        <v>1719</v>
      </c>
      <c r="DC57" s="560">
        <v>50</v>
      </c>
      <c r="DD57" s="560">
        <v>4</v>
      </c>
      <c r="DE57" s="560" t="s">
        <v>1720</v>
      </c>
      <c r="DF57" s="560">
        <v>5</v>
      </c>
      <c r="DG57" s="560">
        <v>0</v>
      </c>
      <c r="DH57" s="560">
        <v>4.5</v>
      </c>
      <c r="DI57" s="560">
        <v>4.5</v>
      </c>
      <c r="DJ57" s="560">
        <v>0</v>
      </c>
      <c r="DK57" s="560">
        <v>0</v>
      </c>
      <c r="DL57" s="560">
        <v>0</v>
      </c>
      <c r="DM57" s="560">
        <v>0</v>
      </c>
      <c r="DN57" s="560">
        <v>0</v>
      </c>
      <c r="DO57" s="560">
        <v>0</v>
      </c>
    </row>
    <row r="58" spans="1:119">
      <c r="A58" s="560" t="s">
        <v>1777</v>
      </c>
      <c r="B58" s="560" t="s">
        <v>1713</v>
      </c>
      <c r="C58" s="560" t="s">
        <v>794</v>
      </c>
      <c r="D58" s="560">
        <v>3</v>
      </c>
      <c r="E58" s="560">
        <v>472.42126500000001</v>
      </c>
      <c r="F58" s="560">
        <v>57.111550999999999</v>
      </c>
      <c r="G58" s="560">
        <v>7927.5</v>
      </c>
      <c r="H58" s="560">
        <v>139.9665</v>
      </c>
      <c r="I58" s="560">
        <v>0.90101900000000001</v>
      </c>
      <c r="J58" s="560">
        <v>0.279229</v>
      </c>
      <c r="K58" s="560">
        <v>0.29216799999999998</v>
      </c>
      <c r="L58" s="560">
        <v>0.44113400000000003</v>
      </c>
      <c r="M58" s="560">
        <v>19131.776268000001</v>
      </c>
      <c r="N58" s="560">
        <v>19550.903252</v>
      </c>
      <c r="O58" s="560">
        <v>8783.3590480000003</v>
      </c>
      <c r="P58" s="560">
        <v>2165.7170590000001</v>
      </c>
      <c r="Q58" s="560">
        <v>475.609037</v>
      </c>
      <c r="R58" s="560">
        <v>2970.111938</v>
      </c>
      <c r="S58" s="560">
        <v>893.05930699999999</v>
      </c>
      <c r="T58" s="560">
        <v>1114.338448</v>
      </c>
      <c r="U58" s="560">
        <v>274.14681400000001</v>
      </c>
      <c r="V58" s="560">
        <v>48.569034000000002</v>
      </c>
      <c r="W58" s="560">
        <v>17.951630000000002</v>
      </c>
      <c r="X58" s="560">
        <v>0</v>
      </c>
      <c r="Y58" s="560">
        <v>21.162520000000001</v>
      </c>
      <c r="Z58" s="560">
        <v>132.15697599999999</v>
      </c>
      <c r="AA58" s="560">
        <v>47755.979226000003</v>
      </c>
      <c r="AB58" s="560">
        <v>48641.701609000003</v>
      </c>
      <c r="AC58" s="560">
        <v>43541.25864</v>
      </c>
      <c r="AD58" s="560">
        <v>37405.835575999998</v>
      </c>
      <c r="AE58" s="560">
        <v>546.36931800000002</v>
      </c>
      <c r="AF58" s="560">
        <v>13417.984139</v>
      </c>
      <c r="AG58" s="560">
        <v>14886.203742</v>
      </c>
      <c r="AH58" s="560">
        <v>4282.6541370000004</v>
      </c>
      <c r="AI58" s="560">
        <v>0</v>
      </c>
      <c r="AJ58" s="560">
        <v>0</v>
      </c>
      <c r="AK58" s="560">
        <v>0</v>
      </c>
      <c r="AL58" s="560">
        <v>200.75</v>
      </c>
      <c r="AM58" s="560">
        <v>0</v>
      </c>
      <c r="AN58" s="560">
        <v>0</v>
      </c>
      <c r="AO58" s="560">
        <v>0</v>
      </c>
      <c r="AP58" s="560">
        <v>0</v>
      </c>
      <c r="AQ58" s="560" t="s">
        <v>1777</v>
      </c>
      <c r="AR58" s="560" t="s">
        <v>1738</v>
      </c>
      <c r="AS58" s="560">
        <v>0</v>
      </c>
      <c r="AT58" s="560">
        <v>0</v>
      </c>
      <c r="AU58" s="560">
        <v>0</v>
      </c>
      <c r="AV58" s="560">
        <v>69</v>
      </c>
      <c r="AW58" s="560">
        <v>64</v>
      </c>
      <c r="AX58" s="560">
        <v>74</v>
      </c>
      <c r="AY58" s="560">
        <v>78</v>
      </c>
      <c r="AZ58" s="560">
        <v>1</v>
      </c>
      <c r="BA58" s="560">
        <v>2522</v>
      </c>
      <c r="BB58" s="560">
        <v>0</v>
      </c>
      <c r="BC58" s="560">
        <v>0.5</v>
      </c>
      <c r="BD58" s="560">
        <v>0</v>
      </c>
      <c r="BE58" s="560" t="s">
        <v>1715</v>
      </c>
      <c r="BF58" s="560">
        <v>2.5</v>
      </c>
      <c r="BG58" s="560">
        <v>17.399999999999999</v>
      </c>
      <c r="BH58" s="560">
        <v>1</v>
      </c>
      <c r="BI58" s="560">
        <v>2</v>
      </c>
      <c r="BJ58" s="560">
        <v>40</v>
      </c>
      <c r="BK58" s="560">
        <v>0</v>
      </c>
      <c r="BL58" s="560" t="s">
        <v>1747</v>
      </c>
      <c r="BM58" s="560">
        <v>3.0000000000000001E-3</v>
      </c>
      <c r="BN58" s="560">
        <v>15</v>
      </c>
      <c r="BO58" s="560">
        <v>4.5</v>
      </c>
      <c r="BP58" s="560" t="s">
        <v>1747</v>
      </c>
      <c r="BQ58" s="560">
        <v>5.0000000000000001E-3</v>
      </c>
      <c r="BR58" s="560">
        <v>40</v>
      </c>
      <c r="BS58" s="560">
        <v>4.9000000000000004</v>
      </c>
      <c r="BT58" s="560">
        <v>2688</v>
      </c>
      <c r="BU58" s="560">
        <v>22848</v>
      </c>
      <c r="BV58" s="560">
        <v>0</v>
      </c>
      <c r="BW58" s="560">
        <v>26.8</v>
      </c>
      <c r="BX58" s="560">
        <v>1480</v>
      </c>
      <c r="BY58" s="560">
        <v>11.4</v>
      </c>
      <c r="BZ58" s="560">
        <v>1344</v>
      </c>
      <c r="CA58" s="560">
        <v>35</v>
      </c>
      <c r="CB58" s="560">
        <v>0.85</v>
      </c>
      <c r="CC58" s="560">
        <v>94</v>
      </c>
      <c r="CD58" s="560">
        <v>94</v>
      </c>
      <c r="CE58" s="560">
        <v>94</v>
      </c>
      <c r="CF58" s="560">
        <v>94</v>
      </c>
      <c r="CG58" s="560">
        <v>0.29299999999999998</v>
      </c>
      <c r="CH58" s="560">
        <v>0.3</v>
      </c>
      <c r="CI58" s="560">
        <v>0.54</v>
      </c>
      <c r="CJ58" s="560">
        <v>40</v>
      </c>
      <c r="CK58" s="560">
        <v>5</v>
      </c>
      <c r="CL58" s="560">
        <v>4</v>
      </c>
      <c r="CM58" s="562">
        <v>1344</v>
      </c>
      <c r="CN58" s="562">
        <v>148</v>
      </c>
      <c r="CO58" s="562">
        <v>26.8</v>
      </c>
      <c r="CP58" s="562">
        <v>0</v>
      </c>
      <c r="CQ58" s="562">
        <v>0</v>
      </c>
      <c r="CR58" s="562" t="s">
        <v>1718</v>
      </c>
      <c r="CS58" s="562">
        <v>0</v>
      </c>
      <c r="CT58" s="562">
        <v>0</v>
      </c>
      <c r="CU58" s="562">
        <v>0.75</v>
      </c>
      <c r="CV58" s="562">
        <v>0.5</v>
      </c>
      <c r="CW58" s="562">
        <v>17.856999999999999</v>
      </c>
      <c r="CX58" s="562">
        <v>6.5</v>
      </c>
      <c r="CY58" s="562">
        <v>17.856999999999999</v>
      </c>
      <c r="CZ58" s="560">
        <v>2665.6</v>
      </c>
      <c r="DA58" s="560">
        <v>17</v>
      </c>
      <c r="DB58" s="560" t="s">
        <v>1719</v>
      </c>
      <c r="DC58" s="560">
        <v>50</v>
      </c>
      <c r="DD58" s="560">
        <v>4</v>
      </c>
      <c r="DE58" s="560" t="s">
        <v>1720</v>
      </c>
      <c r="DF58" s="560">
        <v>5</v>
      </c>
      <c r="DG58" s="560">
        <v>0</v>
      </c>
      <c r="DH58" s="560">
        <v>4.5</v>
      </c>
      <c r="DI58" s="560">
        <v>4.5</v>
      </c>
      <c r="DJ58" s="560">
        <v>0</v>
      </c>
      <c r="DK58" s="560">
        <v>0</v>
      </c>
      <c r="DL58" s="560">
        <v>0</v>
      </c>
      <c r="DM58" s="560">
        <v>0</v>
      </c>
      <c r="DN58" s="560">
        <v>0</v>
      </c>
      <c r="DO58" s="560">
        <v>0</v>
      </c>
    </row>
    <row r="59" spans="1:119">
      <c r="A59" s="560" t="s">
        <v>1778</v>
      </c>
      <c r="B59" s="560" t="s">
        <v>1713</v>
      </c>
      <c r="C59" s="560" t="s">
        <v>797</v>
      </c>
      <c r="D59" s="560">
        <v>3</v>
      </c>
      <c r="E59" s="560">
        <v>472.42126500000001</v>
      </c>
      <c r="F59" s="560">
        <v>57.111550999999999</v>
      </c>
      <c r="G59" s="560">
        <v>7927.5</v>
      </c>
      <c r="H59" s="560">
        <v>391.60199999999998</v>
      </c>
      <c r="I59" s="560">
        <v>0.90101900000000001</v>
      </c>
      <c r="J59" s="560">
        <v>0.279229</v>
      </c>
      <c r="K59" s="560">
        <v>0.29216799999999998</v>
      </c>
      <c r="L59" s="560">
        <v>0.44113400000000003</v>
      </c>
      <c r="M59" s="560">
        <v>19131.776268000001</v>
      </c>
      <c r="N59" s="560">
        <v>19550.903252</v>
      </c>
      <c r="O59" s="560">
        <v>8783.3590480000003</v>
      </c>
      <c r="P59" s="560">
        <v>2165.7170590000001</v>
      </c>
      <c r="Q59" s="560">
        <v>475.609037</v>
      </c>
      <c r="R59" s="560">
        <v>2970.111938</v>
      </c>
      <c r="S59" s="560">
        <v>1838.999415</v>
      </c>
      <c r="T59" s="560">
        <v>2131.5863880000002</v>
      </c>
      <c r="U59" s="560">
        <v>564.28717300000005</v>
      </c>
      <c r="V59" s="560">
        <v>63.184055000000001</v>
      </c>
      <c r="W59" s="560">
        <v>11.549359000000001</v>
      </c>
      <c r="X59" s="560">
        <v>0</v>
      </c>
      <c r="Y59" s="560">
        <v>42.014014000000003</v>
      </c>
      <c r="Z59" s="560">
        <v>262.37164300000001</v>
      </c>
      <c r="AA59" s="560">
        <v>47755.979226000003</v>
      </c>
      <c r="AB59" s="560">
        <v>48641.701609000003</v>
      </c>
      <c r="AC59" s="560">
        <v>43541.25864</v>
      </c>
      <c r="AD59" s="560">
        <v>37405.835575999998</v>
      </c>
      <c r="AE59" s="560">
        <v>546.36931800000002</v>
      </c>
      <c r="AF59" s="560">
        <v>18087.863808999999</v>
      </c>
      <c r="AG59" s="560">
        <v>19695.382549999998</v>
      </c>
      <c r="AH59" s="560">
        <v>6297.6163850000003</v>
      </c>
      <c r="AI59" s="560">
        <v>0</v>
      </c>
      <c r="AJ59" s="560">
        <v>0</v>
      </c>
      <c r="AK59" s="560">
        <v>0</v>
      </c>
      <c r="AL59" s="560">
        <v>200.75</v>
      </c>
      <c r="AM59" s="560">
        <v>0</v>
      </c>
      <c r="AN59" s="560">
        <v>0</v>
      </c>
      <c r="AO59" s="560">
        <v>0</v>
      </c>
      <c r="AP59" s="560">
        <v>0</v>
      </c>
      <c r="AQ59" s="560" t="s">
        <v>1778</v>
      </c>
      <c r="AR59" s="560" t="s">
        <v>1740</v>
      </c>
      <c r="AS59" s="560">
        <v>0</v>
      </c>
      <c r="AT59" s="560">
        <v>0</v>
      </c>
      <c r="AU59" s="560">
        <v>0</v>
      </c>
      <c r="AV59" s="560">
        <v>69</v>
      </c>
      <c r="AW59" s="560">
        <v>64</v>
      </c>
      <c r="AX59" s="560">
        <v>74</v>
      </c>
      <c r="AY59" s="560">
        <v>78</v>
      </c>
      <c r="AZ59" s="560">
        <v>1</v>
      </c>
      <c r="BA59" s="560">
        <v>2522</v>
      </c>
      <c r="BB59" s="560">
        <v>0</v>
      </c>
      <c r="BC59" s="560">
        <v>0.5</v>
      </c>
      <c r="BD59" s="560">
        <v>0</v>
      </c>
      <c r="BE59" s="560" t="s">
        <v>1715</v>
      </c>
      <c r="BF59" s="560">
        <v>2.5</v>
      </c>
      <c r="BG59" s="560">
        <v>17.399999999999999</v>
      </c>
      <c r="BH59" s="560">
        <v>1</v>
      </c>
      <c r="BI59" s="560">
        <v>2</v>
      </c>
      <c r="BJ59" s="560">
        <v>40</v>
      </c>
      <c r="BK59" s="560">
        <v>0</v>
      </c>
      <c r="BL59" s="560" t="s">
        <v>1747</v>
      </c>
      <c r="BM59" s="560">
        <v>3.0000000000000001E-3</v>
      </c>
      <c r="BN59" s="560">
        <v>15</v>
      </c>
      <c r="BO59" s="560">
        <v>4.5</v>
      </c>
      <c r="BP59" s="560" t="s">
        <v>1747</v>
      </c>
      <c r="BQ59" s="560">
        <v>5.0000000000000001E-3</v>
      </c>
      <c r="BR59" s="560">
        <v>40</v>
      </c>
      <c r="BS59" s="560">
        <v>4.9000000000000004</v>
      </c>
      <c r="BT59" s="560">
        <v>2688</v>
      </c>
      <c r="BU59" s="560">
        <v>22848</v>
      </c>
      <c r="BV59" s="560">
        <v>0</v>
      </c>
      <c r="BW59" s="560">
        <v>26.8</v>
      </c>
      <c r="BX59" s="560">
        <v>1480</v>
      </c>
      <c r="BY59" s="560">
        <v>11.4</v>
      </c>
      <c r="BZ59" s="560">
        <v>1344</v>
      </c>
      <c r="CA59" s="560">
        <v>35</v>
      </c>
      <c r="CB59" s="560">
        <v>0.85</v>
      </c>
      <c r="CC59" s="560">
        <v>94</v>
      </c>
      <c r="CD59" s="560">
        <v>94</v>
      </c>
      <c r="CE59" s="560">
        <v>94</v>
      </c>
      <c r="CF59" s="560">
        <v>94</v>
      </c>
      <c r="CG59" s="560">
        <v>0.29299999999999998</v>
      </c>
      <c r="CH59" s="560">
        <v>0.3</v>
      </c>
      <c r="CI59" s="560">
        <v>0.54</v>
      </c>
      <c r="CJ59" s="560">
        <v>40</v>
      </c>
      <c r="CK59" s="560">
        <v>5</v>
      </c>
      <c r="CL59" s="560">
        <v>4</v>
      </c>
      <c r="CM59" s="562">
        <v>1344</v>
      </c>
      <c r="CN59" s="562">
        <v>148</v>
      </c>
      <c r="CO59" s="562">
        <v>26.8</v>
      </c>
      <c r="CP59" s="562">
        <v>0</v>
      </c>
      <c r="CQ59" s="562">
        <v>0</v>
      </c>
      <c r="CR59" s="562" t="s">
        <v>1718</v>
      </c>
      <c r="CS59" s="562">
        <v>0</v>
      </c>
      <c r="CT59" s="562">
        <v>0</v>
      </c>
      <c r="CU59" s="562">
        <v>0.75</v>
      </c>
      <c r="CV59" s="562">
        <v>0.5</v>
      </c>
      <c r="CW59" s="562">
        <v>17.856999999999999</v>
      </c>
      <c r="CX59" s="562">
        <v>6.5</v>
      </c>
      <c r="CY59" s="562">
        <v>17.856999999999999</v>
      </c>
      <c r="CZ59" s="560">
        <v>2665.6</v>
      </c>
      <c r="DA59" s="560">
        <v>17</v>
      </c>
      <c r="DB59" s="560" t="s">
        <v>1719</v>
      </c>
      <c r="DC59" s="560">
        <v>50</v>
      </c>
      <c r="DD59" s="560">
        <v>4</v>
      </c>
      <c r="DE59" s="560" t="s">
        <v>1720</v>
      </c>
      <c r="DF59" s="560">
        <v>5</v>
      </c>
      <c r="DG59" s="560">
        <v>0</v>
      </c>
      <c r="DH59" s="560">
        <v>4.5</v>
      </c>
      <c r="DI59" s="560">
        <v>4.5</v>
      </c>
      <c r="DJ59" s="560">
        <v>0</v>
      </c>
      <c r="DK59" s="560">
        <v>0</v>
      </c>
      <c r="DL59" s="560">
        <v>0</v>
      </c>
      <c r="DM59" s="560">
        <v>0</v>
      </c>
      <c r="DN59" s="560">
        <v>0</v>
      </c>
      <c r="DO59" s="560">
        <v>0</v>
      </c>
    </row>
    <row r="60" spans="1:119">
      <c r="A60" s="560" t="s">
        <v>1779</v>
      </c>
      <c r="B60" s="560" t="s">
        <v>1713</v>
      </c>
      <c r="C60" s="560" t="s">
        <v>800</v>
      </c>
      <c r="D60" s="560">
        <v>3</v>
      </c>
      <c r="E60" s="560">
        <v>472.42126500000001</v>
      </c>
      <c r="F60" s="560">
        <v>57.111550999999999</v>
      </c>
      <c r="G60" s="560">
        <v>7927.5</v>
      </c>
      <c r="H60" s="560">
        <v>755.94</v>
      </c>
      <c r="I60" s="560">
        <v>0.90101900000000001</v>
      </c>
      <c r="J60" s="560">
        <v>0.279229</v>
      </c>
      <c r="K60" s="560">
        <v>0.29216799999999998</v>
      </c>
      <c r="L60" s="560">
        <v>0.44113400000000003</v>
      </c>
      <c r="M60" s="560">
        <v>19131.776268000001</v>
      </c>
      <c r="N60" s="560">
        <v>19550.903252</v>
      </c>
      <c r="O60" s="560">
        <v>8783.3590480000003</v>
      </c>
      <c r="P60" s="560">
        <v>2165.7170590000001</v>
      </c>
      <c r="Q60" s="560">
        <v>475.609037</v>
      </c>
      <c r="R60" s="560">
        <v>2970.111938</v>
      </c>
      <c r="S60" s="560">
        <v>3137.2097349999999</v>
      </c>
      <c r="T60" s="560">
        <v>3441.2549210000002</v>
      </c>
      <c r="U60" s="560">
        <v>970.63462200000004</v>
      </c>
      <c r="V60" s="560">
        <v>60.508755999999998</v>
      </c>
      <c r="W60" s="560">
        <v>6.2339370000000001</v>
      </c>
      <c r="X60" s="560">
        <v>0</v>
      </c>
      <c r="Y60" s="560">
        <v>70.253967000000003</v>
      </c>
      <c r="Z60" s="560">
        <v>438.726204</v>
      </c>
      <c r="AA60" s="560">
        <v>47755.979226000003</v>
      </c>
      <c r="AB60" s="560">
        <v>48641.701609000003</v>
      </c>
      <c r="AC60" s="560">
        <v>43541.25864</v>
      </c>
      <c r="AD60" s="560">
        <v>37405.835575999998</v>
      </c>
      <c r="AE60" s="560">
        <v>546.36931800000002</v>
      </c>
      <c r="AF60" s="560">
        <v>20227.082066999999</v>
      </c>
      <c r="AG60" s="560">
        <v>21006.626777000001</v>
      </c>
      <c r="AH60" s="560">
        <v>6863.2557420000003</v>
      </c>
      <c r="AI60" s="560">
        <v>0</v>
      </c>
      <c r="AJ60" s="560">
        <v>0</v>
      </c>
      <c r="AK60" s="560">
        <v>0</v>
      </c>
      <c r="AL60" s="560">
        <v>200.75</v>
      </c>
      <c r="AM60" s="560">
        <v>0</v>
      </c>
      <c r="AN60" s="560">
        <v>0</v>
      </c>
      <c r="AO60" s="560">
        <v>0</v>
      </c>
      <c r="AP60" s="560">
        <v>0</v>
      </c>
      <c r="AQ60" s="560" t="s">
        <v>1779</v>
      </c>
      <c r="AR60" s="560" t="s">
        <v>1742</v>
      </c>
      <c r="AS60" s="560">
        <v>0</v>
      </c>
      <c r="AT60" s="560">
        <v>0</v>
      </c>
      <c r="AU60" s="560">
        <v>0</v>
      </c>
      <c r="AV60" s="560">
        <v>69</v>
      </c>
      <c r="AW60" s="560">
        <v>64</v>
      </c>
      <c r="AX60" s="560">
        <v>74</v>
      </c>
      <c r="AY60" s="560">
        <v>78</v>
      </c>
      <c r="AZ60" s="560">
        <v>1</v>
      </c>
      <c r="BA60" s="560">
        <v>2522</v>
      </c>
      <c r="BB60" s="560">
        <v>0</v>
      </c>
      <c r="BC60" s="560">
        <v>0.5</v>
      </c>
      <c r="BD60" s="560">
        <v>0</v>
      </c>
      <c r="BE60" s="560" t="s">
        <v>1715</v>
      </c>
      <c r="BF60" s="560">
        <v>2.5</v>
      </c>
      <c r="BG60" s="560">
        <v>17.399999999999999</v>
      </c>
      <c r="BH60" s="560">
        <v>1</v>
      </c>
      <c r="BI60" s="560">
        <v>2</v>
      </c>
      <c r="BJ60" s="560">
        <v>40</v>
      </c>
      <c r="BK60" s="560">
        <v>0</v>
      </c>
      <c r="BL60" s="560" t="s">
        <v>1747</v>
      </c>
      <c r="BM60" s="560">
        <v>3.0000000000000001E-3</v>
      </c>
      <c r="BN60" s="560">
        <v>15</v>
      </c>
      <c r="BO60" s="560">
        <v>4.5</v>
      </c>
      <c r="BP60" s="560" t="s">
        <v>1747</v>
      </c>
      <c r="BQ60" s="560">
        <v>5.0000000000000001E-3</v>
      </c>
      <c r="BR60" s="560">
        <v>40</v>
      </c>
      <c r="BS60" s="560">
        <v>4.9000000000000004</v>
      </c>
      <c r="BT60" s="560">
        <v>2688</v>
      </c>
      <c r="BU60" s="560">
        <v>22848</v>
      </c>
      <c r="BV60" s="560">
        <v>0</v>
      </c>
      <c r="BW60" s="560">
        <v>26.8</v>
      </c>
      <c r="BX60" s="560">
        <v>1480</v>
      </c>
      <c r="BY60" s="560">
        <v>11.4</v>
      </c>
      <c r="BZ60" s="560">
        <v>1344</v>
      </c>
      <c r="CA60" s="560">
        <v>35</v>
      </c>
      <c r="CB60" s="560">
        <v>0.85</v>
      </c>
      <c r="CC60" s="560">
        <v>94</v>
      </c>
      <c r="CD60" s="560">
        <v>94</v>
      </c>
      <c r="CE60" s="560">
        <v>94</v>
      </c>
      <c r="CF60" s="560">
        <v>94</v>
      </c>
      <c r="CG60" s="560">
        <v>0.29299999999999998</v>
      </c>
      <c r="CH60" s="560">
        <v>0.3</v>
      </c>
      <c r="CI60" s="560">
        <v>0.54</v>
      </c>
      <c r="CJ60" s="560">
        <v>40</v>
      </c>
      <c r="CK60" s="560">
        <v>5</v>
      </c>
      <c r="CL60" s="560">
        <v>4</v>
      </c>
      <c r="CM60" s="562">
        <v>1344</v>
      </c>
      <c r="CN60" s="562">
        <v>148</v>
      </c>
      <c r="CO60" s="562">
        <v>26.8</v>
      </c>
      <c r="CP60" s="562">
        <v>0</v>
      </c>
      <c r="CQ60" s="562">
        <v>0</v>
      </c>
      <c r="CR60" s="562" t="s">
        <v>1718</v>
      </c>
      <c r="CS60" s="562">
        <v>0</v>
      </c>
      <c r="CT60" s="562">
        <v>0</v>
      </c>
      <c r="CU60" s="562">
        <v>0.75</v>
      </c>
      <c r="CV60" s="562">
        <v>0.5</v>
      </c>
      <c r="CW60" s="562">
        <v>17.856999999999999</v>
      </c>
      <c r="CX60" s="562">
        <v>6.5</v>
      </c>
      <c r="CY60" s="562">
        <v>17.856999999999999</v>
      </c>
      <c r="CZ60" s="560">
        <v>2665.6</v>
      </c>
      <c r="DA60" s="560">
        <v>17</v>
      </c>
      <c r="DB60" s="560" t="s">
        <v>1719</v>
      </c>
      <c r="DC60" s="560">
        <v>50</v>
      </c>
      <c r="DD60" s="560">
        <v>4</v>
      </c>
      <c r="DE60" s="560" t="s">
        <v>1720</v>
      </c>
      <c r="DF60" s="560">
        <v>5</v>
      </c>
      <c r="DG60" s="560">
        <v>0</v>
      </c>
      <c r="DH60" s="560">
        <v>4.5</v>
      </c>
      <c r="DI60" s="560">
        <v>4.5</v>
      </c>
      <c r="DJ60" s="560">
        <v>0</v>
      </c>
      <c r="DK60" s="560">
        <v>0</v>
      </c>
      <c r="DL60" s="560">
        <v>0</v>
      </c>
      <c r="DM60" s="560">
        <v>0</v>
      </c>
      <c r="DN60" s="560">
        <v>0</v>
      </c>
      <c r="DO60" s="560">
        <v>0</v>
      </c>
    </row>
    <row r="61" spans="1:119">
      <c r="A61" s="560" t="s">
        <v>1780</v>
      </c>
      <c r="B61" s="560" t="s">
        <v>1713</v>
      </c>
      <c r="C61" s="560" t="s">
        <v>764</v>
      </c>
      <c r="D61" s="560">
        <v>3</v>
      </c>
      <c r="E61" s="560">
        <v>763.02839900000004</v>
      </c>
      <c r="F61" s="560">
        <v>58.543622999999997</v>
      </c>
      <c r="G61" s="560">
        <v>4974.4274999999998</v>
      </c>
      <c r="H61" s="560">
        <v>139.9665</v>
      </c>
      <c r="I61" s="560">
        <v>0.968943</v>
      </c>
      <c r="J61" s="560">
        <v>0.31626900000000002</v>
      </c>
      <c r="K61" s="560">
        <v>0.340389</v>
      </c>
      <c r="L61" s="560">
        <v>0.50204499999999996</v>
      </c>
      <c r="M61" s="560">
        <v>18890.814405000001</v>
      </c>
      <c r="N61" s="560">
        <v>19568.355846999999</v>
      </c>
      <c r="O61" s="560">
        <v>7269.812833</v>
      </c>
      <c r="P61" s="560">
        <v>1351.740317</v>
      </c>
      <c r="Q61" s="560">
        <v>407.53330099999999</v>
      </c>
      <c r="R61" s="560">
        <v>1817.8489179999999</v>
      </c>
      <c r="S61" s="560">
        <v>1572.1738319999999</v>
      </c>
      <c r="T61" s="560">
        <v>1929.2553049999999</v>
      </c>
      <c r="U61" s="560">
        <v>476.46530799999999</v>
      </c>
      <c r="V61" s="560">
        <v>65.256279000000006</v>
      </c>
      <c r="W61" s="560">
        <v>13.943187999999999</v>
      </c>
      <c r="X61" s="560">
        <v>0</v>
      </c>
      <c r="Y61" s="560">
        <v>36.866129000000001</v>
      </c>
      <c r="Z61" s="560">
        <v>164.44558699999999</v>
      </c>
      <c r="AA61" s="560">
        <v>73003.297432000007</v>
      </c>
      <c r="AB61" s="560">
        <v>75566.516692999998</v>
      </c>
      <c r="AC61" s="560">
        <v>61457.782976000002</v>
      </c>
      <c r="AD61" s="560">
        <v>52088.674635000003</v>
      </c>
      <c r="AE61" s="560">
        <v>764.91704500000003</v>
      </c>
      <c r="AF61" s="560">
        <v>24478.018048000002</v>
      </c>
      <c r="AG61" s="560">
        <v>27474.207003</v>
      </c>
      <c r="AH61" s="560">
        <v>7755.3484900000003</v>
      </c>
      <c r="AI61" s="560">
        <v>0.7</v>
      </c>
      <c r="AJ61" s="560">
        <v>0</v>
      </c>
      <c r="AK61" s="560">
        <v>0</v>
      </c>
      <c r="AL61" s="560">
        <v>200.75</v>
      </c>
      <c r="AM61" s="560">
        <v>0</v>
      </c>
      <c r="AN61" s="560">
        <v>0</v>
      </c>
      <c r="AO61" s="560">
        <v>0</v>
      </c>
      <c r="AP61" s="560">
        <v>0</v>
      </c>
      <c r="AQ61" s="560" t="s">
        <v>1780</v>
      </c>
      <c r="AR61" s="560" t="s">
        <v>1714</v>
      </c>
      <c r="AS61" s="560">
        <v>0</v>
      </c>
      <c r="AT61" s="560">
        <v>0</v>
      </c>
      <c r="AU61" s="560">
        <v>0</v>
      </c>
      <c r="AV61" s="560">
        <v>69</v>
      </c>
      <c r="AW61" s="560">
        <v>64</v>
      </c>
      <c r="AX61" s="560">
        <v>74</v>
      </c>
      <c r="AY61" s="560">
        <v>78</v>
      </c>
      <c r="AZ61" s="560">
        <v>1</v>
      </c>
      <c r="BA61" s="560">
        <v>3099</v>
      </c>
      <c r="BB61" s="560">
        <v>0</v>
      </c>
      <c r="BC61" s="560">
        <v>0.5</v>
      </c>
      <c r="BD61" s="560">
        <v>0</v>
      </c>
      <c r="BE61" s="560" t="s">
        <v>1715</v>
      </c>
      <c r="BF61" s="560">
        <v>3.5</v>
      </c>
      <c r="BG61" s="560">
        <v>17.399999999999999</v>
      </c>
      <c r="BH61" s="560">
        <v>1</v>
      </c>
      <c r="BI61" s="560">
        <v>2</v>
      </c>
      <c r="BJ61" s="560">
        <v>40</v>
      </c>
      <c r="BK61" s="560">
        <v>0</v>
      </c>
      <c r="BL61" s="560" t="s">
        <v>1747</v>
      </c>
      <c r="BM61" s="560">
        <v>0.02</v>
      </c>
      <c r="BN61" s="560">
        <v>0</v>
      </c>
      <c r="BO61" s="560">
        <v>6</v>
      </c>
      <c r="BP61" s="560" t="s">
        <v>1747</v>
      </c>
      <c r="BQ61" s="560">
        <v>0.03</v>
      </c>
      <c r="BR61" s="560">
        <v>60</v>
      </c>
      <c r="BS61" s="560">
        <v>6</v>
      </c>
      <c r="BT61" s="560">
        <v>5000</v>
      </c>
      <c r="BU61" s="560">
        <v>40100</v>
      </c>
      <c r="BV61" s="560">
        <v>200</v>
      </c>
      <c r="BW61" s="560">
        <v>30.609376350000002</v>
      </c>
      <c r="BX61" s="560">
        <v>2788</v>
      </c>
      <c r="BY61" s="560">
        <v>17.543859650000002</v>
      </c>
      <c r="BZ61" s="560">
        <v>1800</v>
      </c>
      <c r="CA61" s="560">
        <v>37.664196859999997</v>
      </c>
      <c r="CB61" s="560">
        <v>0.85</v>
      </c>
      <c r="CC61" s="560">
        <v>187.5</v>
      </c>
      <c r="CD61" s="560">
        <v>187.5</v>
      </c>
      <c r="CE61" s="560">
        <v>187.5</v>
      </c>
      <c r="CF61" s="560">
        <v>187.5</v>
      </c>
      <c r="CG61" s="560">
        <v>0.29299999999999998</v>
      </c>
      <c r="CH61" s="560">
        <v>0.3</v>
      </c>
      <c r="CI61" s="560">
        <v>0.54</v>
      </c>
      <c r="CJ61" s="560">
        <v>40</v>
      </c>
      <c r="CK61" s="560">
        <v>5</v>
      </c>
      <c r="CL61" s="560">
        <v>4</v>
      </c>
      <c r="CM61" s="562">
        <v>1600</v>
      </c>
      <c r="CN61" s="562">
        <v>164</v>
      </c>
      <c r="CO61" s="562">
        <v>30.609376350000002</v>
      </c>
      <c r="CP61" s="562">
        <v>0</v>
      </c>
      <c r="CQ61" s="562">
        <v>0</v>
      </c>
      <c r="CR61" s="562" t="s">
        <v>1718</v>
      </c>
      <c r="CS61" s="562">
        <v>0</v>
      </c>
      <c r="CT61" s="562">
        <v>0</v>
      </c>
      <c r="CU61" s="562">
        <v>0.75</v>
      </c>
      <c r="CV61" s="562">
        <v>0.5</v>
      </c>
      <c r="CW61" s="562">
        <v>17.856999999999999</v>
      </c>
      <c r="CX61" s="562">
        <v>6.5</v>
      </c>
      <c r="CY61" s="562">
        <v>17.856999999999999</v>
      </c>
      <c r="CZ61" s="560">
        <v>4678.3333329999996</v>
      </c>
      <c r="DA61" s="560">
        <v>26.5625</v>
      </c>
      <c r="DB61" s="560" t="s">
        <v>1719</v>
      </c>
      <c r="DC61" s="560">
        <v>50</v>
      </c>
      <c r="DD61" s="560">
        <v>4</v>
      </c>
      <c r="DE61" s="560" t="s">
        <v>1720</v>
      </c>
      <c r="DF61" s="560">
        <v>5</v>
      </c>
      <c r="DG61" s="560">
        <v>0</v>
      </c>
      <c r="DH61" s="560">
        <v>4.5</v>
      </c>
      <c r="DI61" s="560">
        <v>4.5</v>
      </c>
      <c r="DJ61" s="560">
        <v>0</v>
      </c>
      <c r="DK61" s="560">
        <v>0</v>
      </c>
      <c r="DL61" s="560">
        <v>0</v>
      </c>
      <c r="DM61" s="560">
        <v>0</v>
      </c>
      <c r="DN61" s="560">
        <v>0</v>
      </c>
      <c r="DO61" s="560">
        <v>0</v>
      </c>
    </row>
    <row r="62" spans="1:119">
      <c r="A62" s="560" t="s">
        <v>1781</v>
      </c>
      <c r="B62" s="560" t="s">
        <v>1713</v>
      </c>
      <c r="C62" s="560" t="s">
        <v>767</v>
      </c>
      <c r="D62" s="560">
        <v>3</v>
      </c>
      <c r="E62" s="560">
        <v>763.02839900000004</v>
      </c>
      <c r="F62" s="560">
        <v>58.543622999999997</v>
      </c>
      <c r="G62" s="560">
        <v>4974.4274999999998</v>
      </c>
      <c r="H62" s="560">
        <v>391.60199999999998</v>
      </c>
      <c r="I62" s="560">
        <v>0.968943</v>
      </c>
      <c r="J62" s="560">
        <v>0.31626900000000002</v>
      </c>
      <c r="K62" s="560">
        <v>0.340389</v>
      </c>
      <c r="L62" s="560">
        <v>0.50204499999999996</v>
      </c>
      <c r="M62" s="560">
        <v>18890.814405000001</v>
      </c>
      <c r="N62" s="560">
        <v>19568.355846999999</v>
      </c>
      <c r="O62" s="560">
        <v>7269.812833</v>
      </c>
      <c r="P62" s="560">
        <v>1351.740317</v>
      </c>
      <c r="Q62" s="560">
        <v>407.53330099999999</v>
      </c>
      <c r="R62" s="560">
        <v>1817.8489179999999</v>
      </c>
      <c r="S62" s="560">
        <v>3225.7790380000001</v>
      </c>
      <c r="T62" s="560">
        <v>3728.2908080000002</v>
      </c>
      <c r="U62" s="560">
        <v>987.78206699999998</v>
      </c>
      <c r="V62" s="560">
        <v>79.467097999999993</v>
      </c>
      <c r="W62" s="560">
        <v>8.4143760000000007</v>
      </c>
      <c r="X62" s="560">
        <v>0</v>
      </c>
      <c r="Y62" s="560">
        <v>73.747111000000004</v>
      </c>
      <c r="Z62" s="560">
        <v>328.957425</v>
      </c>
      <c r="AA62" s="560">
        <v>73003.297432000007</v>
      </c>
      <c r="AB62" s="560">
        <v>75566.516692999998</v>
      </c>
      <c r="AC62" s="560">
        <v>61457.782976000002</v>
      </c>
      <c r="AD62" s="560">
        <v>52088.674635000003</v>
      </c>
      <c r="AE62" s="560">
        <v>764.91704500000003</v>
      </c>
      <c r="AF62" s="560">
        <v>32088.326033000001</v>
      </c>
      <c r="AG62" s="560">
        <v>35784.001232000002</v>
      </c>
      <c r="AH62" s="560">
        <v>11090.671920000001</v>
      </c>
      <c r="AI62" s="560">
        <v>0.7</v>
      </c>
      <c r="AJ62" s="560">
        <v>0</v>
      </c>
      <c r="AK62" s="560">
        <v>0</v>
      </c>
      <c r="AL62" s="560">
        <v>200.75</v>
      </c>
      <c r="AM62" s="560">
        <v>0</v>
      </c>
      <c r="AN62" s="560">
        <v>0</v>
      </c>
      <c r="AO62" s="560">
        <v>0</v>
      </c>
      <c r="AP62" s="560">
        <v>0</v>
      </c>
      <c r="AQ62" s="560" t="s">
        <v>1781</v>
      </c>
      <c r="AR62" s="560" t="s">
        <v>1722</v>
      </c>
      <c r="AS62" s="560">
        <v>0</v>
      </c>
      <c r="AT62" s="560">
        <v>0</v>
      </c>
      <c r="AU62" s="560">
        <v>0</v>
      </c>
      <c r="AV62" s="560">
        <v>69</v>
      </c>
      <c r="AW62" s="560">
        <v>64</v>
      </c>
      <c r="AX62" s="560">
        <v>74</v>
      </c>
      <c r="AY62" s="560">
        <v>78</v>
      </c>
      <c r="AZ62" s="560">
        <v>1</v>
      </c>
      <c r="BA62" s="560">
        <v>3099</v>
      </c>
      <c r="BB62" s="560">
        <v>0</v>
      </c>
      <c r="BC62" s="560">
        <v>0.5</v>
      </c>
      <c r="BD62" s="560">
        <v>0</v>
      </c>
      <c r="BE62" s="560" t="s">
        <v>1715</v>
      </c>
      <c r="BF62" s="560">
        <v>3.5</v>
      </c>
      <c r="BG62" s="560">
        <v>17.399999999999999</v>
      </c>
      <c r="BH62" s="560">
        <v>1</v>
      </c>
      <c r="BI62" s="560">
        <v>2</v>
      </c>
      <c r="BJ62" s="560">
        <v>40</v>
      </c>
      <c r="BK62" s="560">
        <v>0</v>
      </c>
      <c r="BL62" s="560" t="s">
        <v>1747</v>
      </c>
      <c r="BM62" s="560">
        <v>0.02</v>
      </c>
      <c r="BN62" s="560">
        <v>0</v>
      </c>
      <c r="BO62" s="560">
        <v>6</v>
      </c>
      <c r="BP62" s="560" t="s">
        <v>1747</v>
      </c>
      <c r="BQ62" s="560">
        <v>0.03</v>
      </c>
      <c r="BR62" s="560">
        <v>60</v>
      </c>
      <c r="BS62" s="560">
        <v>6</v>
      </c>
      <c r="BT62" s="560">
        <v>5000</v>
      </c>
      <c r="BU62" s="560">
        <v>40100</v>
      </c>
      <c r="BV62" s="560">
        <v>200</v>
      </c>
      <c r="BW62" s="560">
        <v>30.609376350000002</v>
      </c>
      <c r="BX62" s="560">
        <v>2788</v>
      </c>
      <c r="BY62" s="560">
        <v>17.543859650000002</v>
      </c>
      <c r="BZ62" s="560">
        <v>1800</v>
      </c>
      <c r="CA62" s="560">
        <v>37.664196859999997</v>
      </c>
      <c r="CB62" s="560">
        <v>0.85</v>
      </c>
      <c r="CC62" s="560">
        <v>187.5</v>
      </c>
      <c r="CD62" s="560">
        <v>187.5</v>
      </c>
      <c r="CE62" s="560">
        <v>187.5</v>
      </c>
      <c r="CF62" s="560">
        <v>187.5</v>
      </c>
      <c r="CG62" s="560">
        <v>0.29299999999999998</v>
      </c>
      <c r="CH62" s="560">
        <v>0.3</v>
      </c>
      <c r="CI62" s="560">
        <v>0.54</v>
      </c>
      <c r="CJ62" s="560">
        <v>40</v>
      </c>
      <c r="CK62" s="560">
        <v>5</v>
      </c>
      <c r="CL62" s="560">
        <v>4</v>
      </c>
      <c r="CM62" s="562">
        <v>1600</v>
      </c>
      <c r="CN62" s="562">
        <v>164</v>
      </c>
      <c r="CO62" s="562">
        <v>30.609376350000002</v>
      </c>
      <c r="CP62" s="562">
        <v>0</v>
      </c>
      <c r="CQ62" s="562">
        <v>0</v>
      </c>
      <c r="CR62" s="562" t="s">
        <v>1718</v>
      </c>
      <c r="CS62" s="562">
        <v>0</v>
      </c>
      <c r="CT62" s="562">
        <v>0</v>
      </c>
      <c r="CU62" s="562">
        <v>0.75</v>
      </c>
      <c r="CV62" s="562">
        <v>0.5</v>
      </c>
      <c r="CW62" s="562">
        <v>17.856999999999999</v>
      </c>
      <c r="CX62" s="562">
        <v>6.5</v>
      </c>
      <c r="CY62" s="562">
        <v>17.856999999999999</v>
      </c>
      <c r="CZ62" s="560">
        <v>4678.3333329999996</v>
      </c>
      <c r="DA62" s="560">
        <v>26.5625</v>
      </c>
      <c r="DB62" s="560" t="s">
        <v>1719</v>
      </c>
      <c r="DC62" s="560">
        <v>50</v>
      </c>
      <c r="DD62" s="560">
        <v>4</v>
      </c>
      <c r="DE62" s="560" t="s">
        <v>1720</v>
      </c>
      <c r="DF62" s="560">
        <v>5</v>
      </c>
      <c r="DG62" s="560">
        <v>0</v>
      </c>
      <c r="DH62" s="560">
        <v>4.5</v>
      </c>
      <c r="DI62" s="560">
        <v>4.5</v>
      </c>
      <c r="DJ62" s="560">
        <v>0</v>
      </c>
      <c r="DK62" s="560">
        <v>0</v>
      </c>
      <c r="DL62" s="560">
        <v>0</v>
      </c>
      <c r="DM62" s="560">
        <v>0</v>
      </c>
      <c r="DN62" s="560">
        <v>0</v>
      </c>
      <c r="DO62" s="560">
        <v>0</v>
      </c>
    </row>
    <row r="63" spans="1:119">
      <c r="A63" s="560" t="s">
        <v>1782</v>
      </c>
      <c r="B63" s="560" t="s">
        <v>1713</v>
      </c>
      <c r="C63" s="560" t="s">
        <v>770</v>
      </c>
      <c r="D63" s="560">
        <v>3</v>
      </c>
      <c r="E63" s="560">
        <v>763.02839900000004</v>
      </c>
      <c r="F63" s="560">
        <v>58.543622999999997</v>
      </c>
      <c r="G63" s="560">
        <v>4974.4274999999998</v>
      </c>
      <c r="H63" s="560">
        <v>755.94</v>
      </c>
      <c r="I63" s="560">
        <v>0.968943</v>
      </c>
      <c r="J63" s="560">
        <v>0.31626900000000002</v>
      </c>
      <c r="K63" s="560">
        <v>0.340389</v>
      </c>
      <c r="L63" s="560">
        <v>0.50204499999999996</v>
      </c>
      <c r="M63" s="560">
        <v>18890.814405000001</v>
      </c>
      <c r="N63" s="560">
        <v>19568.355846999999</v>
      </c>
      <c r="O63" s="560">
        <v>7269.812833</v>
      </c>
      <c r="P63" s="560">
        <v>1351.740317</v>
      </c>
      <c r="Q63" s="560">
        <v>407.53330099999999</v>
      </c>
      <c r="R63" s="560">
        <v>1817.8489179999999</v>
      </c>
      <c r="S63" s="560">
        <v>5432.0465800000002</v>
      </c>
      <c r="T63" s="560">
        <v>6006.6677319999999</v>
      </c>
      <c r="U63" s="560">
        <v>1692.414168</v>
      </c>
      <c r="V63" s="560">
        <v>64.482284000000007</v>
      </c>
      <c r="W63" s="560">
        <v>3.8100770000000002</v>
      </c>
      <c r="X63" s="560">
        <v>0</v>
      </c>
      <c r="Y63" s="560">
        <v>122.853807</v>
      </c>
      <c r="Z63" s="560">
        <v>548.00346200000001</v>
      </c>
      <c r="AA63" s="560">
        <v>73003.297432000007</v>
      </c>
      <c r="AB63" s="560">
        <v>75566.516692999998</v>
      </c>
      <c r="AC63" s="560">
        <v>61457.782976000002</v>
      </c>
      <c r="AD63" s="560">
        <v>52088.674635000003</v>
      </c>
      <c r="AE63" s="560">
        <v>764.91704500000003</v>
      </c>
      <c r="AF63" s="560">
        <v>33083.596917000003</v>
      </c>
      <c r="AG63" s="560">
        <v>35985.413081999999</v>
      </c>
      <c r="AH63" s="560">
        <v>12021.802631</v>
      </c>
      <c r="AI63" s="560">
        <v>0.7</v>
      </c>
      <c r="AJ63" s="560">
        <v>0</v>
      </c>
      <c r="AK63" s="560">
        <v>0</v>
      </c>
      <c r="AL63" s="560">
        <v>200.75</v>
      </c>
      <c r="AM63" s="560">
        <v>0</v>
      </c>
      <c r="AN63" s="560">
        <v>0</v>
      </c>
      <c r="AO63" s="560">
        <v>0</v>
      </c>
      <c r="AP63" s="560">
        <v>0</v>
      </c>
      <c r="AQ63" s="560" t="s">
        <v>1782</v>
      </c>
      <c r="AR63" s="560" t="s">
        <v>1724</v>
      </c>
      <c r="AS63" s="560">
        <v>0</v>
      </c>
      <c r="AT63" s="560">
        <v>0</v>
      </c>
      <c r="AU63" s="560">
        <v>0</v>
      </c>
      <c r="AV63" s="560">
        <v>69</v>
      </c>
      <c r="AW63" s="560">
        <v>64</v>
      </c>
      <c r="AX63" s="560">
        <v>74</v>
      </c>
      <c r="AY63" s="560">
        <v>78</v>
      </c>
      <c r="AZ63" s="560">
        <v>1</v>
      </c>
      <c r="BA63" s="560">
        <v>3099</v>
      </c>
      <c r="BB63" s="560">
        <v>0</v>
      </c>
      <c r="BC63" s="560">
        <v>0.5</v>
      </c>
      <c r="BD63" s="560">
        <v>0</v>
      </c>
      <c r="BE63" s="560" t="s">
        <v>1715</v>
      </c>
      <c r="BF63" s="560">
        <v>3.5</v>
      </c>
      <c r="BG63" s="560">
        <v>17.399999999999999</v>
      </c>
      <c r="BH63" s="560">
        <v>1</v>
      </c>
      <c r="BI63" s="560">
        <v>2</v>
      </c>
      <c r="BJ63" s="560">
        <v>40</v>
      </c>
      <c r="BK63" s="560">
        <v>0</v>
      </c>
      <c r="BL63" s="560" t="s">
        <v>1747</v>
      </c>
      <c r="BM63" s="560">
        <v>0.02</v>
      </c>
      <c r="BN63" s="560">
        <v>0</v>
      </c>
      <c r="BO63" s="560">
        <v>6</v>
      </c>
      <c r="BP63" s="560" t="s">
        <v>1747</v>
      </c>
      <c r="BQ63" s="560">
        <v>0.03</v>
      </c>
      <c r="BR63" s="560">
        <v>60</v>
      </c>
      <c r="BS63" s="560">
        <v>6</v>
      </c>
      <c r="BT63" s="560">
        <v>5000</v>
      </c>
      <c r="BU63" s="560">
        <v>40100</v>
      </c>
      <c r="BV63" s="560">
        <v>200</v>
      </c>
      <c r="BW63" s="560">
        <v>30.609376350000002</v>
      </c>
      <c r="BX63" s="560">
        <v>2788</v>
      </c>
      <c r="BY63" s="560">
        <v>17.543859650000002</v>
      </c>
      <c r="BZ63" s="560">
        <v>1800</v>
      </c>
      <c r="CA63" s="560">
        <v>37.664196859999997</v>
      </c>
      <c r="CB63" s="560">
        <v>0.85</v>
      </c>
      <c r="CC63" s="560">
        <v>187.5</v>
      </c>
      <c r="CD63" s="560">
        <v>187.5</v>
      </c>
      <c r="CE63" s="560">
        <v>187.5</v>
      </c>
      <c r="CF63" s="560">
        <v>187.5</v>
      </c>
      <c r="CG63" s="560">
        <v>0.29299999999999998</v>
      </c>
      <c r="CH63" s="560">
        <v>0.3</v>
      </c>
      <c r="CI63" s="560">
        <v>0.54</v>
      </c>
      <c r="CJ63" s="560">
        <v>40</v>
      </c>
      <c r="CK63" s="560">
        <v>5</v>
      </c>
      <c r="CL63" s="560">
        <v>4</v>
      </c>
      <c r="CM63" s="562">
        <v>1600</v>
      </c>
      <c r="CN63" s="562">
        <v>164</v>
      </c>
      <c r="CO63" s="562">
        <v>30.609376350000002</v>
      </c>
      <c r="CP63" s="562">
        <v>0</v>
      </c>
      <c r="CQ63" s="562">
        <v>0</v>
      </c>
      <c r="CR63" s="562" t="s">
        <v>1718</v>
      </c>
      <c r="CS63" s="562">
        <v>0</v>
      </c>
      <c r="CT63" s="562">
        <v>0</v>
      </c>
      <c r="CU63" s="562">
        <v>0.75</v>
      </c>
      <c r="CV63" s="562">
        <v>0.5</v>
      </c>
      <c r="CW63" s="562">
        <v>17.856999999999999</v>
      </c>
      <c r="CX63" s="562">
        <v>6.5</v>
      </c>
      <c r="CY63" s="562">
        <v>17.856999999999999</v>
      </c>
      <c r="CZ63" s="560">
        <v>4678.3333329999996</v>
      </c>
      <c r="DA63" s="560">
        <v>26.5625</v>
      </c>
      <c r="DB63" s="560" t="s">
        <v>1719</v>
      </c>
      <c r="DC63" s="560">
        <v>50</v>
      </c>
      <c r="DD63" s="560">
        <v>4</v>
      </c>
      <c r="DE63" s="560" t="s">
        <v>1720</v>
      </c>
      <c r="DF63" s="560">
        <v>5</v>
      </c>
      <c r="DG63" s="560">
        <v>0</v>
      </c>
      <c r="DH63" s="560">
        <v>4.5</v>
      </c>
      <c r="DI63" s="560">
        <v>4.5</v>
      </c>
      <c r="DJ63" s="560">
        <v>0</v>
      </c>
      <c r="DK63" s="560">
        <v>0</v>
      </c>
      <c r="DL63" s="560">
        <v>0</v>
      </c>
      <c r="DM63" s="560">
        <v>0</v>
      </c>
      <c r="DN63" s="560">
        <v>0</v>
      </c>
      <c r="DO63" s="560">
        <v>0</v>
      </c>
    </row>
    <row r="64" spans="1:119">
      <c r="A64" s="560" t="s">
        <v>1783</v>
      </c>
      <c r="B64" s="560" t="s">
        <v>1713</v>
      </c>
      <c r="C64" s="560" t="s">
        <v>764</v>
      </c>
      <c r="D64" s="560">
        <v>3</v>
      </c>
      <c r="E64" s="560">
        <v>826.11945800000001</v>
      </c>
      <c r="F64" s="560">
        <v>58.896534000000003</v>
      </c>
      <c r="G64" s="560">
        <v>4974.4274999999998</v>
      </c>
      <c r="H64" s="560">
        <v>139.9665</v>
      </c>
      <c r="I64" s="560">
        <v>0.968943</v>
      </c>
      <c r="J64" s="560">
        <v>0.31657000000000002</v>
      </c>
      <c r="K64" s="560">
        <v>0.33669399999999999</v>
      </c>
      <c r="L64" s="560">
        <v>0.50596699999999994</v>
      </c>
      <c r="M64" s="560">
        <v>21012.720339</v>
      </c>
      <c r="N64" s="560">
        <v>21775.491508999999</v>
      </c>
      <c r="O64" s="560">
        <v>7881.6140189999996</v>
      </c>
      <c r="P64" s="560">
        <v>1184.9238270000001</v>
      </c>
      <c r="Q64" s="560">
        <v>460.45025299999998</v>
      </c>
      <c r="R64" s="560">
        <v>1797.1546579999999</v>
      </c>
      <c r="S64" s="560">
        <v>1603.0629630000001</v>
      </c>
      <c r="T64" s="560">
        <v>1970.5379359999999</v>
      </c>
      <c r="U64" s="560">
        <v>488.71812499999999</v>
      </c>
      <c r="V64" s="560">
        <v>67.418008</v>
      </c>
      <c r="W64" s="560">
        <v>14.069284</v>
      </c>
      <c r="X64" s="560">
        <v>0</v>
      </c>
      <c r="Y64" s="560">
        <v>37.668277000000003</v>
      </c>
      <c r="Z64" s="560">
        <v>147.020701</v>
      </c>
      <c r="AA64" s="560">
        <v>75880.392838</v>
      </c>
      <c r="AB64" s="560">
        <v>78663.141476000004</v>
      </c>
      <c r="AC64" s="560">
        <v>62538.303141999997</v>
      </c>
      <c r="AD64" s="560">
        <v>51831.193094000002</v>
      </c>
      <c r="AE64" s="560">
        <v>874.19090800000004</v>
      </c>
      <c r="AF64" s="560">
        <v>25832.307558</v>
      </c>
      <c r="AG64" s="560">
        <v>29078.399668999999</v>
      </c>
      <c r="AH64" s="560">
        <v>8291.8509020000001</v>
      </c>
      <c r="AI64" s="560">
        <v>0</v>
      </c>
      <c r="AJ64" s="560">
        <v>0</v>
      </c>
      <c r="AK64" s="560">
        <v>0</v>
      </c>
      <c r="AL64" s="560">
        <v>200.75</v>
      </c>
      <c r="AM64" s="560">
        <v>0</v>
      </c>
      <c r="AN64" s="560">
        <v>0</v>
      </c>
      <c r="AO64" s="560">
        <v>0</v>
      </c>
      <c r="AP64" s="560">
        <v>0</v>
      </c>
      <c r="AQ64" s="560" t="s">
        <v>1783</v>
      </c>
      <c r="AR64" s="560" t="s">
        <v>1714</v>
      </c>
      <c r="AS64" s="560">
        <v>0</v>
      </c>
      <c r="AT64" s="560">
        <v>0</v>
      </c>
      <c r="AU64" s="560">
        <v>0</v>
      </c>
      <c r="AV64" s="560">
        <v>69</v>
      </c>
      <c r="AW64" s="560">
        <v>64</v>
      </c>
      <c r="AX64" s="560">
        <v>74</v>
      </c>
      <c r="AY64" s="560">
        <v>78</v>
      </c>
      <c r="AZ64" s="560">
        <v>1</v>
      </c>
      <c r="BA64" s="560">
        <v>3099</v>
      </c>
      <c r="BB64" s="560">
        <v>0</v>
      </c>
      <c r="BC64" s="560">
        <v>0.5</v>
      </c>
      <c r="BD64" s="560">
        <v>0</v>
      </c>
      <c r="BE64" s="560" t="s">
        <v>1715</v>
      </c>
      <c r="BF64" s="560">
        <v>4</v>
      </c>
      <c r="BG64" s="560">
        <v>17.399999999999999</v>
      </c>
      <c r="BH64" s="560">
        <v>1</v>
      </c>
      <c r="BI64" s="560">
        <v>2</v>
      </c>
      <c r="BJ64" s="560">
        <v>40</v>
      </c>
      <c r="BK64" s="560">
        <v>0</v>
      </c>
      <c r="BL64" s="560" t="s">
        <v>1747</v>
      </c>
      <c r="BM64" s="560">
        <v>0.02</v>
      </c>
      <c r="BN64" s="560">
        <v>0</v>
      </c>
      <c r="BO64" s="560">
        <v>4.5</v>
      </c>
      <c r="BP64" s="560" t="s">
        <v>1747</v>
      </c>
      <c r="BQ64" s="560">
        <v>0.03</v>
      </c>
      <c r="BR64" s="560">
        <v>60</v>
      </c>
      <c r="BS64" s="560">
        <v>4.9000000000000004</v>
      </c>
      <c r="BT64" s="560">
        <v>5000</v>
      </c>
      <c r="BU64" s="560">
        <v>40100</v>
      </c>
      <c r="BV64" s="560">
        <v>200</v>
      </c>
      <c r="BW64" s="560">
        <v>26.8</v>
      </c>
      <c r="BX64" s="560">
        <v>2788</v>
      </c>
      <c r="BY64" s="560">
        <v>11.4</v>
      </c>
      <c r="BZ64" s="560">
        <v>1800</v>
      </c>
      <c r="CA64" s="560">
        <v>35</v>
      </c>
      <c r="CB64" s="560">
        <v>0.85</v>
      </c>
      <c r="CC64" s="560">
        <v>187.5</v>
      </c>
      <c r="CD64" s="560">
        <v>187.5</v>
      </c>
      <c r="CE64" s="560">
        <v>187.5</v>
      </c>
      <c r="CF64" s="560">
        <v>187.5</v>
      </c>
      <c r="CG64" s="560">
        <v>0.29299999999999998</v>
      </c>
      <c r="CH64" s="560">
        <v>0.3</v>
      </c>
      <c r="CI64" s="560">
        <v>0.54</v>
      </c>
      <c r="CJ64" s="560">
        <v>40</v>
      </c>
      <c r="CK64" s="560">
        <v>5</v>
      </c>
      <c r="CL64" s="560">
        <v>4</v>
      </c>
      <c r="CM64" s="562">
        <v>1600</v>
      </c>
      <c r="CN64" s="562">
        <v>164</v>
      </c>
      <c r="CO64" s="562">
        <v>26.8</v>
      </c>
      <c r="CP64" s="562">
        <v>0</v>
      </c>
      <c r="CQ64" s="562">
        <v>0</v>
      </c>
      <c r="CR64" s="562" t="s">
        <v>1718</v>
      </c>
      <c r="CS64" s="562">
        <v>0</v>
      </c>
      <c r="CT64" s="562">
        <v>0</v>
      </c>
      <c r="CU64" s="562">
        <v>0.75</v>
      </c>
      <c r="CV64" s="562">
        <v>0.5</v>
      </c>
      <c r="CW64" s="562">
        <v>17.856999999999999</v>
      </c>
      <c r="CX64" s="562">
        <v>6.5</v>
      </c>
      <c r="CY64" s="562">
        <v>17.856999999999999</v>
      </c>
      <c r="CZ64" s="560">
        <v>4678.3333329999996</v>
      </c>
      <c r="DA64" s="560">
        <v>26.5625</v>
      </c>
      <c r="DB64" s="560" t="s">
        <v>1719</v>
      </c>
      <c r="DC64" s="560">
        <v>50</v>
      </c>
      <c r="DD64" s="560">
        <v>4</v>
      </c>
      <c r="DE64" s="560" t="s">
        <v>1720</v>
      </c>
      <c r="DF64" s="560">
        <v>5</v>
      </c>
      <c r="DG64" s="560">
        <v>0</v>
      </c>
      <c r="DH64" s="560">
        <v>4.5</v>
      </c>
      <c r="DI64" s="560">
        <v>4.5</v>
      </c>
      <c r="DJ64" s="560">
        <v>0</v>
      </c>
      <c r="DK64" s="560">
        <v>0</v>
      </c>
      <c r="DL64" s="560">
        <v>0</v>
      </c>
      <c r="DM64" s="560">
        <v>0</v>
      </c>
      <c r="DN64" s="560">
        <v>0</v>
      </c>
      <c r="DO64" s="560">
        <v>0</v>
      </c>
    </row>
    <row r="65" spans="1:119">
      <c r="A65" s="560" t="s">
        <v>1784</v>
      </c>
      <c r="B65" s="560" t="s">
        <v>1713</v>
      </c>
      <c r="C65" s="560" t="s">
        <v>767</v>
      </c>
      <c r="D65" s="560">
        <v>3</v>
      </c>
      <c r="E65" s="560">
        <v>826.11945800000001</v>
      </c>
      <c r="F65" s="560">
        <v>58.896534000000003</v>
      </c>
      <c r="G65" s="560">
        <v>4974.4274999999998</v>
      </c>
      <c r="H65" s="560">
        <v>391.60199999999998</v>
      </c>
      <c r="I65" s="560">
        <v>0.968943</v>
      </c>
      <c r="J65" s="560">
        <v>0.31657000000000002</v>
      </c>
      <c r="K65" s="560">
        <v>0.33669399999999999</v>
      </c>
      <c r="L65" s="560">
        <v>0.50596699999999994</v>
      </c>
      <c r="M65" s="560">
        <v>21012.720339</v>
      </c>
      <c r="N65" s="560">
        <v>21775.491508999999</v>
      </c>
      <c r="O65" s="560">
        <v>7881.6140189999996</v>
      </c>
      <c r="P65" s="560">
        <v>1184.9238270000001</v>
      </c>
      <c r="Q65" s="560">
        <v>460.45025299999998</v>
      </c>
      <c r="R65" s="560">
        <v>1797.1546579999999</v>
      </c>
      <c r="S65" s="560">
        <v>3332.2907620000001</v>
      </c>
      <c r="T65" s="560">
        <v>3854.941437</v>
      </c>
      <c r="U65" s="560">
        <v>1026.353357</v>
      </c>
      <c r="V65" s="560">
        <v>82.821548000000007</v>
      </c>
      <c r="W65" s="560">
        <v>8.4636600000000008</v>
      </c>
      <c r="X65" s="560">
        <v>0</v>
      </c>
      <c r="Y65" s="560">
        <v>76.297143000000005</v>
      </c>
      <c r="Z65" s="560">
        <v>297.79061999999999</v>
      </c>
      <c r="AA65" s="560">
        <v>75880.392838</v>
      </c>
      <c r="AB65" s="560">
        <v>78663.141476000004</v>
      </c>
      <c r="AC65" s="560">
        <v>62538.303141999997</v>
      </c>
      <c r="AD65" s="560">
        <v>51831.193094000002</v>
      </c>
      <c r="AE65" s="560">
        <v>874.19090800000004</v>
      </c>
      <c r="AF65" s="560">
        <v>34403.076684</v>
      </c>
      <c r="AG65" s="560">
        <v>38742.362859000001</v>
      </c>
      <c r="AH65" s="560">
        <v>12187.528851999999</v>
      </c>
      <c r="AI65" s="560">
        <v>0</v>
      </c>
      <c r="AJ65" s="560">
        <v>0</v>
      </c>
      <c r="AK65" s="560">
        <v>0</v>
      </c>
      <c r="AL65" s="560">
        <v>200.75</v>
      </c>
      <c r="AM65" s="560">
        <v>0</v>
      </c>
      <c r="AN65" s="560">
        <v>0</v>
      </c>
      <c r="AO65" s="560">
        <v>0</v>
      </c>
      <c r="AP65" s="560">
        <v>0</v>
      </c>
      <c r="AQ65" s="560" t="s">
        <v>1784</v>
      </c>
      <c r="AR65" s="560" t="s">
        <v>1722</v>
      </c>
      <c r="AS65" s="560">
        <v>0</v>
      </c>
      <c r="AT65" s="560">
        <v>0</v>
      </c>
      <c r="AU65" s="560">
        <v>0</v>
      </c>
      <c r="AV65" s="560">
        <v>69</v>
      </c>
      <c r="AW65" s="560">
        <v>64</v>
      </c>
      <c r="AX65" s="560">
        <v>74</v>
      </c>
      <c r="AY65" s="560">
        <v>78</v>
      </c>
      <c r="AZ65" s="560">
        <v>1</v>
      </c>
      <c r="BA65" s="560">
        <v>3099</v>
      </c>
      <c r="BB65" s="560">
        <v>0</v>
      </c>
      <c r="BC65" s="560">
        <v>0.5</v>
      </c>
      <c r="BD65" s="560">
        <v>0</v>
      </c>
      <c r="BE65" s="560" t="s">
        <v>1715</v>
      </c>
      <c r="BF65" s="560">
        <v>4</v>
      </c>
      <c r="BG65" s="560">
        <v>17.399999999999999</v>
      </c>
      <c r="BH65" s="560">
        <v>1</v>
      </c>
      <c r="BI65" s="560">
        <v>2</v>
      </c>
      <c r="BJ65" s="560">
        <v>40</v>
      </c>
      <c r="BK65" s="560">
        <v>0</v>
      </c>
      <c r="BL65" s="560" t="s">
        <v>1747</v>
      </c>
      <c r="BM65" s="560">
        <v>0.02</v>
      </c>
      <c r="BN65" s="560">
        <v>0</v>
      </c>
      <c r="BO65" s="560">
        <v>4.5</v>
      </c>
      <c r="BP65" s="560" t="s">
        <v>1747</v>
      </c>
      <c r="BQ65" s="560">
        <v>0.03</v>
      </c>
      <c r="BR65" s="560">
        <v>60</v>
      </c>
      <c r="BS65" s="560">
        <v>4.9000000000000004</v>
      </c>
      <c r="BT65" s="560">
        <v>5000</v>
      </c>
      <c r="BU65" s="560">
        <v>40100</v>
      </c>
      <c r="BV65" s="560">
        <v>200</v>
      </c>
      <c r="BW65" s="560">
        <v>26.8</v>
      </c>
      <c r="BX65" s="560">
        <v>2788</v>
      </c>
      <c r="BY65" s="560">
        <v>11.4</v>
      </c>
      <c r="BZ65" s="560">
        <v>1800</v>
      </c>
      <c r="CA65" s="560">
        <v>35</v>
      </c>
      <c r="CB65" s="560">
        <v>0.85</v>
      </c>
      <c r="CC65" s="560">
        <v>187.5</v>
      </c>
      <c r="CD65" s="560">
        <v>187.5</v>
      </c>
      <c r="CE65" s="560">
        <v>187.5</v>
      </c>
      <c r="CF65" s="560">
        <v>187.5</v>
      </c>
      <c r="CG65" s="560">
        <v>0.29299999999999998</v>
      </c>
      <c r="CH65" s="560">
        <v>0.3</v>
      </c>
      <c r="CI65" s="560">
        <v>0.54</v>
      </c>
      <c r="CJ65" s="560">
        <v>40</v>
      </c>
      <c r="CK65" s="560">
        <v>5</v>
      </c>
      <c r="CL65" s="560">
        <v>4</v>
      </c>
      <c r="CM65" s="562">
        <v>1600</v>
      </c>
      <c r="CN65" s="562">
        <v>164</v>
      </c>
      <c r="CO65" s="562">
        <v>26.8</v>
      </c>
      <c r="CP65" s="562">
        <v>0</v>
      </c>
      <c r="CQ65" s="562">
        <v>0</v>
      </c>
      <c r="CR65" s="562" t="s">
        <v>1718</v>
      </c>
      <c r="CS65" s="562">
        <v>0</v>
      </c>
      <c r="CT65" s="562">
        <v>0</v>
      </c>
      <c r="CU65" s="562">
        <v>0.75</v>
      </c>
      <c r="CV65" s="562">
        <v>0.5</v>
      </c>
      <c r="CW65" s="562">
        <v>17.856999999999999</v>
      </c>
      <c r="CX65" s="562">
        <v>6.5</v>
      </c>
      <c r="CY65" s="562">
        <v>17.856999999999999</v>
      </c>
      <c r="CZ65" s="560">
        <v>4678.3333329999996</v>
      </c>
      <c r="DA65" s="560">
        <v>26.5625</v>
      </c>
      <c r="DB65" s="560" t="s">
        <v>1719</v>
      </c>
      <c r="DC65" s="560">
        <v>50</v>
      </c>
      <c r="DD65" s="560">
        <v>4</v>
      </c>
      <c r="DE65" s="560" t="s">
        <v>1720</v>
      </c>
      <c r="DF65" s="560">
        <v>5</v>
      </c>
      <c r="DG65" s="560">
        <v>0</v>
      </c>
      <c r="DH65" s="560">
        <v>4.5</v>
      </c>
      <c r="DI65" s="560">
        <v>4.5</v>
      </c>
      <c r="DJ65" s="560">
        <v>0</v>
      </c>
      <c r="DK65" s="560">
        <v>0</v>
      </c>
      <c r="DL65" s="560">
        <v>0</v>
      </c>
      <c r="DM65" s="560">
        <v>0</v>
      </c>
      <c r="DN65" s="560">
        <v>0</v>
      </c>
      <c r="DO65" s="560">
        <v>0</v>
      </c>
    </row>
    <row r="66" spans="1:119">
      <c r="A66" s="560" t="s">
        <v>1785</v>
      </c>
      <c r="B66" s="560" t="s">
        <v>1713</v>
      </c>
      <c r="C66" s="560" t="s">
        <v>770</v>
      </c>
      <c r="D66" s="560">
        <v>3</v>
      </c>
      <c r="E66" s="560">
        <v>826.11945800000001</v>
      </c>
      <c r="F66" s="560">
        <v>58.896534000000003</v>
      </c>
      <c r="G66" s="560">
        <v>4974.4274999999998</v>
      </c>
      <c r="H66" s="560">
        <v>755.94</v>
      </c>
      <c r="I66" s="560">
        <v>0.968943</v>
      </c>
      <c r="J66" s="560">
        <v>0.31657000000000002</v>
      </c>
      <c r="K66" s="560">
        <v>0.33669399999999999</v>
      </c>
      <c r="L66" s="560">
        <v>0.50596699999999994</v>
      </c>
      <c r="M66" s="560">
        <v>21012.720339</v>
      </c>
      <c r="N66" s="560">
        <v>21775.491508999999</v>
      </c>
      <c r="O66" s="560">
        <v>7881.6140189999996</v>
      </c>
      <c r="P66" s="560">
        <v>1184.9238270000001</v>
      </c>
      <c r="Q66" s="560">
        <v>460.45025299999998</v>
      </c>
      <c r="R66" s="560">
        <v>1797.1546579999999</v>
      </c>
      <c r="S66" s="560">
        <v>5639.6029660000004</v>
      </c>
      <c r="T66" s="560">
        <v>6240.7357510000002</v>
      </c>
      <c r="U66" s="560">
        <v>1768.316364</v>
      </c>
      <c r="V66" s="560">
        <v>67.298145000000005</v>
      </c>
      <c r="W66" s="560">
        <v>3.8057750000000001</v>
      </c>
      <c r="X66" s="560">
        <v>0</v>
      </c>
      <c r="Y66" s="560">
        <v>127.731776</v>
      </c>
      <c r="Z66" s="560">
        <v>498.54192599999999</v>
      </c>
      <c r="AA66" s="560">
        <v>75880.392838</v>
      </c>
      <c r="AB66" s="560">
        <v>78663.141476000004</v>
      </c>
      <c r="AC66" s="560">
        <v>62538.303141999997</v>
      </c>
      <c r="AD66" s="560">
        <v>51831.193094000002</v>
      </c>
      <c r="AE66" s="560">
        <v>874.19090800000004</v>
      </c>
      <c r="AF66" s="560">
        <v>37685.926081999998</v>
      </c>
      <c r="AG66" s="560">
        <v>40810.674899999998</v>
      </c>
      <c r="AH66" s="560">
        <v>13126.853408999999</v>
      </c>
      <c r="AI66" s="560">
        <v>0</v>
      </c>
      <c r="AJ66" s="560">
        <v>0</v>
      </c>
      <c r="AK66" s="560">
        <v>0</v>
      </c>
      <c r="AL66" s="560">
        <v>200.75</v>
      </c>
      <c r="AM66" s="560">
        <v>0</v>
      </c>
      <c r="AN66" s="560">
        <v>0</v>
      </c>
      <c r="AO66" s="560">
        <v>0</v>
      </c>
      <c r="AP66" s="560">
        <v>0</v>
      </c>
      <c r="AQ66" s="560" t="s">
        <v>1785</v>
      </c>
      <c r="AR66" s="560" t="s">
        <v>1724</v>
      </c>
      <c r="AS66" s="560">
        <v>0</v>
      </c>
      <c r="AT66" s="560">
        <v>0</v>
      </c>
      <c r="AU66" s="560">
        <v>0</v>
      </c>
      <c r="AV66" s="560">
        <v>69</v>
      </c>
      <c r="AW66" s="560">
        <v>64</v>
      </c>
      <c r="AX66" s="560">
        <v>74</v>
      </c>
      <c r="AY66" s="560">
        <v>78</v>
      </c>
      <c r="AZ66" s="560">
        <v>1</v>
      </c>
      <c r="BA66" s="560">
        <v>3099</v>
      </c>
      <c r="BB66" s="560">
        <v>0</v>
      </c>
      <c r="BC66" s="560">
        <v>0.5</v>
      </c>
      <c r="BD66" s="560">
        <v>0</v>
      </c>
      <c r="BE66" s="560" t="s">
        <v>1715</v>
      </c>
      <c r="BF66" s="560">
        <v>4</v>
      </c>
      <c r="BG66" s="560">
        <v>17.399999999999999</v>
      </c>
      <c r="BH66" s="560">
        <v>1</v>
      </c>
      <c r="BI66" s="560">
        <v>2</v>
      </c>
      <c r="BJ66" s="560">
        <v>40</v>
      </c>
      <c r="BK66" s="560">
        <v>0</v>
      </c>
      <c r="BL66" s="560" t="s">
        <v>1747</v>
      </c>
      <c r="BM66" s="560">
        <v>0.02</v>
      </c>
      <c r="BN66" s="560">
        <v>0</v>
      </c>
      <c r="BO66" s="560">
        <v>4.5</v>
      </c>
      <c r="BP66" s="560" t="s">
        <v>1747</v>
      </c>
      <c r="BQ66" s="560">
        <v>0.03</v>
      </c>
      <c r="BR66" s="560">
        <v>60</v>
      </c>
      <c r="BS66" s="560">
        <v>4.9000000000000004</v>
      </c>
      <c r="BT66" s="560">
        <v>5000</v>
      </c>
      <c r="BU66" s="560">
        <v>40100</v>
      </c>
      <c r="BV66" s="560">
        <v>200</v>
      </c>
      <c r="BW66" s="560">
        <v>26.8</v>
      </c>
      <c r="BX66" s="560">
        <v>2788</v>
      </c>
      <c r="BY66" s="560">
        <v>11.4</v>
      </c>
      <c r="BZ66" s="560">
        <v>1800</v>
      </c>
      <c r="CA66" s="560">
        <v>35</v>
      </c>
      <c r="CB66" s="560">
        <v>0.85</v>
      </c>
      <c r="CC66" s="560">
        <v>187.5</v>
      </c>
      <c r="CD66" s="560">
        <v>187.5</v>
      </c>
      <c r="CE66" s="560">
        <v>187.5</v>
      </c>
      <c r="CF66" s="560">
        <v>187.5</v>
      </c>
      <c r="CG66" s="560">
        <v>0.29299999999999998</v>
      </c>
      <c r="CH66" s="560">
        <v>0.3</v>
      </c>
      <c r="CI66" s="560">
        <v>0.54</v>
      </c>
      <c r="CJ66" s="560">
        <v>40</v>
      </c>
      <c r="CK66" s="560">
        <v>5</v>
      </c>
      <c r="CL66" s="560">
        <v>4</v>
      </c>
      <c r="CM66" s="562">
        <v>1600</v>
      </c>
      <c r="CN66" s="562">
        <v>164</v>
      </c>
      <c r="CO66" s="562">
        <v>26.8</v>
      </c>
      <c r="CP66" s="562">
        <v>0</v>
      </c>
      <c r="CQ66" s="562">
        <v>0</v>
      </c>
      <c r="CR66" s="562" t="s">
        <v>1718</v>
      </c>
      <c r="CS66" s="562">
        <v>0</v>
      </c>
      <c r="CT66" s="562">
        <v>0</v>
      </c>
      <c r="CU66" s="562">
        <v>0.75</v>
      </c>
      <c r="CV66" s="562">
        <v>0.5</v>
      </c>
      <c r="CW66" s="562">
        <v>17.856999999999999</v>
      </c>
      <c r="CX66" s="562">
        <v>6.5</v>
      </c>
      <c r="CY66" s="562">
        <v>17.856999999999999</v>
      </c>
      <c r="CZ66" s="560">
        <v>4678.3333329999996</v>
      </c>
      <c r="DA66" s="560">
        <v>26.5625</v>
      </c>
      <c r="DB66" s="560" t="s">
        <v>1719</v>
      </c>
      <c r="DC66" s="560">
        <v>50</v>
      </c>
      <c r="DD66" s="560">
        <v>4</v>
      </c>
      <c r="DE66" s="560" t="s">
        <v>1720</v>
      </c>
      <c r="DF66" s="560">
        <v>5</v>
      </c>
      <c r="DG66" s="560">
        <v>0</v>
      </c>
      <c r="DH66" s="560">
        <v>4.5</v>
      </c>
      <c r="DI66" s="560">
        <v>4.5</v>
      </c>
      <c r="DJ66" s="560">
        <v>0</v>
      </c>
      <c r="DK66" s="560">
        <v>0</v>
      </c>
      <c r="DL66" s="560">
        <v>0</v>
      </c>
      <c r="DM66" s="560">
        <v>0</v>
      </c>
      <c r="DN66" s="560">
        <v>0</v>
      </c>
      <c r="DO66" s="560">
        <v>0</v>
      </c>
    </row>
    <row r="67" spans="1:119">
      <c r="A67" s="560" t="s">
        <v>1786</v>
      </c>
      <c r="B67" s="560" t="s">
        <v>1713</v>
      </c>
      <c r="C67" s="560" t="s">
        <v>779</v>
      </c>
      <c r="D67" s="560">
        <v>3</v>
      </c>
      <c r="E67" s="560">
        <v>780.28733299999999</v>
      </c>
      <c r="F67" s="560">
        <v>57.32103</v>
      </c>
      <c r="G67" s="560">
        <v>6644.9655000000002</v>
      </c>
      <c r="H67" s="560">
        <v>139.9665</v>
      </c>
      <c r="I67" s="560">
        <v>0.91800700000000002</v>
      </c>
      <c r="J67" s="560">
        <v>0.35777799999999998</v>
      </c>
      <c r="K67" s="560">
        <v>0.38458700000000001</v>
      </c>
      <c r="L67" s="560">
        <v>0.57615400000000005</v>
      </c>
      <c r="M67" s="560">
        <v>27372.084874</v>
      </c>
      <c r="N67" s="560">
        <v>28381.867450000002</v>
      </c>
      <c r="O67" s="560">
        <v>12601.268199</v>
      </c>
      <c r="P67" s="560">
        <v>3817.961452</v>
      </c>
      <c r="Q67" s="560">
        <v>623.56450800000005</v>
      </c>
      <c r="R67" s="560">
        <v>2781.480834</v>
      </c>
      <c r="S67" s="560">
        <v>1572.1738319999999</v>
      </c>
      <c r="T67" s="560">
        <v>1929.2553049999999</v>
      </c>
      <c r="U67" s="560">
        <v>476.46530799999999</v>
      </c>
      <c r="V67" s="560">
        <v>65.256279000000006</v>
      </c>
      <c r="W67" s="560">
        <v>13.943187999999999</v>
      </c>
      <c r="X67" s="560">
        <v>0</v>
      </c>
      <c r="Y67" s="560">
        <v>36.866129000000001</v>
      </c>
      <c r="Z67" s="560">
        <v>164.44558699999999</v>
      </c>
      <c r="AA67" s="560">
        <v>85272.792493999994</v>
      </c>
      <c r="AB67" s="560">
        <v>87884.067890999999</v>
      </c>
      <c r="AC67" s="560">
        <v>78405.423290999999</v>
      </c>
      <c r="AD67" s="560">
        <v>69472.740846999994</v>
      </c>
      <c r="AE67" s="560">
        <v>764.91704500000003</v>
      </c>
      <c r="AF67" s="560">
        <v>24478.018048000002</v>
      </c>
      <c r="AG67" s="560">
        <v>27474.207003</v>
      </c>
      <c r="AH67" s="560">
        <v>7755.3484900000003</v>
      </c>
      <c r="AI67" s="560">
        <v>0.1</v>
      </c>
      <c r="AJ67" s="560">
        <v>0</v>
      </c>
      <c r="AK67" s="560">
        <v>0</v>
      </c>
      <c r="AL67" s="560">
        <v>200.75</v>
      </c>
      <c r="AM67" s="560">
        <v>0</v>
      </c>
      <c r="AN67" s="560">
        <v>0</v>
      </c>
      <c r="AO67" s="560">
        <v>0</v>
      </c>
      <c r="AP67" s="560">
        <v>0</v>
      </c>
      <c r="AQ67" s="560" t="s">
        <v>1786</v>
      </c>
      <c r="AR67" s="560" t="s">
        <v>1729</v>
      </c>
      <c r="AS67" s="560">
        <v>0</v>
      </c>
      <c r="AT67" s="560">
        <v>0</v>
      </c>
      <c r="AU67" s="560">
        <v>0</v>
      </c>
      <c r="AV67" s="560">
        <v>69</v>
      </c>
      <c r="AW67" s="560">
        <v>64</v>
      </c>
      <c r="AX67" s="560">
        <v>74</v>
      </c>
      <c r="AY67" s="560">
        <v>78</v>
      </c>
      <c r="AZ67" s="560">
        <v>1</v>
      </c>
      <c r="BA67" s="560">
        <v>3099</v>
      </c>
      <c r="BB67" s="560">
        <v>0</v>
      </c>
      <c r="BC67" s="560">
        <v>0.5</v>
      </c>
      <c r="BD67" s="560">
        <v>0</v>
      </c>
      <c r="BE67" s="560" t="s">
        <v>1715</v>
      </c>
      <c r="BF67" s="560">
        <v>3.5</v>
      </c>
      <c r="BG67" s="560">
        <v>17.399999999999999</v>
      </c>
      <c r="BH67" s="560">
        <v>1</v>
      </c>
      <c r="BI67" s="560">
        <v>2</v>
      </c>
      <c r="BJ67" s="560">
        <v>40</v>
      </c>
      <c r="BK67" s="560">
        <v>0</v>
      </c>
      <c r="BL67" s="560" t="s">
        <v>1747</v>
      </c>
      <c r="BM67" s="560">
        <v>0.02</v>
      </c>
      <c r="BN67" s="560">
        <v>0</v>
      </c>
      <c r="BO67" s="560">
        <v>6</v>
      </c>
      <c r="BP67" s="560" t="s">
        <v>1747</v>
      </c>
      <c r="BQ67" s="560">
        <v>0.03</v>
      </c>
      <c r="BR67" s="560">
        <v>60</v>
      </c>
      <c r="BS67" s="560">
        <v>6</v>
      </c>
      <c r="BT67" s="560">
        <v>5000</v>
      </c>
      <c r="BU67" s="560">
        <v>40100</v>
      </c>
      <c r="BV67" s="560">
        <v>200</v>
      </c>
      <c r="BW67" s="560">
        <v>30.609376350000002</v>
      </c>
      <c r="BX67" s="560">
        <v>2788</v>
      </c>
      <c r="BY67" s="560">
        <v>17.543859650000002</v>
      </c>
      <c r="BZ67" s="560">
        <v>1800</v>
      </c>
      <c r="CA67" s="560">
        <v>37.664196859999997</v>
      </c>
      <c r="CB67" s="560">
        <v>0.85</v>
      </c>
      <c r="CC67" s="560">
        <v>187.5</v>
      </c>
      <c r="CD67" s="560">
        <v>187.5</v>
      </c>
      <c r="CE67" s="560">
        <v>187.5</v>
      </c>
      <c r="CF67" s="560">
        <v>187.5</v>
      </c>
      <c r="CG67" s="560">
        <v>0.29299999999999998</v>
      </c>
      <c r="CH67" s="560">
        <v>0.3</v>
      </c>
      <c r="CI67" s="560">
        <v>0.54</v>
      </c>
      <c r="CJ67" s="560">
        <v>40</v>
      </c>
      <c r="CK67" s="560">
        <v>5</v>
      </c>
      <c r="CL67" s="560">
        <v>4</v>
      </c>
      <c r="CM67" s="562">
        <v>1600</v>
      </c>
      <c r="CN67" s="562">
        <v>164</v>
      </c>
      <c r="CO67" s="562">
        <v>30.609376350000002</v>
      </c>
      <c r="CP67" s="562">
        <v>0</v>
      </c>
      <c r="CQ67" s="562">
        <v>0</v>
      </c>
      <c r="CR67" s="562" t="s">
        <v>1718</v>
      </c>
      <c r="CS67" s="562">
        <v>0</v>
      </c>
      <c r="CT67" s="562">
        <v>0</v>
      </c>
      <c r="CU67" s="562">
        <v>0.75</v>
      </c>
      <c r="CV67" s="562">
        <v>0.5</v>
      </c>
      <c r="CW67" s="562">
        <v>17.856999999999999</v>
      </c>
      <c r="CX67" s="562">
        <v>6.5</v>
      </c>
      <c r="CY67" s="562">
        <v>17.856999999999999</v>
      </c>
      <c r="CZ67" s="560">
        <v>4678.3333329999996</v>
      </c>
      <c r="DA67" s="560">
        <v>26.5625</v>
      </c>
      <c r="DB67" s="560" t="s">
        <v>1719</v>
      </c>
      <c r="DC67" s="560">
        <v>50</v>
      </c>
      <c r="DD67" s="560">
        <v>4</v>
      </c>
      <c r="DE67" s="560" t="s">
        <v>1720</v>
      </c>
      <c r="DF67" s="560">
        <v>5</v>
      </c>
      <c r="DG67" s="560">
        <v>0</v>
      </c>
      <c r="DH67" s="560">
        <v>4.5</v>
      </c>
      <c r="DI67" s="560">
        <v>4.5</v>
      </c>
      <c r="DJ67" s="560">
        <v>0</v>
      </c>
      <c r="DK67" s="560">
        <v>0</v>
      </c>
      <c r="DL67" s="560">
        <v>0</v>
      </c>
      <c r="DM67" s="560">
        <v>0</v>
      </c>
      <c r="DN67" s="560">
        <v>0</v>
      </c>
      <c r="DO67" s="560">
        <v>0</v>
      </c>
    </row>
    <row r="68" spans="1:119">
      <c r="A68" s="560" t="s">
        <v>1787</v>
      </c>
      <c r="B68" s="560" t="s">
        <v>1713</v>
      </c>
      <c r="C68" s="560" t="s">
        <v>782</v>
      </c>
      <c r="D68" s="560">
        <v>3</v>
      </c>
      <c r="E68" s="560">
        <v>780.28733299999999</v>
      </c>
      <c r="F68" s="560">
        <v>57.32103</v>
      </c>
      <c r="G68" s="560">
        <v>6644.9655000000002</v>
      </c>
      <c r="H68" s="560">
        <v>391.60199999999998</v>
      </c>
      <c r="I68" s="560">
        <v>0.91800700000000002</v>
      </c>
      <c r="J68" s="560">
        <v>0.35777799999999998</v>
      </c>
      <c r="K68" s="560">
        <v>0.38458700000000001</v>
      </c>
      <c r="L68" s="560">
        <v>0.57615400000000005</v>
      </c>
      <c r="M68" s="560">
        <v>27372.084874</v>
      </c>
      <c r="N68" s="560">
        <v>28381.867450000002</v>
      </c>
      <c r="O68" s="560">
        <v>12601.268199</v>
      </c>
      <c r="P68" s="560">
        <v>3817.961452</v>
      </c>
      <c r="Q68" s="560">
        <v>623.56450800000005</v>
      </c>
      <c r="R68" s="560">
        <v>2781.480834</v>
      </c>
      <c r="S68" s="560">
        <v>3225.7790380000001</v>
      </c>
      <c r="T68" s="560">
        <v>3728.2908080000002</v>
      </c>
      <c r="U68" s="560">
        <v>987.78206699999998</v>
      </c>
      <c r="V68" s="560">
        <v>79.467097999999993</v>
      </c>
      <c r="W68" s="560">
        <v>8.4143760000000007</v>
      </c>
      <c r="X68" s="560">
        <v>0</v>
      </c>
      <c r="Y68" s="560">
        <v>73.747111000000004</v>
      </c>
      <c r="Z68" s="560">
        <v>328.957425</v>
      </c>
      <c r="AA68" s="560">
        <v>85272.792493999994</v>
      </c>
      <c r="AB68" s="560">
        <v>87884.067890999999</v>
      </c>
      <c r="AC68" s="560">
        <v>78405.423290999999</v>
      </c>
      <c r="AD68" s="560">
        <v>69472.740846999994</v>
      </c>
      <c r="AE68" s="560">
        <v>764.91704500000003</v>
      </c>
      <c r="AF68" s="560">
        <v>32088.326033000001</v>
      </c>
      <c r="AG68" s="560">
        <v>35784.001232000002</v>
      </c>
      <c r="AH68" s="560">
        <v>11090.671920000001</v>
      </c>
      <c r="AI68" s="560">
        <v>0.1</v>
      </c>
      <c r="AJ68" s="560">
        <v>0</v>
      </c>
      <c r="AK68" s="560">
        <v>0</v>
      </c>
      <c r="AL68" s="560">
        <v>200.75</v>
      </c>
      <c r="AM68" s="560">
        <v>0</v>
      </c>
      <c r="AN68" s="560">
        <v>0</v>
      </c>
      <c r="AO68" s="560">
        <v>0</v>
      </c>
      <c r="AP68" s="560">
        <v>0</v>
      </c>
      <c r="AQ68" s="560" t="s">
        <v>1787</v>
      </c>
      <c r="AR68" s="560" t="s">
        <v>1731</v>
      </c>
      <c r="AS68" s="560">
        <v>0</v>
      </c>
      <c r="AT68" s="560">
        <v>0</v>
      </c>
      <c r="AU68" s="560">
        <v>0</v>
      </c>
      <c r="AV68" s="560">
        <v>69</v>
      </c>
      <c r="AW68" s="560">
        <v>64</v>
      </c>
      <c r="AX68" s="560">
        <v>74</v>
      </c>
      <c r="AY68" s="560">
        <v>78</v>
      </c>
      <c r="AZ68" s="560">
        <v>1</v>
      </c>
      <c r="BA68" s="560">
        <v>3099</v>
      </c>
      <c r="BB68" s="560">
        <v>0</v>
      </c>
      <c r="BC68" s="560">
        <v>0.5</v>
      </c>
      <c r="BD68" s="560">
        <v>0</v>
      </c>
      <c r="BE68" s="560" t="s">
        <v>1715</v>
      </c>
      <c r="BF68" s="560">
        <v>3.5</v>
      </c>
      <c r="BG68" s="560">
        <v>17.399999999999999</v>
      </c>
      <c r="BH68" s="560">
        <v>1</v>
      </c>
      <c r="BI68" s="560">
        <v>2</v>
      </c>
      <c r="BJ68" s="560">
        <v>40</v>
      </c>
      <c r="BK68" s="560">
        <v>0</v>
      </c>
      <c r="BL68" s="560" t="s">
        <v>1747</v>
      </c>
      <c r="BM68" s="560">
        <v>0.02</v>
      </c>
      <c r="BN68" s="560">
        <v>0</v>
      </c>
      <c r="BO68" s="560">
        <v>6</v>
      </c>
      <c r="BP68" s="560" t="s">
        <v>1747</v>
      </c>
      <c r="BQ68" s="560">
        <v>0.03</v>
      </c>
      <c r="BR68" s="560">
        <v>60</v>
      </c>
      <c r="BS68" s="560">
        <v>6</v>
      </c>
      <c r="BT68" s="560">
        <v>5000</v>
      </c>
      <c r="BU68" s="560">
        <v>40100</v>
      </c>
      <c r="BV68" s="560">
        <v>200</v>
      </c>
      <c r="BW68" s="560">
        <v>30.609376350000002</v>
      </c>
      <c r="BX68" s="560">
        <v>2788</v>
      </c>
      <c r="BY68" s="560">
        <v>17.543859650000002</v>
      </c>
      <c r="BZ68" s="560">
        <v>1800</v>
      </c>
      <c r="CA68" s="560">
        <v>37.664196859999997</v>
      </c>
      <c r="CB68" s="560">
        <v>0.85</v>
      </c>
      <c r="CC68" s="560">
        <v>187.5</v>
      </c>
      <c r="CD68" s="560">
        <v>187.5</v>
      </c>
      <c r="CE68" s="560">
        <v>187.5</v>
      </c>
      <c r="CF68" s="560">
        <v>187.5</v>
      </c>
      <c r="CG68" s="560">
        <v>0.29299999999999998</v>
      </c>
      <c r="CH68" s="560">
        <v>0.3</v>
      </c>
      <c r="CI68" s="560">
        <v>0.54</v>
      </c>
      <c r="CJ68" s="560">
        <v>40</v>
      </c>
      <c r="CK68" s="560">
        <v>5</v>
      </c>
      <c r="CL68" s="560">
        <v>4</v>
      </c>
      <c r="CM68" s="562">
        <v>1600</v>
      </c>
      <c r="CN68" s="562">
        <v>164</v>
      </c>
      <c r="CO68" s="562">
        <v>30.609376350000002</v>
      </c>
      <c r="CP68" s="562">
        <v>0</v>
      </c>
      <c r="CQ68" s="562">
        <v>0</v>
      </c>
      <c r="CR68" s="562" t="s">
        <v>1718</v>
      </c>
      <c r="CS68" s="562">
        <v>0</v>
      </c>
      <c r="CT68" s="562">
        <v>0</v>
      </c>
      <c r="CU68" s="562">
        <v>0.75</v>
      </c>
      <c r="CV68" s="562">
        <v>0.5</v>
      </c>
      <c r="CW68" s="562">
        <v>17.856999999999999</v>
      </c>
      <c r="CX68" s="562">
        <v>6.5</v>
      </c>
      <c r="CY68" s="562">
        <v>17.856999999999999</v>
      </c>
      <c r="CZ68" s="560">
        <v>4678.3333329999996</v>
      </c>
      <c r="DA68" s="560">
        <v>26.5625</v>
      </c>
      <c r="DB68" s="560" t="s">
        <v>1719</v>
      </c>
      <c r="DC68" s="560">
        <v>50</v>
      </c>
      <c r="DD68" s="560">
        <v>4</v>
      </c>
      <c r="DE68" s="560" t="s">
        <v>1720</v>
      </c>
      <c r="DF68" s="560">
        <v>5</v>
      </c>
      <c r="DG68" s="560">
        <v>0</v>
      </c>
      <c r="DH68" s="560">
        <v>4.5</v>
      </c>
      <c r="DI68" s="560">
        <v>4.5</v>
      </c>
      <c r="DJ68" s="560">
        <v>0</v>
      </c>
      <c r="DK68" s="560">
        <v>0</v>
      </c>
      <c r="DL68" s="560">
        <v>0</v>
      </c>
      <c r="DM68" s="560">
        <v>0</v>
      </c>
      <c r="DN68" s="560">
        <v>0</v>
      </c>
      <c r="DO68" s="560">
        <v>0</v>
      </c>
    </row>
    <row r="69" spans="1:119">
      <c r="A69" s="560" t="s">
        <v>1788</v>
      </c>
      <c r="B69" s="560" t="s">
        <v>1713</v>
      </c>
      <c r="C69" s="560" t="s">
        <v>785</v>
      </c>
      <c r="D69" s="560">
        <v>3</v>
      </c>
      <c r="E69" s="560">
        <v>780.28733299999999</v>
      </c>
      <c r="F69" s="560">
        <v>57.32103</v>
      </c>
      <c r="G69" s="560">
        <v>6644.9655000000002</v>
      </c>
      <c r="H69" s="560">
        <v>755.94</v>
      </c>
      <c r="I69" s="560">
        <v>0.91800700000000002</v>
      </c>
      <c r="J69" s="560">
        <v>0.35777799999999998</v>
      </c>
      <c r="K69" s="560">
        <v>0.38458700000000001</v>
      </c>
      <c r="L69" s="560">
        <v>0.57615400000000005</v>
      </c>
      <c r="M69" s="560">
        <v>27372.084874</v>
      </c>
      <c r="N69" s="560">
        <v>28381.867450000002</v>
      </c>
      <c r="O69" s="560">
        <v>12601.268199</v>
      </c>
      <c r="P69" s="560">
        <v>3817.961452</v>
      </c>
      <c r="Q69" s="560">
        <v>623.56450800000005</v>
      </c>
      <c r="R69" s="560">
        <v>2781.480834</v>
      </c>
      <c r="S69" s="560">
        <v>5432.0465800000002</v>
      </c>
      <c r="T69" s="560">
        <v>6006.6677319999999</v>
      </c>
      <c r="U69" s="560">
        <v>1692.414168</v>
      </c>
      <c r="V69" s="560">
        <v>64.482284000000007</v>
      </c>
      <c r="W69" s="560">
        <v>3.8100770000000002</v>
      </c>
      <c r="X69" s="560">
        <v>0</v>
      </c>
      <c r="Y69" s="560">
        <v>122.853807</v>
      </c>
      <c r="Z69" s="560">
        <v>548.00346200000001</v>
      </c>
      <c r="AA69" s="560">
        <v>85272.792493999994</v>
      </c>
      <c r="AB69" s="560">
        <v>87884.067890999999</v>
      </c>
      <c r="AC69" s="560">
        <v>78405.423290999999</v>
      </c>
      <c r="AD69" s="560">
        <v>69472.740846999994</v>
      </c>
      <c r="AE69" s="560">
        <v>764.91704500000003</v>
      </c>
      <c r="AF69" s="560">
        <v>33083.596917000003</v>
      </c>
      <c r="AG69" s="560">
        <v>35985.413081999999</v>
      </c>
      <c r="AH69" s="560">
        <v>12021.802631</v>
      </c>
      <c r="AI69" s="560">
        <v>0.1</v>
      </c>
      <c r="AJ69" s="560">
        <v>0</v>
      </c>
      <c r="AK69" s="560">
        <v>0</v>
      </c>
      <c r="AL69" s="560">
        <v>200.75</v>
      </c>
      <c r="AM69" s="560">
        <v>0</v>
      </c>
      <c r="AN69" s="560">
        <v>0</v>
      </c>
      <c r="AO69" s="560">
        <v>0</v>
      </c>
      <c r="AP69" s="560">
        <v>0</v>
      </c>
      <c r="AQ69" s="560" t="s">
        <v>1788</v>
      </c>
      <c r="AR69" s="560" t="s">
        <v>1733</v>
      </c>
      <c r="AS69" s="560">
        <v>0</v>
      </c>
      <c r="AT69" s="560">
        <v>0</v>
      </c>
      <c r="AU69" s="560">
        <v>0</v>
      </c>
      <c r="AV69" s="560">
        <v>69</v>
      </c>
      <c r="AW69" s="560">
        <v>64</v>
      </c>
      <c r="AX69" s="560">
        <v>74</v>
      </c>
      <c r="AY69" s="560">
        <v>78</v>
      </c>
      <c r="AZ69" s="560">
        <v>1</v>
      </c>
      <c r="BA69" s="560">
        <v>3099</v>
      </c>
      <c r="BB69" s="560">
        <v>0</v>
      </c>
      <c r="BC69" s="560">
        <v>0.5</v>
      </c>
      <c r="BD69" s="560">
        <v>0</v>
      </c>
      <c r="BE69" s="560" t="s">
        <v>1715</v>
      </c>
      <c r="BF69" s="560">
        <v>3.5</v>
      </c>
      <c r="BG69" s="560">
        <v>17.399999999999999</v>
      </c>
      <c r="BH69" s="560">
        <v>1</v>
      </c>
      <c r="BI69" s="560">
        <v>2</v>
      </c>
      <c r="BJ69" s="560">
        <v>40</v>
      </c>
      <c r="BK69" s="560">
        <v>0</v>
      </c>
      <c r="BL69" s="560" t="s">
        <v>1747</v>
      </c>
      <c r="BM69" s="560">
        <v>0.02</v>
      </c>
      <c r="BN69" s="560">
        <v>0</v>
      </c>
      <c r="BO69" s="560">
        <v>6</v>
      </c>
      <c r="BP69" s="560" t="s">
        <v>1747</v>
      </c>
      <c r="BQ69" s="560">
        <v>0.03</v>
      </c>
      <c r="BR69" s="560">
        <v>60</v>
      </c>
      <c r="BS69" s="560">
        <v>6</v>
      </c>
      <c r="BT69" s="560">
        <v>5000</v>
      </c>
      <c r="BU69" s="560">
        <v>40100</v>
      </c>
      <c r="BV69" s="560">
        <v>200</v>
      </c>
      <c r="BW69" s="560">
        <v>30.609376350000002</v>
      </c>
      <c r="BX69" s="560">
        <v>2788</v>
      </c>
      <c r="BY69" s="560">
        <v>17.543859650000002</v>
      </c>
      <c r="BZ69" s="560">
        <v>1800</v>
      </c>
      <c r="CA69" s="560">
        <v>37.664196859999997</v>
      </c>
      <c r="CB69" s="560">
        <v>0.85</v>
      </c>
      <c r="CC69" s="560">
        <v>187.5</v>
      </c>
      <c r="CD69" s="560">
        <v>187.5</v>
      </c>
      <c r="CE69" s="560">
        <v>187.5</v>
      </c>
      <c r="CF69" s="560">
        <v>187.5</v>
      </c>
      <c r="CG69" s="560">
        <v>0.29299999999999998</v>
      </c>
      <c r="CH69" s="560">
        <v>0.3</v>
      </c>
      <c r="CI69" s="560">
        <v>0.54</v>
      </c>
      <c r="CJ69" s="560">
        <v>40</v>
      </c>
      <c r="CK69" s="560">
        <v>5</v>
      </c>
      <c r="CL69" s="560">
        <v>4</v>
      </c>
      <c r="CM69" s="562">
        <v>1600</v>
      </c>
      <c r="CN69" s="562">
        <v>164</v>
      </c>
      <c r="CO69" s="562">
        <v>30.609376350000002</v>
      </c>
      <c r="CP69" s="562">
        <v>0</v>
      </c>
      <c r="CQ69" s="562">
        <v>0</v>
      </c>
      <c r="CR69" s="562" t="s">
        <v>1718</v>
      </c>
      <c r="CS69" s="562">
        <v>0</v>
      </c>
      <c r="CT69" s="562">
        <v>0</v>
      </c>
      <c r="CU69" s="562">
        <v>0.75</v>
      </c>
      <c r="CV69" s="562">
        <v>0.5</v>
      </c>
      <c r="CW69" s="562">
        <v>17.856999999999999</v>
      </c>
      <c r="CX69" s="562">
        <v>6.5</v>
      </c>
      <c r="CY69" s="562">
        <v>17.856999999999999</v>
      </c>
      <c r="CZ69" s="560">
        <v>4678.3333329999996</v>
      </c>
      <c r="DA69" s="560">
        <v>26.5625</v>
      </c>
      <c r="DB69" s="560" t="s">
        <v>1719</v>
      </c>
      <c r="DC69" s="560">
        <v>50</v>
      </c>
      <c r="DD69" s="560">
        <v>4</v>
      </c>
      <c r="DE69" s="560" t="s">
        <v>1720</v>
      </c>
      <c r="DF69" s="560">
        <v>5</v>
      </c>
      <c r="DG69" s="560">
        <v>0</v>
      </c>
      <c r="DH69" s="560">
        <v>4.5</v>
      </c>
      <c r="DI69" s="560">
        <v>4.5</v>
      </c>
      <c r="DJ69" s="560">
        <v>0</v>
      </c>
      <c r="DK69" s="560">
        <v>0</v>
      </c>
      <c r="DL69" s="560">
        <v>0</v>
      </c>
      <c r="DM69" s="560">
        <v>0</v>
      </c>
      <c r="DN69" s="560">
        <v>0</v>
      </c>
      <c r="DO69" s="560">
        <v>0</v>
      </c>
    </row>
    <row r="70" spans="1:119">
      <c r="A70" s="560" t="s">
        <v>1789</v>
      </c>
      <c r="B70" s="560" t="s">
        <v>1713</v>
      </c>
      <c r="C70" s="560" t="s">
        <v>779</v>
      </c>
      <c r="D70" s="560">
        <v>3</v>
      </c>
      <c r="E70" s="560">
        <v>844.06600600000002</v>
      </c>
      <c r="F70" s="560">
        <v>57.713729999999998</v>
      </c>
      <c r="G70" s="560">
        <v>6644.9655000000002</v>
      </c>
      <c r="H70" s="560">
        <v>139.9665</v>
      </c>
      <c r="I70" s="560">
        <v>0.91800700000000002</v>
      </c>
      <c r="J70" s="560">
        <v>0.35892099999999999</v>
      </c>
      <c r="K70" s="560">
        <v>0.38170500000000002</v>
      </c>
      <c r="L70" s="560">
        <v>0.58140400000000003</v>
      </c>
      <c r="M70" s="560">
        <v>30147.438311000002</v>
      </c>
      <c r="N70" s="560">
        <v>31280.527398999999</v>
      </c>
      <c r="O70" s="560">
        <v>13423.758802</v>
      </c>
      <c r="P70" s="560">
        <v>3466.718754</v>
      </c>
      <c r="Q70" s="560">
        <v>706.173991</v>
      </c>
      <c r="R70" s="560">
        <v>2756.2236499999999</v>
      </c>
      <c r="S70" s="560">
        <v>1603.0629630000001</v>
      </c>
      <c r="T70" s="560">
        <v>1970.5379359999999</v>
      </c>
      <c r="U70" s="560">
        <v>488.71812499999999</v>
      </c>
      <c r="V70" s="560">
        <v>67.418008</v>
      </c>
      <c r="W70" s="560">
        <v>14.069284</v>
      </c>
      <c r="X70" s="560">
        <v>0</v>
      </c>
      <c r="Y70" s="560">
        <v>37.668277000000003</v>
      </c>
      <c r="Z70" s="560">
        <v>147.020701</v>
      </c>
      <c r="AA70" s="560">
        <v>88871.298110999996</v>
      </c>
      <c r="AB70" s="560">
        <v>91684.688888999997</v>
      </c>
      <c r="AC70" s="560">
        <v>80851.950337999995</v>
      </c>
      <c r="AD70" s="560">
        <v>70643.175908999998</v>
      </c>
      <c r="AE70" s="560">
        <v>874.19090800000004</v>
      </c>
      <c r="AF70" s="560">
        <v>25832.307558</v>
      </c>
      <c r="AG70" s="560">
        <v>29078.399668999999</v>
      </c>
      <c r="AH70" s="560">
        <v>8291.8509020000001</v>
      </c>
      <c r="AI70" s="560">
        <v>0</v>
      </c>
      <c r="AJ70" s="560">
        <v>0</v>
      </c>
      <c r="AK70" s="560">
        <v>0</v>
      </c>
      <c r="AL70" s="560">
        <v>200.75</v>
      </c>
      <c r="AM70" s="560">
        <v>0</v>
      </c>
      <c r="AN70" s="560">
        <v>0</v>
      </c>
      <c r="AO70" s="560">
        <v>0</v>
      </c>
      <c r="AP70" s="560">
        <v>0</v>
      </c>
      <c r="AQ70" s="560" t="s">
        <v>1789</v>
      </c>
      <c r="AR70" s="560" t="s">
        <v>1729</v>
      </c>
      <c r="AS70" s="560">
        <v>0</v>
      </c>
      <c r="AT70" s="560">
        <v>0</v>
      </c>
      <c r="AU70" s="560">
        <v>0</v>
      </c>
      <c r="AV70" s="560">
        <v>69</v>
      </c>
      <c r="AW70" s="560">
        <v>64</v>
      </c>
      <c r="AX70" s="560">
        <v>74</v>
      </c>
      <c r="AY70" s="560">
        <v>78</v>
      </c>
      <c r="AZ70" s="560">
        <v>1</v>
      </c>
      <c r="BA70" s="560">
        <v>3099</v>
      </c>
      <c r="BB70" s="560">
        <v>0</v>
      </c>
      <c r="BC70" s="560">
        <v>0.5</v>
      </c>
      <c r="BD70" s="560">
        <v>0</v>
      </c>
      <c r="BE70" s="560" t="s">
        <v>1715</v>
      </c>
      <c r="BF70" s="560">
        <v>4</v>
      </c>
      <c r="BG70" s="560">
        <v>17.399999999999999</v>
      </c>
      <c r="BH70" s="560">
        <v>1</v>
      </c>
      <c r="BI70" s="560">
        <v>2</v>
      </c>
      <c r="BJ70" s="560">
        <v>40</v>
      </c>
      <c r="BK70" s="560">
        <v>0</v>
      </c>
      <c r="BL70" s="560" t="s">
        <v>1747</v>
      </c>
      <c r="BM70" s="560">
        <v>0.02</v>
      </c>
      <c r="BN70" s="560">
        <v>0</v>
      </c>
      <c r="BO70" s="560">
        <v>4.5</v>
      </c>
      <c r="BP70" s="560" t="s">
        <v>1747</v>
      </c>
      <c r="BQ70" s="560">
        <v>0.03</v>
      </c>
      <c r="BR70" s="560">
        <v>60</v>
      </c>
      <c r="BS70" s="560">
        <v>4.9000000000000004</v>
      </c>
      <c r="BT70" s="560">
        <v>5000</v>
      </c>
      <c r="BU70" s="560">
        <v>40100</v>
      </c>
      <c r="BV70" s="560">
        <v>200</v>
      </c>
      <c r="BW70" s="560">
        <v>26.8</v>
      </c>
      <c r="BX70" s="560">
        <v>2788</v>
      </c>
      <c r="BY70" s="560">
        <v>11.4</v>
      </c>
      <c r="BZ70" s="560">
        <v>1800</v>
      </c>
      <c r="CA70" s="560">
        <v>35</v>
      </c>
      <c r="CB70" s="560">
        <v>0.85</v>
      </c>
      <c r="CC70" s="560">
        <v>187.5</v>
      </c>
      <c r="CD70" s="560">
        <v>187.5</v>
      </c>
      <c r="CE70" s="560">
        <v>187.5</v>
      </c>
      <c r="CF70" s="560">
        <v>187.5</v>
      </c>
      <c r="CG70" s="560">
        <v>0.29299999999999998</v>
      </c>
      <c r="CH70" s="560">
        <v>0.3</v>
      </c>
      <c r="CI70" s="560">
        <v>0.54</v>
      </c>
      <c r="CJ70" s="560">
        <v>40</v>
      </c>
      <c r="CK70" s="560">
        <v>5</v>
      </c>
      <c r="CL70" s="560">
        <v>4</v>
      </c>
      <c r="CM70" s="562">
        <v>1600</v>
      </c>
      <c r="CN70" s="562">
        <v>164</v>
      </c>
      <c r="CO70" s="562">
        <v>26.8</v>
      </c>
      <c r="CP70" s="562">
        <v>0</v>
      </c>
      <c r="CQ70" s="562">
        <v>0</v>
      </c>
      <c r="CR70" s="562" t="s">
        <v>1718</v>
      </c>
      <c r="CS70" s="562">
        <v>0</v>
      </c>
      <c r="CT70" s="562">
        <v>0</v>
      </c>
      <c r="CU70" s="562">
        <v>0.75</v>
      </c>
      <c r="CV70" s="562">
        <v>0.5</v>
      </c>
      <c r="CW70" s="562">
        <v>17.856999999999999</v>
      </c>
      <c r="CX70" s="562">
        <v>6.5</v>
      </c>
      <c r="CY70" s="562">
        <v>17.856999999999999</v>
      </c>
      <c r="CZ70" s="560">
        <v>4678.3333329999996</v>
      </c>
      <c r="DA70" s="560">
        <v>26.5625</v>
      </c>
      <c r="DB70" s="560" t="s">
        <v>1719</v>
      </c>
      <c r="DC70" s="560">
        <v>50</v>
      </c>
      <c r="DD70" s="560">
        <v>4</v>
      </c>
      <c r="DE70" s="560" t="s">
        <v>1720</v>
      </c>
      <c r="DF70" s="560">
        <v>5</v>
      </c>
      <c r="DG70" s="560">
        <v>0</v>
      </c>
      <c r="DH70" s="560">
        <v>4.5</v>
      </c>
      <c r="DI70" s="560">
        <v>4.5</v>
      </c>
      <c r="DJ70" s="560">
        <v>0</v>
      </c>
      <c r="DK70" s="560">
        <v>0</v>
      </c>
      <c r="DL70" s="560">
        <v>0</v>
      </c>
      <c r="DM70" s="560">
        <v>0</v>
      </c>
      <c r="DN70" s="560">
        <v>0</v>
      </c>
      <c r="DO70" s="560">
        <v>0</v>
      </c>
    </row>
    <row r="71" spans="1:119">
      <c r="A71" s="560" t="s">
        <v>1790</v>
      </c>
      <c r="B71" s="560" t="s">
        <v>1713</v>
      </c>
      <c r="C71" s="560" t="s">
        <v>782</v>
      </c>
      <c r="D71" s="560">
        <v>3</v>
      </c>
      <c r="E71" s="560">
        <v>844.06600600000002</v>
      </c>
      <c r="F71" s="560">
        <v>57.713729999999998</v>
      </c>
      <c r="G71" s="560">
        <v>6644.9655000000002</v>
      </c>
      <c r="H71" s="560">
        <v>391.60199999999998</v>
      </c>
      <c r="I71" s="560">
        <v>0.91800700000000002</v>
      </c>
      <c r="J71" s="560">
        <v>0.35892099999999999</v>
      </c>
      <c r="K71" s="560">
        <v>0.38170500000000002</v>
      </c>
      <c r="L71" s="560">
        <v>0.58140400000000003</v>
      </c>
      <c r="M71" s="560">
        <v>30147.438311000002</v>
      </c>
      <c r="N71" s="560">
        <v>31280.527398999999</v>
      </c>
      <c r="O71" s="560">
        <v>13423.758802</v>
      </c>
      <c r="P71" s="560">
        <v>3466.718754</v>
      </c>
      <c r="Q71" s="560">
        <v>706.173991</v>
      </c>
      <c r="R71" s="560">
        <v>2756.2236499999999</v>
      </c>
      <c r="S71" s="560">
        <v>3332.2907620000001</v>
      </c>
      <c r="T71" s="560">
        <v>3854.941437</v>
      </c>
      <c r="U71" s="560">
        <v>1026.353357</v>
      </c>
      <c r="V71" s="560">
        <v>82.821548000000007</v>
      </c>
      <c r="W71" s="560">
        <v>8.4636600000000008</v>
      </c>
      <c r="X71" s="560">
        <v>0</v>
      </c>
      <c r="Y71" s="560">
        <v>76.297143000000005</v>
      </c>
      <c r="Z71" s="560">
        <v>297.79061999999999</v>
      </c>
      <c r="AA71" s="560">
        <v>88871.298110999996</v>
      </c>
      <c r="AB71" s="560">
        <v>91684.688888999997</v>
      </c>
      <c r="AC71" s="560">
        <v>80851.950337999995</v>
      </c>
      <c r="AD71" s="560">
        <v>70643.175908999998</v>
      </c>
      <c r="AE71" s="560">
        <v>874.19090800000004</v>
      </c>
      <c r="AF71" s="560">
        <v>34403.076684</v>
      </c>
      <c r="AG71" s="560">
        <v>38742.362859000001</v>
      </c>
      <c r="AH71" s="560">
        <v>12187.528851999999</v>
      </c>
      <c r="AI71" s="560">
        <v>0</v>
      </c>
      <c r="AJ71" s="560">
        <v>0</v>
      </c>
      <c r="AK71" s="560">
        <v>0</v>
      </c>
      <c r="AL71" s="560">
        <v>200.75</v>
      </c>
      <c r="AM71" s="560">
        <v>0</v>
      </c>
      <c r="AN71" s="560">
        <v>0</v>
      </c>
      <c r="AO71" s="560">
        <v>0</v>
      </c>
      <c r="AP71" s="560">
        <v>0</v>
      </c>
      <c r="AQ71" s="560" t="s">
        <v>1790</v>
      </c>
      <c r="AR71" s="560" t="s">
        <v>1731</v>
      </c>
      <c r="AS71" s="560">
        <v>0</v>
      </c>
      <c r="AT71" s="560">
        <v>0</v>
      </c>
      <c r="AU71" s="560">
        <v>0</v>
      </c>
      <c r="AV71" s="560">
        <v>69</v>
      </c>
      <c r="AW71" s="560">
        <v>64</v>
      </c>
      <c r="AX71" s="560">
        <v>74</v>
      </c>
      <c r="AY71" s="560">
        <v>78</v>
      </c>
      <c r="AZ71" s="560">
        <v>1</v>
      </c>
      <c r="BA71" s="560">
        <v>3099</v>
      </c>
      <c r="BB71" s="560">
        <v>0</v>
      </c>
      <c r="BC71" s="560">
        <v>0.5</v>
      </c>
      <c r="BD71" s="560">
        <v>0</v>
      </c>
      <c r="BE71" s="560" t="s">
        <v>1715</v>
      </c>
      <c r="BF71" s="560">
        <v>4</v>
      </c>
      <c r="BG71" s="560">
        <v>17.399999999999999</v>
      </c>
      <c r="BH71" s="560">
        <v>1</v>
      </c>
      <c r="BI71" s="560">
        <v>2</v>
      </c>
      <c r="BJ71" s="560">
        <v>40</v>
      </c>
      <c r="BK71" s="560">
        <v>0</v>
      </c>
      <c r="BL71" s="560" t="s">
        <v>1747</v>
      </c>
      <c r="BM71" s="560">
        <v>0.02</v>
      </c>
      <c r="BN71" s="560">
        <v>0</v>
      </c>
      <c r="BO71" s="560">
        <v>4.5</v>
      </c>
      <c r="BP71" s="560" t="s">
        <v>1747</v>
      </c>
      <c r="BQ71" s="560">
        <v>0.03</v>
      </c>
      <c r="BR71" s="560">
        <v>60</v>
      </c>
      <c r="BS71" s="560">
        <v>4.9000000000000004</v>
      </c>
      <c r="BT71" s="560">
        <v>5000</v>
      </c>
      <c r="BU71" s="560">
        <v>40100</v>
      </c>
      <c r="BV71" s="560">
        <v>200</v>
      </c>
      <c r="BW71" s="560">
        <v>26.8</v>
      </c>
      <c r="BX71" s="560">
        <v>2788</v>
      </c>
      <c r="BY71" s="560">
        <v>11.4</v>
      </c>
      <c r="BZ71" s="560">
        <v>1800</v>
      </c>
      <c r="CA71" s="560">
        <v>35</v>
      </c>
      <c r="CB71" s="560">
        <v>0.85</v>
      </c>
      <c r="CC71" s="560">
        <v>187.5</v>
      </c>
      <c r="CD71" s="560">
        <v>187.5</v>
      </c>
      <c r="CE71" s="560">
        <v>187.5</v>
      </c>
      <c r="CF71" s="560">
        <v>187.5</v>
      </c>
      <c r="CG71" s="560">
        <v>0.29299999999999998</v>
      </c>
      <c r="CH71" s="560">
        <v>0.3</v>
      </c>
      <c r="CI71" s="560">
        <v>0.54</v>
      </c>
      <c r="CJ71" s="560">
        <v>40</v>
      </c>
      <c r="CK71" s="560">
        <v>5</v>
      </c>
      <c r="CL71" s="560">
        <v>4</v>
      </c>
      <c r="CM71" s="562">
        <v>1600</v>
      </c>
      <c r="CN71" s="562">
        <v>164</v>
      </c>
      <c r="CO71" s="562">
        <v>26.8</v>
      </c>
      <c r="CP71" s="562">
        <v>0</v>
      </c>
      <c r="CQ71" s="562">
        <v>0</v>
      </c>
      <c r="CR71" s="562" t="s">
        <v>1718</v>
      </c>
      <c r="CS71" s="562">
        <v>0</v>
      </c>
      <c r="CT71" s="562">
        <v>0</v>
      </c>
      <c r="CU71" s="562">
        <v>0.75</v>
      </c>
      <c r="CV71" s="562">
        <v>0.5</v>
      </c>
      <c r="CW71" s="562">
        <v>17.856999999999999</v>
      </c>
      <c r="CX71" s="562">
        <v>6.5</v>
      </c>
      <c r="CY71" s="562">
        <v>17.856999999999999</v>
      </c>
      <c r="CZ71" s="560">
        <v>4678.3333329999996</v>
      </c>
      <c r="DA71" s="560">
        <v>26.5625</v>
      </c>
      <c r="DB71" s="560" t="s">
        <v>1719</v>
      </c>
      <c r="DC71" s="560">
        <v>50</v>
      </c>
      <c r="DD71" s="560">
        <v>4</v>
      </c>
      <c r="DE71" s="560" t="s">
        <v>1720</v>
      </c>
      <c r="DF71" s="560">
        <v>5</v>
      </c>
      <c r="DG71" s="560">
        <v>0</v>
      </c>
      <c r="DH71" s="560">
        <v>4.5</v>
      </c>
      <c r="DI71" s="560">
        <v>4.5</v>
      </c>
      <c r="DJ71" s="560">
        <v>0</v>
      </c>
      <c r="DK71" s="560">
        <v>0</v>
      </c>
      <c r="DL71" s="560">
        <v>0</v>
      </c>
      <c r="DM71" s="560">
        <v>0</v>
      </c>
      <c r="DN71" s="560">
        <v>0</v>
      </c>
      <c r="DO71" s="560">
        <v>0</v>
      </c>
    </row>
    <row r="72" spans="1:119">
      <c r="A72" s="560" t="s">
        <v>1791</v>
      </c>
      <c r="B72" s="560" t="s">
        <v>1713</v>
      </c>
      <c r="C72" s="560" t="s">
        <v>785</v>
      </c>
      <c r="D72" s="560">
        <v>3</v>
      </c>
      <c r="E72" s="560">
        <v>844.06600600000002</v>
      </c>
      <c r="F72" s="560">
        <v>57.713729999999998</v>
      </c>
      <c r="G72" s="560">
        <v>6644.9655000000002</v>
      </c>
      <c r="H72" s="560">
        <v>755.94</v>
      </c>
      <c r="I72" s="560">
        <v>0.91800700000000002</v>
      </c>
      <c r="J72" s="560">
        <v>0.35892099999999999</v>
      </c>
      <c r="K72" s="560">
        <v>0.38170500000000002</v>
      </c>
      <c r="L72" s="560">
        <v>0.58140400000000003</v>
      </c>
      <c r="M72" s="560">
        <v>30147.438311000002</v>
      </c>
      <c r="N72" s="560">
        <v>31280.527398999999</v>
      </c>
      <c r="O72" s="560">
        <v>13423.758802</v>
      </c>
      <c r="P72" s="560">
        <v>3466.718754</v>
      </c>
      <c r="Q72" s="560">
        <v>706.173991</v>
      </c>
      <c r="R72" s="560">
        <v>2756.2236499999999</v>
      </c>
      <c r="S72" s="560">
        <v>5639.6029660000004</v>
      </c>
      <c r="T72" s="560">
        <v>6240.7357510000002</v>
      </c>
      <c r="U72" s="560">
        <v>1768.316364</v>
      </c>
      <c r="V72" s="560">
        <v>67.298145000000005</v>
      </c>
      <c r="W72" s="560">
        <v>3.8057750000000001</v>
      </c>
      <c r="X72" s="560">
        <v>0</v>
      </c>
      <c r="Y72" s="560">
        <v>127.731776</v>
      </c>
      <c r="Z72" s="560">
        <v>498.54192599999999</v>
      </c>
      <c r="AA72" s="560">
        <v>88871.298110999996</v>
      </c>
      <c r="AB72" s="560">
        <v>91684.688888999997</v>
      </c>
      <c r="AC72" s="560">
        <v>80851.950337999995</v>
      </c>
      <c r="AD72" s="560">
        <v>70643.175908999998</v>
      </c>
      <c r="AE72" s="560">
        <v>874.19090800000004</v>
      </c>
      <c r="AF72" s="560">
        <v>37685.926081999998</v>
      </c>
      <c r="AG72" s="560">
        <v>40810.674899999998</v>
      </c>
      <c r="AH72" s="560">
        <v>13126.853408999999</v>
      </c>
      <c r="AI72" s="560">
        <v>0</v>
      </c>
      <c r="AJ72" s="560">
        <v>0</v>
      </c>
      <c r="AK72" s="560">
        <v>0</v>
      </c>
      <c r="AL72" s="560">
        <v>200.75</v>
      </c>
      <c r="AM72" s="560">
        <v>0</v>
      </c>
      <c r="AN72" s="560">
        <v>0</v>
      </c>
      <c r="AO72" s="560">
        <v>0</v>
      </c>
      <c r="AP72" s="560">
        <v>0</v>
      </c>
      <c r="AQ72" s="560" t="s">
        <v>1791</v>
      </c>
      <c r="AR72" s="560" t="s">
        <v>1733</v>
      </c>
      <c r="AS72" s="560">
        <v>0</v>
      </c>
      <c r="AT72" s="560">
        <v>0</v>
      </c>
      <c r="AU72" s="560">
        <v>0</v>
      </c>
      <c r="AV72" s="560">
        <v>69</v>
      </c>
      <c r="AW72" s="560">
        <v>64</v>
      </c>
      <c r="AX72" s="560">
        <v>74</v>
      </c>
      <c r="AY72" s="560">
        <v>78</v>
      </c>
      <c r="AZ72" s="560">
        <v>1</v>
      </c>
      <c r="BA72" s="560">
        <v>3099</v>
      </c>
      <c r="BB72" s="560">
        <v>0</v>
      </c>
      <c r="BC72" s="560">
        <v>0.5</v>
      </c>
      <c r="BD72" s="560">
        <v>0</v>
      </c>
      <c r="BE72" s="560" t="s">
        <v>1715</v>
      </c>
      <c r="BF72" s="560">
        <v>4</v>
      </c>
      <c r="BG72" s="560">
        <v>17.399999999999999</v>
      </c>
      <c r="BH72" s="560">
        <v>1</v>
      </c>
      <c r="BI72" s="560">
        <v>2</v>
      </c>
      <c r="BJ72" s="560">
        <v>40</v>
      </c>
      <c r="BK72" s="560">
        <v>0</v>
      </c>
      <c r="BL72" s="560" t="s">
        <v>1747</v>
      </c>
      <c r="BM72" s="560">
        <v>0.02</v>
      </c>
      <c r="BN72" s="560">
        <v>0</v>
      </c>
      <c r="BO72" s="560">
        <v>4.5</v>
      </c>
      <c r="BP72" s="560" t="s">
        <v>1747</v>
      </c>
      <c r="BQ72" s="560">
        <v>0.03</v>
      </c>
      <c r="BR72" s="560">
        <v>60</v>
      </c>
      <c r="BS72" s="560">
        <v>4.9000000000000004</v>
      </c>
      <c r="BT72" s="560">
        <v>5000</v>
      </c>
      <c r="BU72" s="560">
        <v>40100</v>
      </c>
      <c r="BV72" s="560">
        <v>200</v>
      </c>
      <c r="BW72" s="560">
        <v>26.8</v>
      </c>
      <c r="BX72" s="560">
        <v>2788</v>
      </c>
      <c r="BY72" s="560">
        <v>11.4</v>
      </c>
      <c r="BZ72" s="560">
        <v>1800</v>
      </c>
      <c r="CA72" s="560">
        <v>35</v>
      </c>
      <c r="CB72" s="560">
        <v>0.85</v>
      </c>
      <c r="CC72" s="560">
        <v>187.5</v>
      </c>
      <c r="CD72" s="560">
        <v>187.5</v>
      </c>
      <c r="CE72" s="560">
        <v>187.5</v>
      </c>
      <c r="CF72" s="560">
        <v>187.5</v>
      </c>
      <c r="CG72" s="560">
        <v>0.29299999999999998</v>
      </c>
      <c r="CH72" s="560">
        <v>0.3</v>
      </c>
      <c r="CI72" s="560">
        <v>0.54</v>
      </c>
      <c r="CJ72" s="560">
        <v>40</v>
      </c>
      <c r="CK72" s="560">
        <v>5</v>
      </c>
      <c r="CL72" s="560">
        <v>4</v>
      </c>
      <c r="CM72" s="562">
        <v>1600</v>
      </c>
      <c r="CN72" s="562">
        <v>164</v>
      </c>
      <c r="CO72" s="562">
        <v>26.8</v>
      </c>
      <c r="CP72" s="562">
        <v>0</v>
      </c>
      <c r="CQ72" s="562">
        <v>0</v>
      </c>
      <c r="CR72" s="562" t="s">
        <v>1718</v>
      </c>
      <c r="CS72" s="562">
        <v>0</v>
      </c>
      <c r="CT72" s="562">
        <v>0</v>
      </c>
      <c r="CU72" s="562">
        <v>0.75</v>
      </c>
      <c r="CV72" s="562">
        <v>0.5</v>
      </c>
      <c r="CW72" s="562">
        <v>17.856999999999999</v>
      </c>
      <c r="CX72" s="562">
        <v>6.5</v>
      </c>
      <c r="CY72" s="562">
        <v>17.856999999999999</v>
      </c>
      <c r="CZ72" s="560">
        <v>4678.3333329999996</v>
      </c>
      <c r="DA72" s="560">
        <v>26.5625</v>
      </c>
      <c r="DB72" s="560" t="s">
        <v>1719</v>
      </c>
      <c r="DC72" s="560">
        <v>50</v>
      </c>
      <c r="DD72" s="560">
        <v>4</v>
      </c>
      <c r="DE72" s="560" t="s">
        <v>1720</v>
      </c>
      <c r="DF72" s="560">
        <v>5</v>
      </c>
      <c r="DG72" s="560">
        <v>0</v>
      </c>
      <c r="DH72" s="560">
        <v>4.5</v>
      </c>
      <c r="DI72" s="560">
        <v>4.5</v>
      </c>
      <c r="DJ72" s="560">
        <v>0</v>
      </c>
      <c r="DK72" s="560">
        <v>0</v>
      </c>
      <c r="DL72" s="560">
        <v>0</v>
      </c>
      <c r="DM72" s="560">
        <v>0</v>
      </c>
      <c r="DN72" s="560">
        <v>0</v>
      </c>
      <c r="DO72" s="560">
        <v>0</v>
      </c>
    </row>
    <row r="73" spans="1:119">
      <c r="A73" s="560" t="s">
        <v>1792</v>
      </c>
      <c r="B73" s="560" t="s">
        <v>1713</v>
      </c>
      <c r="C73" s="560" t="s">
        <v>794</v>
      </c>
      <c r="D73" s="560">
        <v>3</v>
      </c>
      <c r="E73" s="560">
        <v>769.49839299999996</v>
      </c>
      <c r="F73" s="560">
        <v>56.504593999999997</v>
      </c>
      <c r="G73" s="560">
        <v>7927.5</v>
      </c>
      <c r="H73" s="560">
        <v>139.9665</v>
      </c>
      <c r="I73" s="560">
        <v>0.90101900000000001</v>
      </c>
      <c r="J73" s="560">
        <v>0.35425000000000001</v>
      </c>
      <c r="K73" s="560">
        <v>0.37533100000000003</v>
      </c>
      <c r="L73" s="560">
        <v>0.59632499999999999</v>
      </c>
      <c r="M73" s="560">
        <v>33773.511940999997</v>
      </c>
      <c r="N73" s="560">
        <v>34960.702624999998</v>
      </c>
      <c r="O73" s="560">
        <v>17588.858026999998</v>
      </c>
      <c r="P73" s="560">
        <v>7168.3497820000002</v>
      </c>
      <c r="Q73" s="560">
        <v>753.37580700000001</v>
      </c>
      <c r="R73" s="560">
        <v>3360.5189890000001</v>
      </c>
      <c r="S73" s="560">
        <v>1572.1738319999999</v>
      </c>
      <c r="T73" s="560">
        <v>1929.2553049999999</v>
      </c>
      <c r="U73" s="560">
        <v>476.46530799999999</v>
      </c>
      <c r="V73" s="560">
        <v>65.256279000000006</v>
      </c>
      <c r="W73" s="560">
        <v>13.943187999999999</v>
      </c>
      <c r="X73" s="560">
        <v>0</v>
      </c>
      <c r="Y73" s="560">
        <v>36.866129000000001</v>
      </c>
      <c r="Z73" s="560">
        <v>164.44558699999999</v>
      </c>
      <c r="AA73" s="560">
        <v>92461.544475999995</v>
      </c>
      <c r="AB73" s="560">
        <v>95162.339856000006</v>
      </c>
      <c r="AC73" s="560">
        <v>88126.810010000001</v>
      </c>
      <c r="AD73" s="560">
        <v>79509.282596000005</v>
      </c>
      <c r="AE73" s="560">
        <v>764.91704500000003</v>
      </c>
      <c r="AF73" s="560">
        <v>24478.018048000002</v>
      </c>
      <c r="AG73" s="560">
        <v>27474.207003</v>
      </c>
      <c r="AH73" s="560">
        <v>7755.3484900000003</v>
      </c>
      <c r="AI73" s="560">
        <v>2</v>
      </c>
      <c r="AJ73" s="560">
        <v>0</v>
      </c>
      <c r="AK73" s="560">
        <v>0</v>
      </c>
      <c r="AL73" s="560">
        <v>200.75</v>
      </c>
      <c r="AM73" s="560">
        <v>0</v>
      </c>
      <c r="AN73" s="560">
        <v>0</v>
      </c>
      <c r="AO73" s="560">
        <v>0</v>
      </c>
      <c r="AP73" s="560">
        <v>0</v>
      </c>
      <c r="AQ73" s="560" t="s">
        <v>1792</v>
      </c>
      <c r="AR73" s="560" t="s">
        <v>1738</v>
      </c>
      <c r="AS73" s="560">
        <v>0</v>
      </c>
      <c r="AT73" s="560">
        <v>0</v>
      </c>
      <c r="AU73" s="560">
        <v>0</v>
      </c>
      <c r="AV73" s="560">
        <v>69</v>
      </c>
      <c r="AW73" s="560">
        <v>64</v>
      </c>
      <c r="AX73" s="560">
        <v>74</v>
      </c>
      <c r="AY73" s="560">
        <v>78</v>
      </c>
      <c r="AZ73" s="560">
        <v>1</v>
      </c>
      <c r="BA73" s="560">
        <v>3099</v>
      </c>
      <c r="BB73" s="560">
        <v>0</v>
      </c>
      <c r="BC73" s="560">
        <v>0.5</v>
      </c>
      <c r="BD73" s="560">
        <v>0</v>
      </c>
      <c r="BE73" s="560" t="s">
        <v>1715</v>
      </c>
      <c r="BF73" s="560">
        <v>3.5</v>
      </c>
      <c r="BG73" s="560">
        <v>17.399999999999999</v>
      </c>
      <c r="BH73" s="560">
        <v>1</v>
      </c>
      <c r="BI73" s="560">
        <v>2</v>
      </c>
      <c r="BJ73" s="560">
        <v>40</v>
      </c>
      <c r="BK73" s="560">
        <v>0</v>
      </c>
      <c r="BL73" s="560" t="s">
        <v>1747</v>
      </c>
      <c r="BM73" s="560">
        <v>0.02</v>
      </c>
      <c r="BN73" s="560">
        <v>0</v>
      </c>
      <c r="BO73" s="560">
        <v>6</v>
      </c>
      <c r="BP73" s="560" t="s">
        <v>1747</v>
      </c>
      <c r="BQ73" s="560">
        <v>0.03</v>
      </c>
      <c r="BR73" s="560">
        <v>60</v>
      </c>
      <c r="BS73" s="560">
        <v>6</v>
      </c>
      <c r="BT73" s="560">
        <v>5000</v>
      </c>
      <c r="BU73" s="560">
        <v>40100</v>
      </c>
      <c r="BV73" s="560">
        <v>200</v>
      </c>
      <c r="BW73" s="560">
        <v>30.609376350000002</v>
      </c>
      <c r="BX73" s="560">
        <v>2788</v>
      </c>
      <c r="BY73" s="560">
        <v>17.543859650000002</v>
      </c>
      <c r="BZ73" s="560">
        <v>1800</v>
      </c>
      <c r="CA73" s="560">
        <v>37.664196859999997</v>
      </c>
      <c r="CB73" s="560">
        <v>0.85</v>
      </c>
      <c r="CC73" s="560">
        <v>187.5</v>
      </c>
      <c r="CD73" s="560">
        <v>187.5</v>
      </c>
      <c r="CE73" s="560">
        <v>187.5</v>
      </c>
      <c r="CF73" s="560">
        <v>187.5</v>
      </c>
      <c r="CG73" s="560">
        <v>0.29299999999999998</v>
      </c>
      <c r="CH73" s="560">
        <v>0.3</v>
      </c>
      <c r="CI73" s="560">
        <v>0.54</v>
      </c>
      <c r="CJ73" s="560">
        <v>40</v>
      </c>
      <c r="CK73" s="560">
        <v>5</v>
      </c>
      <c r="CL73" s="560">
        <v>4</v>
      </c>
      <c r="CM73" s="562">
        <v>1600</v>
      </c>
      <c r="CN73" s="562">
        <v>164</v>
      </c>
      <c r="CO73" s="562">
        <v>30.609376350000002</v>
      </c>
      <c r="CP73" s="562">
        <v>0</v>
      </c>
      <c r="CQ73" s="562">
        <v>0</v>
      </c>
      <c r="CR73" s="562" t="s">
        <v>1718</v>
      </c>
      <c r="CS73" s="562">
        <v>0</v>
      </c>
      <c r="CT73" s="562">
        <v>0</v>
      </c>
      <c r="CU73" s="562">
        <v>0.75</v>
      </c>
      <c r="CV73" s="562">
        <v>0.5</v>
      </c>
      <c r="CW73" s="562">
        <v>17.856999999999999</v>
      </c>
      <c r="CX73" s="562">
        <v>6.5</v>
      </c>
      <c r="CY73" s="562">
        <v>17.856999999999999</v>
      </c>
      <c r="CZ73" s="560">
        <v>4678.3333329999996</v>
      </c>
      <c r="DA73" s="560">
        <v>26.5625</v>
      </c>
      <c r="DB73" s="560" t="s">
        <v>1719</v>
      </c>
      <c r="DC73" s="560">
        <v>50</v>
      </c>
      <c r="DD73" s="560">
        <v>4</v>
      </c>
      <c r="DE73" s="560" t="s">
        <v>1720</v>
      </c>
      <c r="DF73" s="560">
        <v>5</v>
      </c>
      <c r="DG73" s="560">
        <v>0</v>
      </c>
      <c r="DH73" s="560">
        <v>4.5</v>
      </c>
      <c r="DI73" s="560">
        <v>4.5</v>
      </c>
      <c r="DJ73" s="560">
        <v>0</v>
      </c>
      <c r="DK73" s="560">
        <v>0</v>
      </c>
      <c r="DL73" s="560">
        <v>0</v>
      </c>
      <c r="DM73" s="560">
        <v>0</v>
      </c>
      <c r="DN73" s="560">
        <v>0</v>
      </c>
      <c r="DO73" s="560">
        <v>0</v>
      </c>
    </row>
    <row r="74" spans="1:119">
      <c r="A74" s="560" t="s">
        <v>1793</v>
      </c>
      <c r="B74" s="560" t="s">
        <v>1713</v>
      </c>
      <c r="C74" s="560" t="s">
        <v>797</v>
      </c>
      <c r="D74" s="560">
        <v>3</v>
      </c>
      <c r="E74" s="560">
        <v>769.49839299999996</v>
      </c>
      <c r="F74" s="560">
        <v>56.504593999999997</v>
      </c>
      <c r="G74" s="560">
        <v>7927.5</v>
      </c>
      <c r="H74" s="560">
        <v>391.60199999999998</v>
      </c>
      <c r="I74" s="560">
        <v>0.90101900000000001</v>
      </c>
      <c r="J74" s="560">
        <v>0.35425000000000001</v>
      </c>
      <c r="K74" s="560">
        <v>0.37533100000000003</v>
      </c>
      <c r="L74" s="560">
        <v>0.59632499999999999</v>
      </c>
      <c r="M74" s="560">
        <v>33773.511940999997</v>
      </c>
      <c r="N74" s="560">
        <v>34960.702624999998</v>
      </c>
      <c r="O74" s="560">
        <v>17588.858026999998</v>
      </c>
      <c r="P74" s="560">
        <v>7168.3497820000002</v>
      </c>
      <c r="Q74" s="560">
        <v>753.37580700000001</v>
      </c>
      <c r="R74" s="560">
        <v>3360.5189890000001</v>
      </c>
      <c r="S74" s="560">
        <v>3225.7790380000001</v>
      </c>
      <c r="T74" s="560">
        <v>3728.2908080000002</v>
      </c>
      <c r="U74" s="560">
        <v>987.78206699999998</v>
      </c>
      <c r="V74" s="560">
        <v>79.467097999999993</v>
      </c>
      <c r="W74" s="560">
        <v>8.4143760000000007</v>
      </c>
      <c r="X74" s="560">
        <v>0</v>
      </c>
      <c r="Y74" s="560">
        <v>73.747111000000004</v>
      </c>
      <c r="Z74" s="560">
        <v>328.957425</v>
      </c>
      <c r="AA74" s="560">
        <v>92461.544475999995</v>
      </c>
      <c r="AB74" s="560">
        <v>95162.339856000006</v>
      </c>
      <c r="AC74" s="560">
        <v>88126.810010000001</v>
      </c>
      <c r="AD74" s="560">
        <v>79509.282596000005</v>
      </c>
      <c r="AE74" s="560">
        <v>764.91704500000003</v>
      </c>
      <c r="AF74" s="560">
        <v>32088.326033000001</v>
      </c>
      <c r="AG74" s="560">
        <v>35784.001232000002</v>
      </c>
      <c r="AH74" s="560">
        <v>11090.671920000001</v>
      </c>
      <c r="AI74" s="560">
        <v>2</v>
      </c>
      <c r="AJ74" s="560">
        <v>0</v>
      </c>
      <c r="AK74" s="560">
        <v>0</v>
      </c>
      <c r="AL74" s="560">
        <v>200.75</v>
      </c>
      <c r="AM74" s="560">
        <v>0</v>
      </c>
      <c r="AN74" s="560">
        <v>0</v>
      </c>
      <c r="AO74" s="560">
        <v>0</v>
      </c>
      <c r="AP74" s="560">
        <v>0</v>
      </c>
      <c r="AQ74" s="560" t="s">
        <v>1793</v>
      </c>
      <c r="AR74" s="560" t="s">
        <v>1740</v>
      </c>
      <c r="AS74" s="560">
        <v>0</v>
      </c>
      <c r="AT74" s="560">
        <v>0</v>
      </c>
      <c r="AU74" s="560">
        <v>0</v>
      </c>
      <c r="AV74" s="560">
        <v>69</v>
      </c>
      <c r="AW74" s="560">
        <v>64</v>
      </c>
      <c r="AX74" s="560">
        <v>74</v>
      </c>
      <c r="AY74" s="560">
        <v>78</v>
      </c>
      <c r="AZ74" s="560">
        <v>1</v>
      </c>
      <c r="BA74" s="560">
        <v>3099</v>
      </c>
      <c r="BB74" s="560">
        <v>0</v>
      </c>
      <c r="BC74" s="560">
        <v>0.5</v>
      </c>
      <c r="BD74" s="560">
        <v>0</v>
      </c>
      <c r="BE74" s="560" t="s">
        <v>1715</v>
      </c>
      <c r="BF74" s="560">
        <v>3.5</v>
      </c>
      <c r="BG74" s="560">
        <v>17.399999999999999</v>
      </c>
      <c r="BH74" s="560">
        <v>1</v>
      </c>
      <c r="BI74" s="560">
        <v>2</v>
      </c>
      <c r="BJ74" s="560">
        <v>40</v>
      </c>
      <c r="BK74" s="560">
        <v>0</v>
      </c>
      <c r="BL74" s="560" t="s">
        <v>1747</v>
      </c>
      <c r="BM74" s="560">
        <v>0.02</v>
      </c>
      <c r="BN74" s="560">
        <v>0</v>
      </c>
      <c r="BO74" s="560">
        <v>6</v>
      </c>
      <c r="BP74" s="560" t="s">
        <v>1747</v>
      </c>
      <c r="BQ74" s="560">
        <v>0.03</v>
      </c>
      <c r="BR74" s="560">
        <v>60</v>
      </c>
      <c r="BS74" s="560">
        <v>6</v>
      </c>
      <c r="BT74" s="560">
        <v>5000</v>
      </c>
      <c r="BU74" s="560">
        <v>40100</v>
      </c>
      <c r="BV74" s="560">
        <v>200</v>
      </c>
      <c r="BW74" s="560">
        <v>30.609376350000002</v>
      </c>
      <c r="BX74" s="560">
        <v>2788</v>
      </c>
      <c r="BY74" s="560">
        <v>17.543859650000002</v>
      </c>
      <c r="BZ74" s="560">
        <v>1800</v>
      </c>
      <c r="CA74" s="560">
        <v>37.664196859999997</v>
      </c>
      <c r="CB74" s="560">
        <v>0.85</v>
      </c>
      <c r="CC74" s="560">
        <v>187.5</v>
      </c>
      <c r="CD74" s="560">
        <v>187.5</v>
      </c>
      <c r="CE74" s="560">
        <v>187.5</v>
      </c>
      <c r="CF74" s="560">
        <v>187.5</v>
      </c>
      <c r="CG74" s="560">
        <v>0.29299999999999998</v>
      </c>
      <c r="CH74" s="560">
        <v>0.3</v>
      </c>
      <c r="CI74" s="560">
        <v>0.54</v>
      </c>
      <c r="CJ74" s="560">
        <v>40</v>
      </c>
      <c r="CK74" s="560">
        <v>5</v>
      </c>
      <c r="CL74" s="560">
        <v>4</v>
      </c>
      <c r="CM74" s="562">
        <v>1600</v>
      </c>
      <c r="CN74" s="562">
        <v>164</v>
      </c>
      <c r="CO74" s="562">
        <v>30.609376350000002</v>
      </c>
      <c r="CP74" s="562">
        <v>0</v>
      </c>
      <c r="CQ74" s="562">
        <v>0</v>
      </c>
      <c r="CR74" s="562" t="s">
        <v>1718</v>
      </c>
      <c r="CS74" s="562">
        <v>0</v>
      </c>
      <c r="CT74" s="562">
        <v>0</v>
      </c>
      <c r="CU74" s="562">
        <v>0.75</v>
      </c>
      <c r="CV74" s="562">
        <v>0.5</v>
      </c>
      <c r="CW74" s="562">
        <v>17.856999999999999</v>
      </c>
      <c r="CX74" s="562">
        <v>6.5</v>
      </c>
      <c r="CY74" s="562">
        <v>17.856999999999999</v>
      </c>
      <c r="CZ74" s="560">
        <v>4678.3333329999996</v>
      </c>
      <c r="DA74" s="560">
        <v>26.5625</v>
      </c>
      <c r="DB74" s="560" t="s">
        <v>1719</v>
      </c>
      <c r="DC74" s="560">
        <v>50</v>
      </c>
      <c r="DD74" s="560">
        <v>4</v>
      </c>
      <c r="DE74" s="560" t="s">
        <v>1720</v>
      </c>
      <c r="DF74" s="560">
        <v>5</v>
      </c>
      <c r="DG74" s="560">
        <v>0</v>
      </c>
      <c r="DH74" s="560">
        <v>4.5</v>
      </c>
      <c r="DI74" s="560">
        <v>4.5</v>
      </c>
      <c r="DJ74" s="560">
        <v>0</v>
      </c>
      <c r="DK74" s="560">
        <v>0</v>
      </c>
      <c r="DL74" s="560">
        <v>0</v>
      </c>
      <c r="DM74" s="560">
        <v>0</v>
      </c>
      <c r="DN74" s="560">
        <v>0</v>
      </c>
      <c r="DO74" s="560">
        <v>0</v>
      </c>
    </row>
    <row r="75" spans="1:119">
      <c r="A75" s="560" t="s">
        <v>1794</v>
      </c>
      <c r="B75" s="560" t="s">
        <v>1713</v>
      </c>
      <c r="C75" s="560" t="s">
        <v>800</v>
      </c>
      <c r="D75" s="560">
        <v>3</v>
      </c>
      <c r="E75" s="560">
        <v>769.49839299999996</v>
      </c>
      <c r="F75" s="560">
        <v>56.504593999999997</v>
      </c>
      <c r="G75" s="560">
        <v>7927.5</v>
      </c>
      <c r="H75" s="560">
        <v>755.94</v>
      </c>
      <c r="I75" s="560">
        <v>0.90101900000000001</v>
      </c>
      <c r="J75" s="560">
        <v>0.35425000000000001</v>
      </c>
      <c r="K75" s="560">
        <v>0.37533100000000003</v>
      </c>
      <c r="L75" s="560">
        <v>0.59632499999999999</v>
      </c>
      <c r="M75" s="560">
        <v>33773.511940999997</v>
      </c>
      <c r="N75" s="560">
        <v>34960.702624999998</v>
      </c>
      <c r="O75" s="560">
        <v>17588.858026999998</v>
      </c>
      <c r="P75" s="560">
        <v>7168.3497820000002</v>
      </c>
      <c r="Q75" s="560">
        <v>753.37580700000001</v>
      </c>
      <c r="R75" s="560">
        <v>3360.5189890000001</v>
      </c>
      <c r="S75" s="560">
        <v>5432.0465800000002</v>
      </c>
      <c r="T75" s="560">
        <v>6006.6677319999999</v>
      </c>
      <c r="U75" s="560">
        <v>1692.414168</v>
      </c>
      <c r="V75" s="560">
        <v>64.482284000000007</v>
      </c>
      <c r="W75" s="560">
        <v>3.8100770000000002</v>
      </c>
      <c r="X75" s="560">
        <v>0</v>
      </c>
      <c r="Y75" s="560">
        <v>122.853807</v>
      </c>
      <c r="Z75" s="560">
        <v>548.00346200000001</v>
      </c>
      <c r="AA75" s="560">
        <v>92461.544475999995</v>
      </c>
      <c r="AB75" s="560">
        <v>95162.339856000006</v>
      </c>
      <c r="AC75" s="560">
        <v>88126.810010000001</v>
      </c>
      <c r="AD75" s="560">
        <v>79509.282596000005</v>
      </c>
      <c r="AE75" s="560">
        <v>764.91704500000003</v>
      </c>
      <c r="AF75" s="560">
        <v>33083.596917000003</v>
      </c>
      <c r="AG75" s="560">
        <v>35985.413081999999</v>
      </c>
      <c r="AH75" s="560">
        <v>12021.802631</v>
      </c>
      <c r="AI75" s="560">
        <v>2</v>
      </c>
      <c r="AJ75" s="560">
        <v>0</v>
      </c>
      <c r="AK75" s="560">
        <v>0</v>
      </c>
      <c r="AL75" s="560">
        <v>200.75</v>
      </c>
      <c r="AM75" s="560">
        <v>0</v>
      </c>
      <c r="AN75" s="560">
        <v>0</v>
      </c>
      <c r="AO75" s="560">
        <v>0</v>
      </c>
      <c r="AP75" s="560">
        <v>0</v>
      </c>
      <c r="AQ75" s="560" t="s">
        <v>1794</v>
      </c>
      <c r="AR75" s="560" t="s">
        <v>1742</v>
      </c>
      <c r="AS75" s="560">
        <v>0</v>
      </c>
      <c r="AT75" s="560">
        <v>0</v>
      </c>
      <c r="AU75" s="560">
        <v>0</v>
      </c>
      <c r="AV75" s="560">
        <v>69</v>
      </c>
      <c r="AW75" s="560">
        <v>64</v>
      </c>
      <c r="AX75" s="560">
        <v>74</v>
      </c>
      <c r="AY75" s="560">
        <v>78</v>
      </c>
      <c r="AZ75" s="560">
        <v>1</v>
      </c>
      <c r="BA75" s="560">
        <v>3099</v>
      </c>
      <c r="BB75" s="560">
        <v>0</v>
      </c>
      <c r="BC75" s="560">
        <v>0.5</v>
      </c>
      <c r="BD75" s="560">
        <v>0</v>
      </c>
      <c r="BE75" s="560" t="s">
        <v>1715</v>
      </c>
      <c r="BF75" s="560">
        <v>3.5</v>
      </c>
      <c r="BG75" s="560">
        <v>17.399999999999999</v>
      </c>
      <c r="BH75" s="560">
        <v>1</v>
      </c>
      <c r="BI75" s="560">
        <v>2</v>
      </c>
      <c r="BJ75" s="560">
        <v>40</v>
      </c>
      <c r="BK75" s="560">
        <v>0</v>
      </c>
      <c r="BL75" s="560" t="s">
        <v>1747</v>
      </c>
      <c r="BM75" s="560">
        <v>0.02</v>
      </c>
      <c r="BN75" s="560">
        <v>0</v>
      </c>
      <c r="BO75" s="560">
        <v>6</v>
      </c>
      <c r="BP75" s="560" t="s">
        <v>1747</v>
      </c>
      <c r="BQ75" s="560">
        <v>0.03</v>
      </c>
      <c r="BR75" s="560">
        <v>60</v>
      </c>
      <c r="BS75" s="560">
        <v>6</v>
      </c>
      <c r="BT75" s="560">
        <v>5000</v>
      </c>
      <c r="BU75" s="560">
        <v>40100</v>
      </c>
      <c r="BV75" s="560">
        <v>200</v>
      </c>
      <c r="BW75" s="560">
        <v>30.609376350000002</v>
      </c>
      <c r="BX75" s="560">
        <v>2788</v>
      </c>
      <c r="BY75" s="560">
        <v>17.543859650000002</v>
      </c>
      <c r="BZ75" s="560">
        <v>1800</v>
      </c>
      <c r="CA75" s="560">
        <v>37.664196859999997</v>
      </c>
      <c r="CB75" s="560">
        <v>0.85</v>
      </c>
      <c r="CC75" s="560">
        <v>187.5</v>
      </c>
      <c r="CD75" s="560">
        <v>187.5</v>
      </c>
      <c r="CE75" s="560">
        <v>187.5</v>
      </c>
      <c r="CF75" s="560">
        <v>187.5</v>
      </c>
      <c r="CG75" s="560">
        <v>0.29299999999999998</v>
      </c>
      <c r="CH75" s="560">
        <v>0.3</v>
      </c>
      <c r="CI75" s="560">
        <v>0.54</v>
      </c>
      <c r="CJ75" s="560">
        <v>40</v>
      </c>
      <c r="CK75" s="560">
        <v>5</v>
      </c>
      <c r="CL75" s="560">
        <v>4</v>
      </c>
      <c r="CM75" s="562">
        <v>1600</v>
      </c>
      <c r="CN75" s="562">
        <v>164</v>
      </c>
      <c r="CO75" s="562">
        <v>30.609376350000002</v>
      </c>
      <c r="CP75" s="562">
        <v>0</v>
      </c>
      <c r="CQ75" s="562">
        <v>0</v>
      </c>
      <c r="CR75" s="562" t="s">
        <v>1718</v>
      </c>
      <c r="CS75" s="562">
        <v>0</v>
      </c>
      <c r="CT75" s="562">
        <v>0</v>
      </c>
      <c r="CU75" s="562">
        <v>0.75</v>
      </c>
      <c r="CV75" s="562">
        <v>0.5</v>
      </c>
      <c r="CW75" s="562">
        <v>17.856999999999999</v>
      </c>
      <c r="CX75" s="562">
        <v>6.5</v>
      </c>
      <c r="CY75" s="562">
        <v>17.856999999999999</v>
      </c>
      <c r="CZ75" s="560">
        <v>4678.3333329999996</v>
      </c>
      <c r="DA75" s="560">
        <v>26.5625</v>
      </c>
      <c r="DB75" s="560" t="s">
        <v>1719</v>
      </c>
      <c r="DC75" s="560">
        <v>50</v>
      </c>
      <c r="DD75" s="560">
        <v>4</v>
      </c>
      <c r="DE75" s="560" t="s">
        <v>1720</v>
      </c>
      <c r="DF75" s="560">
        <v>5</v>
      </c>
      <c r="DG75" s="560">
        <v>0</v>
      </c>
      <c r="DH75" s="560">
        <v>4.5</v>
      </c>
      <c r="DI75" s="560">
        <v>4.5</v>
      </c>
      <c r="DJ75" s="560">
        <v>0</v>
      </c>
      <c r="DK75" s="560">
        <v>0</v>
      </c>
      <c r="DL75" s="560">
        <v>0</v>
      </c>
      <c r="DM75" s="560">
        <v>0</v>
      </c>
      <c r="DN75" s="560">
        <v>0</v>
      </c>
      <c r="DO75" s="560">
        <v>0</v>
      </c>
    </row>
    <row r="76" spans="1:119">
      <c r="A76" s="560" t="s">
        <v>1795</v>
      </c>
      <c r="B76" s="560" t="s">
        <v>1713</v>
      </c>
      <c r="C76" s="560" t="s">
        <v>794</v>
      </c>
      <c r="D76" s="560">
        <v>3</v>
      </c>
      <c r="E76" s="560">
        <v>831.96580400000005</v>
      </c>
      <c r="F76" s="560">
        <v>57.070695999999998</v>
      </c>
      <c r="G76" s="560">
        <v>7927.5</v>
      </c>
      <c r="H76" s="560">
        <v>139.9665</v>
      </c>
      <c r="I76" s="560">
        <v>0.90101900000000001</v>
      </c>
      <c r="J76" s="560">
        <v>0.35591099999999998</v>
      </c>
      <c r="K76" s="560">
        <v>0.37038100000000002</v>
      </c>
      <c r="L76" s="560">
        <v>0.60130300000000003</v>
      </c>
      <c r="M76" s="560">
        <v>37097.492738000001</v>
      </c>
      <c r="N76" s="560">
        <v>38428.696152999997</v>
      </c>
      <c r="O76" s="560">
        <v>18673.073844999999</v>
      </c>
      <c r="P76" s="560">
        <v>6807.2676520000005</v>
      </c>
      <c r="Q76" s="560">
        <v>857.31602699999996</v>
      </c>
      <c r="R76" s="560">
        <v>3346.1367009999999</v>
      </c>
      <c r="S76" s="560">
        <v>1603.0629630000001</v>
      </c>
      <c r="T76" s="560">
        <v>1970.5379359999999</v>
      </c>
      <c r="U76" s="560">
        <v>488.71812499999999</v>
      </c>
      <c r="V76" s="560">
        <v>67.418008</v>
      </c>
      <c r="W76" s="560">
        <v>14.069284</v>
      </c>
      <c r="X76" s="560">
        <v>0</v>
      </c>
      <c r="Y76" s="560">
        <v>37.668277000000003</v>
      </c>
      <c r="Z76" s="560">
        <v>147.020701</v>
      </c>
      <c r="AA76" s="560">
        <v>96492.049115999995</v>
      </c>
      <c r="AB76" s="560">
        <v>99379.217181999993</v>
      </c>
      <c r="AC76" s="560">
        <v>91344.908335999993</v>
      </c>
      <c r="AD76" s="560">
        <v>81491.636150000006</v>
      </c>
      <c r="AE76" s="560">
        <v>874.19090800000004</v>
      </c>
      <c r="AF76" s="560">
        <v>25832.307558</v>
      </c>
      <c r="AG76" s="560">
        <v>29078.399668999999</v>
      </c>
      <c r="AH76" s="560">
        <v>8291.8509020000001</v>
      </c>
      <c r="AI76" s="560">
        <v>0</v>
      </c>
      <c r="AJ76" s="560">
        <v>0</v>
      </c>
      <c r="AK76" s="560">
        <v>0</v>
      </c>
      <c r="AL76" s="560">
        <v>200.75</v>
      </c>
      <c r="AM76" s="560">
        <v>0</v>
      </c>
      <c r="AN76" s="560">
        <v>0</v>
      </c>
      <c r="AO76" s="560">
        <v>0</v>
      </c>
      <c r="AP76" s="560">
        <v>0</v>
      </c>
      <c r="AQ76" s="560" t="s">
        <v>1795</v>
      </c>
      <c r="AR76" s="560" t="s">
        <v>1738</v>
      </c>
      <c r="AS76" s="560">
        <v>0</v>
      </c>
      <c r="AT76" s="560">
        <v>0</v>
      </c>
      <c r="AU76" s="560">
        <v>0</v>
      </c>
      <c r="AV76" s="560">
        <v>69</v>
      </c>
      <c r="AW76" s="560">
        <v>64</v>
      </c>
      <c r="AX76" s="560">
        <v>74</v>
      </c>
      <c r="AY76" s="560">
        <v>78</v>
      </c>
      <c r="AZ76" s="560">
        <v>1</v>
      </c>
      <c r="BA76" s="560">
        <v>3099</v>
      </c>
      <c r="BB76" s="560">
        <v>0</v>
      </c>
      <c r="BC76" s="560">
        <v>0.5</v>
      </c>
      <c r="BD76" s="560">
        <v>0</v>
      </c>
      <c r="BE76" s="560" t="s">
        <v>1715</v>
      </c>
      <c r="BF76" s="560">
        <v>4</v>
      </c>
      <c r="BG76" s="560">
        <v>17.399999999999999</v>
      </c>
      <c r="BH76" s="560">
        <v>1</v>
      </c>
      <c r="BI76" s="560">
        <v>2</v>
      </c>
      <c r="BJ76" s="560">
        <v>40</v>
      </c>
      <c r="BK76" s="560">
        <v>0</v>
      </c>
      <c r="BL76" s="560" t="s">
        <v>1747</v>
      </c>
      <c r="BM76" s="560">
        <v>0.02</v>
      </c>
      <c r="BN76" s="560">
        <v>0</v>
      </c>
      <c r="BO76" s="560">
        <v>4.5</v>
      </c>
      <c r="BP76" s="560" t="s">
        <v>1747</v>
      </c>
      <c r="BQ76" s="560">
        <v>0.03</v>
      </c>
      <c r="BR76" s="560">
        <v>60</v>
      </c>
      <c r="BS76" s="560">
        <v>4.9000000000000004</v>
      </c>
      <c r="BT76" s="560">
        <v>5000</v>
      </c>
      <c r="BU76" s="560">
        <v>40100</v>
      </c>
      <c r="BV76" s="560">
        <v>200</v>
      </c>
      <c r="BW76" s="560">
        <v>26.8</v>
      </c>
      <c r="BX76" s="560">
        <v>2788</v>
      </c>
      <c r="BY76" s="560">
        <v>11.4</v>
      </c>
      <c r="BZ76" s="560">
        <v>1800</v>
      </c>
      <c r="CA76" s="560">
        <v>35</v>
      </c>
      <c r="CB76" s="560">
        <v>0.85</v>
      </c>
      <c r="CC76" s="560">
        <v>187.5</v>
      </c>
      <c r="CD76" s="560">
        <v>187.5</v>
      </c>
      <c r="CE76" s="560">
        <v>187.5</v>
      </c>
      <c r="CF76" s="560">
        <v>187.5</v>
      </c>
      <c r="CG76" s="560">
        <v>0.29299999999999998</v>
      </c>
      <c r="CH76" s="560">
        <v>0.3</v>
      </c>
      <c r="CI76" s="560">
        <v>0.54</v>
      </c>
      <c r="CJ76" s="560">
        <v>40</v>
      </c>
      <c r="CK76" s="560">
        <v>5</v>
      </c>
      <c r="CL76" s="560">
        <v>4</v>
      </c>
      <c r="CM76" s="562">
        <v>1600</v>
      </c>
      <c r="CN76" s="562">
        <v>164</v>
      </c>
      <c r="CO76" s="562">
        <v>26.8</v>
      </c>
      <c r="CP76" s="562">
        <v>0</v>
      </c>
      <c r="CQ76" s="562">
        <v>0</v>
      </c>
      <c r="CR76" s="562" t="s">
        <v>1718</v>
      </c>
      <c r="CS76" s="562">
        <v>0</v>
      </c>
      <c r="CT76" s="562">
        <v>0</v>
      </c>
      <c r="CU76" s="562">
        <v>0.75</v>
      </c>
      <c r="CV76" s="562">
        <v>0.5</v>
      </c>
      <c r="CW76" s="562">
        <v>17.856999999999999</v>
      </c>
      <c r="CX76" s="562">
        <v>6.5</v>
      </c>
      <c r="CY76" s="562">
        <v>17.856999999999999</v>
      </c>
      <c r="CZ76" s="560">
        <v>4678.3333329999996</v>
      </c>
      <c r="DA76" s="560">
        <v>26.5625</v>
      </c>
      <c r="DB76" s="560" t="s">
        <v>1719</v>
      </c>
      <c r="DC76" s="560">
        <v>50</v>
      </c>
      <c r="DD76" s="560">
        <v>4</v>
      </c>
      <c r="DE76" s="560" t="s">
        <v>1720</v>
      </c>
      <c r="DF76" s="560">
        <v>5</v>
      </c>
      <c r="DG76" s="560">
        <v>0</v>
      </c>
      <c r="DH76" s="560">
        <v>4.5</v>
      </c>
      <c r="DI76" s="560">
        <v>4.5</v>
      </c>
      <c r="DJ76" s="560">
        <v>0</v>
      </c>
      <c r="DK76" s="560">
        <v>0</v>
      </c>
      <c r="DL76" s="560">
        <v>0</v>
      </c>
      <c r="DM76" s="560">
        <v>0</v>
      </c>
      <c r="DN76" s="560">
        <v>0</v>
      </c>
      <c r="DO76" s="560">
        <v>0</v>
      </c>
    </row>
    <row r="77" spans="1:119">
      <c r="A77" s="560" t="s">
        <v>1796</v>
      </c>
      <c r="B77" s="560" t="s">
        <v>1713</v>
      </c>
      <c r="C77" s="560" t="s">
        <v>797</v>
      </c>
      <c r="D77" s="560">
        <v>3</v>
      </c>
      <c r="E77" s="560">
        <v>831.96580400000005</v>
      </c>
      <c r="F77" s="560">
        <v>57.070695999999998</v>
      </c>
      <c r="G77" s="560">
        <v>7927.5</v>
      </c>
      <c r="H77" s="560">
        <v>391.60199999999998</v>
      </c>
      <c r="I77" s="560">
        <v>0.90101900000000001</v>
      </c>
      <c r="J77" s="560">
        <v>0.35591099999999998</v>
      </c>
      <c r="K77" s="560">
        <v>0.37038100000000002</v>
      </c>
      <c r="L77" s="560">
        <v>0.60130300000000003</v>
      </c>
      <c r="M77" s="560">
        <v>37097.492738000001</v>
      </c>
      <c r="N77" s="560">
        <v>38428.696152999997</v>
      </c>
      <c r="O77" s="560">
        <v>18673.073844999999</v>
      </c>
      <c r="P77" s="560">
        <v>6807.2676520000005</v>
      </c>
      <c r="Q77" s="560">
        <v>857.31602699999996</v>
      </c>
      <c r="R77" s="560">
        <v>3346.1367009999999</v>
      </c>
      <c r="S77" s="560">
        <v>3332.2907620000001</v>
      </c>
      <c r="T77" s="560">
        <v>3854.941437</v>
      </c>
      <c r="U77" s="560">
        <v>1026.353357</v>
      </c>
      <c r="V77" s="560">
        <v>82.821548000000007</v>
      </c>
      <c r="W77" s="560">
        <v>8.4636600000000008</v>
      </c>
      <c r="X77" s="560">
        <v>0</v>
      </c>
      <c r="Y77" s="560">
        <v>76.297143000000005</v>
      </c>
      <c r="Z77" s="560">
        <v>297.79061999999999</v>
      </c>
      <c r="AA77" s="560">
        <v>96492.049115999995</v>
      </c>
      <c r="AB77" s="560">
        <v>99379.217181999993</v>
      </c>
      <c r="AC77" s="560">
        <v>91344.908335999993</v>
      </c>
      <c r="AD77" s="560">
        <v>81491.636150000006</v>
      </c>
      <c r="AE77" s="560">
        <v>874.19090800000004</v>
      </c>
      <c r="AF77" s="560">
        <v>34403.076684</v>
      </c>
      <c r="AG77" s="560">
        <v>38742.362859000001</v>
      </c>
      <c r="AH77" s="560">
        <v>12187.528851999999</v>
      </c>
      <c r="AI77" s="560">
        <v>0</v>
      </c>
      <c r="AJ77" s="560">
        <v>0</v>
      </c>
      <c r="AK77" s="560">
        <v>0</v>
      </c>
      <c r="AL77" s="560">
        <v>200.75</v>
      </c>
      <c r="AM77" s="560">
        <v>0</v>
      </c>
      <c r="AN77" s="560">
        <v>0</v>
      </c>
      <c r="AO77" s="560">
        <v>0</v>
      </c>
      <c r="AP77" s="560">
        <v>0</v>
      </c>
      <c r="AQ77" s="560" t="s">
        <v>1796</v>
      </c>
      <c r="AR77" s="560" t="s">
        <v>1740</v>
      </c>
      <c r="AS77" s="560">
        <v>0</v>
      </c>
      <c r="AT77" s="560">
        <v>0</v>
      </c>
      <c r="AU77" s="560">
        <v>0</v>
      </c>
      <c r="AV77" s="560">
        <v>69</v>
      </c>
      <c r="AW77" s="560">
        <v>64</v>
      </c>
      <c r="AX77" s="560">
        <v>74</v>
      </c>
      <c r="AY77" s="560">
        <v>78</v>
      </c>
      <c r="AZ77" s="560">
        <v>1</v>
      </c>
      <c r="BA77" s="560">
        <v>3099</v>
      </c>
      <c r="BB77" s="560">
        <v>0</v>
      </c>
      <c r="BC77" s="560">
        <v>0.5</v>
      </c>
      <c r="BD77" s="560">
        <v>0</v>
      </c>
      <c r="BE77" s="560" t="s">
        <v>1715</v>
      </c>
      <c r="BF77" s="560">
        <v>4</v>
      </c>
      <c r="BG77" s="560">
        <v>17.399999999999999</v>
      </c>
      <c r="BH77" s="560">
        <v>1</v>
      </c>
      <c r="BI77" s="560">
        <v>2</v>
      </c>
      <c r="BJ77" s="560">
        <v>40</v>
      </c>
      <c r="BK77" s="560">
        <v>0</v>
      </c>
      <c r="BL77" s="560" t="s">
        <v>1747</v>
      </c>
      <c r="BM77" s="560">
        <v>0.02</v>
      </c>
      <c r="BN77" s="560">
        <v>0</v>
      </c>
      <c r="BO77" s="560">
        <v>4.5</v>
      </c>
      <c r="BP77" s="560" t="s">
        <v>1747</v>
      </c>
      <c r="BQ77" s="560">
        <v>0.03</v>
      </c>
      <c r="BR77" s="560">
        <v>60</v>
      </c>
      <c r="BS77" s="560">
        <v>4.9000000000000004</v>
      </c>
      <c r="BT77" s="560">
        <v>5000</v>
      </c>
      <c r="BU77" s="560">
        <v>40100</v>
      </c>
      <c r="BV77" s="560">
        <v>200</v>
      </c>
      <c r="BW77" s="560">
        <v>26.8</v>
      </c>
      <c r="BX77" s="560">
        <v>2788</v>
      </c>
      <c r="BY77" s="560">
        <v>11.4</v>
      </c>
      <c r="BZ77" s="560">
        <v>1800</v>
      </c>
      <c r="CA77" s="560">
        <v>35</v>
      </c>
      <c r="CB77" s="560">
        <v>0.85</v>
      </c>
      <c r="CC77" s="560">
        <v>187.5</v>
      </c>
      <c r="CD77" s="560">
        <v>187.5</v>
      </c>
      <c r="CE77" s="560">
        <v>187.5</v>
      </c>
      <c r="CF77" s="560">
        <v>187.5</v>
      </c>
      <c r="CG77" s="560">
        <v>0.29299999999999998</v>
      </c>
      <c r="CH77" s="560">
        <v>0.3</v>
      </c>
      <c r="CI77" s="560">
        <v>0.54</v>
      </c>
      <c r="CJ77" s="560">
        <v>40</v>
      </c>
      <c r="CK77" s="560">
        <v>5</v>
      </c>
      <c r="CL77" s="560">
        <v>4</v>
      </c>
      <c r="CM77" s="562">
        <v>1600</v>
      </c>
      <c r="CN77" s="562">
        <v>164</v>
      </c>
      <c r="CO77" s="562">
        <v>26.8</v>
      </c>
      <c r="CP77" s="562">
        <v>0</v>
      </c>
      <c r="CQ77" s="562">
        <v>0</v>
      </c>
      <c r="CR77" s="562" t="s">
        <v>1718</v>
      </c>
      <c r="CS77" s="562">
        <v>0</v>
      </c>
      <c r="CT77" s="562">
        <v>0</v>
      </c>
      <c r="CU77" s="562">
        <v>0.75</v>
      </c>
      <c r="CV77" s="562">
        <v>0.5</v>
      </c>
      <c r="CW77" s="562">
        <v>17.856999999999999</v>
      </c>
      <c r="CX77" s="562">
        <v>6.5</v>
      </c>
      <c r="CY77" s="562">
        <v>17.856999999999999</v>
      </c>
      <c r="CZ77" s="560">
        <v>4678.3333329999996</v>
      </c>
      <c r="DA77" s="560">
        <v>26.5625</v>
      </c>
      <c r="DB77" s="560" t="s">
        <v>1719</v>
      </c>
      <c r="DC77" s="560">
        <v>50</v>
      </c>
      <c r="DD77" s="560">
        <v>4</v>
      </c>
      <c r="DE77" s="560" t="s">
        <v>1720</v>
      </c>
      <c r="DF77" s="560">
        <v>5</v>
      </c>
      <c r="DG77" s="560">
        <v>0</v>
      </c>
      <c r="DH77" s="560">
        <v>4.5</v>
      </c>
      <c r="DI77" s="560">
        <v>4.5</v>
      </c>
      <c r="DJ77" s="560">
        <v>0</v>
      </c>
      <c r="DK77" s="560">
        <v>0</v>
      </c>
      <c r="DL77" s="560">
        <v>0</v>
      </c>
      <c r="DM77" s="560">
        <v>0</v>
      </c>
      <c r="DN77" s="560">
        <v>0</v>
      </c>
      <c r="DO77" s="560">
        <v>0</v>
      </c>
    </row>
    <row r="78" spans="1:119">
      <c r="A78" s="560" t="s">
        <v>1797</v>
      </c>
      <c r="B78" s="560" t="s">
        <v>1713</v>
      </c>
      <c r="C78" s="560" t="s">
        <v>800</v>
      </c>
      <c r="D78" s="560">
        <v>3</v>
      </c>
      <c r="E78" s="560">
        <v>831.96580400000005</v>
      </c>
      <c r="F78" s="560">
        <v>57.070695999999998</v>
      </c>
      <c r="G78" s="560">
        <v>7927.5</v>
      </c>
      <c r="H78" s="560">
        <v>755.94</v>
      </c>
      <c r="I78" s="560">
        <v>0.90101900000000001</v>
      </c>
      <c r="J78" s="560">
        <v>0.35591099999999998</v>
      </c>
      <c r="K78" s="560">
        <v>0.37038100000000002</v>
      </c>
      <c r="L78" s="560">
        <v>0.60130300000000003</v>
      </c>
      <c r="M78" s="560">
        <v>37097.492738000001</v>
      </c>
      <c r="N78" s="560">
        <v>38428.696152999997</v>
      </c>
      <c r="O78" s="560">
        <v>18673.073844999999</v>
      </c>
      <c r="P78" s="560">
        <v>6807.2676520000005</v>
      </c>
      <c r="Q78" s="560">
        <v>857.31602699999996</v>
      </c>
      <c r="R78" s="560">
        <v>3346.1367009999999</v>
      </c>
      <c r="S78" s="560">
        <v>5639.6029660000004</v>
      </c>
      <c r="T78" s="560">
        <v>6240.7357510000002</v>
      </c>
      <c r="U78" s="560">
        <v>1768.316364</v>
      </c>
      <c r="V78" s="560">
        <v>67.298145000000005</v>
      </c>
      <c r="W78" s="560">
        <v>3.8057750000000001</v>
      </c>
      <c r="X78" s="560">
        <v>0</v>
      </c>
      <c r="Y78" s="560">
        <v>127.731776</v>
      </c>
      <c r="Z78" s="560">
        <v>498.54192599999999</v>
      </c>
      <c r="AA78" s="560">
        <v>96492.049115999995</v>
      </c>
      <c r="AB78" s="560">
        <v>99379.217181999993</v>
      </c>
      <c r="AC78" s="560">
        <v>91344.908335999993</v>
      </c>
      <c r="AD78" s="560">
        <v>81491.636150000006</v>
      </c>
      <c r="AE78" s="560">
        <v>874.19090800000004</v>
      </c>
      <c r="AF78" s="560">
        <v>37685.926081999998</v>
      </c>
      <c r="AG78" s="560">
        <v>40810.674899999998</v>
      </c>
      <c r="AH78" s="560">
        <v>13126.853408999999</v>
      </c>
      <c r="AI78" s="560">
        <v>0</v>
      </c>
      <c r="AJ78" s="560">
        <v>0</v>
      </c>
      <c r="AK78" s="560">
        <v>0</v>
      </c>
      <c r="AL78" s="560">
        <v>200.75</v>
      </c>
      <c r="AM78" s="560">
        <v>0</v>
      </c>
      <c r="AN78" s="560">
        <v>0</v>
      </c>
      <c r="AO78" s="560">
        <v>0</v>
      </c>
      <c r="AP78" s="560">
        <v>0</v>
      </c>
      <c r="AQ78" s="560" t="s">
        <v>1797</v>
      </c>
      <c r="AR78" s="560" t="s">
        <v>1742</v>
      </c>
      <c r="AS78" s="560">
        <v>0</v>
      </c>
      <c r="AT78" s="560">
        <v>0</v>
      </c>
      <c r="AU78" s="560">
        <v>0</v>
      </c>
      <c r="AV78" s="560">
        <v>69</v>
      </c>
      <c r="AW78" s="560">
        <v>64</v>
      </c>
      <c r="AX78" s="560">
        <v>74</v>
      </c>
      <c r="AY78" s="560">
        <v>78</v>
      </c>
      <c r="AZ78" s="560">
        <v>1</v>
      </c>
      <c r="BA78" s="560">
        <v>3099</v>
      </c>
      <c r="BB78" s="560">
        <v>0</v>
      </c>
      <c r="BC78" s="560">
        <v>0.5</v>
      </c>
      <c r="BD78" s="560">
        <v>0</v>
      </c>
      <c r="BE78" s="560" t="s">
        <v>1715</v>
      </c>
      <c r="BF78" s="560">
        <v>4</v>
      </c>
      <c r="BG78" s="560">
        <v>17.399999999999999</v>
      </c>
      <c r="BH78" s="560">
        <v>1</v>
      </c>
      <c r="BI78" s="560">
        <v>2</v>
      </c>
      <c r="BJ78" s="560">
        <v>40</v>
      </c>
      <c r="BK78" s="560">
        <v>0</v>
      </c>
      <c r="BL78" s="560" t="s">
        <v>1747</v>
      </c>
      <c r="BM78" s="560">
        <v>0.02</v>
      </c>
      <c r="BN78" s="560">
        <v>0</v>
      </c>
      <c r="BO78" s="560">
        <v>4.5</v>
      </c>
      <c r="BP78" s="560" t="s">
        <v>1747</v>
      </c>
      <c r="BQ78" s="560">
        <v>0.03</v>
      </c>
      <c r="BR78" s="560">
        <v>60</v>
      </c>
      <c r="BS78" s="560">
        <v>4.9000000000000004</v>
      </c>
      <c r="BT78" s="560">
        <v>5000</v>
      </c>
      <c r="BU78" s="560">
        <v>40100</v>
      </c>
      <c r="BV78" s="560">
        <v>200</v>
      </c>
      <c r="BW78" s="560">
        <v>26.8</v>
      </c>
      <c r="BX78" s="560">
        <v>2788</v>
      </c>
      <c r="BY78" s="560">
        <v>11.4</v>
      </c>
      <c r="BZ78" s="560">
        <v>1800</v>
      </c>
      <c r="CA78" s="560">
        <v>35</v>
      </c>
      <c r="CB78" s="560">
        <v>0.85</v>
      </c>
      <c r="CC78" s="560">
        <v>187.5</v>
      </c>
      <c r="CD78" s="560">
        <v>187.5</v>
      </c>
      <c r="CE78" s="560">
        <v>187.5</v>
      </c>
      <c r="CF78" s="560">
        <v>187.5</v>
      </c>
      <c r="CG78" s="560">
        <v>0.29299999999999998</v>
      </c>
      <c r="CH78" s="560">
        <v>0.3</v>
      </c>
      <c r="CI78" s="560">
        <v>0.54</v>
      </c>
      <c r="CJ78" s="560">
        <v>40</v>
      </c>
      <c r="CK78" s="560">
        <v>5</v>
      </c>
      <c r="CL78" s="560">
        <v>4</v>
      </c>
      <c r="CM78" s="562">
        <v>1600</v>
      </c>
      <c r="CN78" s="562">
        <v>164</v>
      </c>
      <c r="CO78" s="562">
        <v>26.8</v>
      </c>
      <c r="CP78" s="562">
        <v>0</v>
      </c>
      <c r="CQ78" s="562">
        <v>0</v>
      </c>
      <c r="CR78" s="562" t="s">
        <v>1718</v>
      </c>
      <c r="CS78" s="562">
        <v>0</v>
      </c>
      <c r="CT78" s="562">
        <v>0</v>
      </c>
      <c r="CU78" s="562">
        <v>0.75</v>
      </c>
      <c r="CV78" s="562">
        <v>0.5</v>
      </c>
      <c r="CW78" s="562">
        <v>17.856999999999999</v>
      </c>
      <c r="CX78" s="562">
        <v>6.5</v>
      </c>
      <c r="CY78" s="562">
        <v>17.856999999999999</v>
      </c>
      <c r="CZ78" s="560">
        <v>4678.3333329999996</v>
      </c>
      <c r="DA78" s="560">
        <v>26.5625</v>
      </c>
      <c r="DB78" s="560" t="s">
        <v>1719</v>
      </c>
      <c r="DC78" s="560">
        <v>50</v>
      </c>
      <c r="DD78" s="560">
        <v>4</v>
      </c>
      <c r="DE78" s="560" t="s">
        <v>1720</v>
      </c>
      <c r="DF78" s="560">
        <v>5</v>
      </c>
      <c r="DG78" s="560">
        <v>0</v>
      </c>
      <c r="DH78" s="560">
        <v>4.5</v>
      </c>
      <c r="DI78" s="560">
        <v>4.5</v>
      </c>
      <c r="DJ78" s="560">
        <v>0</v>
      </c>
      <c r="DK78" s="560">
        <v>0</v>
      </c>
      <c r="DL78" s="560">
        <v>0</v>
      </c>
      <c r="DM78" s="560">
        <v>0</v>
      </c>
      <c r="DN78" s="560">
        <v>0</v>
      </c>
      <c r="DO78" s="560">
        <v>0</v>
      </c>
    </row>
    <row r="79" spans="1:119">
      <c r="A79" s="560" t="s">
        <v>763</v>
      </c>
      <c r="B79" s="560" t="s">
        <v>1713</v>
      </c>
      <c r="C79" s="560" t="s">
        <v>764</v>
      </c>
      <c r="D79" s="560">
        <v>3</v>
      </c>
      <c r="E79" s="560">
        <v>338.485769</v>
      </c>
      <c r="F79" s="560">
        <v>58.015937999999998</v>
      </c>
      <c r="G79" s="560">
        <v>4974.4274999999998</v>
      </c>
      <c r="H79" s="560">
        <v>139.9665</v>
      </c>
      <c r="I79" s="560">
        <v>0.968943</v>
      </c>
      <c r="J79" s="560">
        <v>0.26207599999999998</v>
      </c>
      <c r="K79" s="560">
        <v>0.27835199999999999</v>
      </c>
      <c r="L79" s="560">
        <v>0.381546</v>
      </c>
      <c r="M79" s="560">
        <v>7167.7657369999997</v>
      </c>
      <c r="N79" s="560">
        <v>7982.026081</v>
      </c>
      <c r="O79" s="560">
        <v>2225.1096010000001</v>
      </c>
      <c r="P79" s="560">
        <v>39.225560000000002</v>
      </c>
      <c r="Q79" s="560">
        <v>193.408581</v>
      </c>
      <c r="R79" s="560">
        <v>1268.200024</v>
      </c>
      <c r="S79" s="560">
        <v>985.15628900000002</v>
      </c>
      <c r="T79" s="560">
        <v>1229.0025949999999</v>
      </c>
      <c r="U79" s="560">
        <v>290.60138899999998</v>
      </c>
      <c r="V79" s="560">
        <v>40.897928999999998</v>
      </c>
      <c r="W79" s="560">
        <v>14.201001</v>
      </c>
      <c r="X79" s="560">
        <v>0</v>
      </c>
      <c r="Y79" s="560">
        <v>28.521100000000001</v>
      </c>
      <c r="Z79" s="560">
        <v>187.01579899999999</v>
      </c>
      <c r="AA79" s="560">
        <v>26052.872303</v>
      </c>
      <c r="AB79" s="560">
        <v>29181.033576999998</v>
      </c>
      <c r="AC79" s="560">
        <v>15135.643096</v>
      </c>
      <c r="AD79" s="560">
        <v>9902.4009860000006</v>
      </c>
      <c r="AE79" s="560">
        <v>520.35173099999997</v>
      </c>
      <c r="AF79" s="560">
        <v>10317.073550999999</v>
      </c>
      <c r="AG79" s="560">
        <v>11765.566656000001</v>
      </c>
      <c r="AH79" s="560">
        <v>2905.0039240000001</v>
      </c>
      <c r="AI79" s="560">
        <v>0</v>
      </c>
      <c r="AJ79" s="560">
        <v>460.68825299999997</v>
      </c>
      <c r="AK79" s="560">
        <v>0</v>
      </c>
      <c r="AL79" s="560">
        <v>200.75</v>
      </c>
      <c r="AM79" s="560">
        <v>0</v>
      </c>
      <c r="AN79" s="560">
        <v>0</v>
      </c>
      <c r="AO79" s="560">
        <v>0</v>
      </c>
      <c r="AP79" s="560">
        <v>0</v>
      </c>
      <c r="AQ79" s="560" t="s">
        <v>763</v>
      </c>
      <c r="AR79" s="560" t="s">
        <v>1714</v>
      </c>
      <c r="AS79" s="560">
        <v>0</v>
      </c>
      <c r="AT79" s="560">
        <v>0</v>
      </c>
      <c r="AU79" s="560">
        <v>0</v>
      </c>
      <c r="AV79" s="560">
        <v>69</v>
      </c>
      <c r="AW79" s="560">
        <v>64</v>
      </c>
      <c r="AX79" s="560">
        <v>74</v>
      </c>
      <c r="AY79" s="560">
        <v>78</v>
      </c>
      <c r="AZ79" s="560">
        <v>1</v>
      </c>
      <c r="BA79" s="560">
        <v>2085</v>
      </c>
      <c r="BB79" s="560">
        <v>0</v>
      </c>
      <c r="BC79" s="560">
        <v>0.5</v>
      </c>
      <c r="BD79" s="560">
        <v>0</v>
      </c>
      <c r="BE79" s="560" t="s">
        <v>1798</v>
      </c>
      <c r="BF79" s="560">
        <v>2</v>
      </c>
      <c r="BG79" s="560">
        <v>13</v>
      </c>
      <c r="BH79" s="560">
        <v>1</v>
      </c>
      <c r="BI79" s="560">
        <v>2</v>
      </c>
      <c r="BJ79" s="560">
        <v>35</v>
      </c>
      <c r="BK79" s="560">
        <v>0</v>
      </c>
      <c r="BL79" s="560" t="s">
        <v>1716</v>
      </c>
      <c r="BM79" s="560">
        <v>0.05</v>
      </c>
      <c r="BN79" s="560">
        <v>200</v>
      </c>
      <c r="BO79" s="560">
        <v>20</v>
      </c>
      <c r="BP79" s="560" t="s">
        <v>1717</v>
      </c>
      <c r="BQ79" s="560">
        <v>0</v>
      </c>
      <c r="BR79" s="560">
        <v>0</v>
      </c>
      <c r="BS79" s="560">
        <v>555</v>
      </c>
      <c r="BT79" s="560">
        <v>1568</v>
      </c>
      <c r="BU79" s="560">
        <v>12544</v>
      </c>
      <c r="BV79" s="560">
        <v>0</v>
      </c>
      <c r="BW79" s="560">
        <v>0</v>
      </c>
      <c r="BX79" s="560">
        <v>1344</v>
      </c>
      <c r="BY79" s="560">
        <v>12.82</v>
      </c>
      <c r="BZ79" s="560">
        <v>1568</v>
      </c>
      <c r="CA79" s="560">
        <v>26.5</v>
      </c>
      <c r="CB79" s="560">
        <v>0.85</v>
      </c>
      <c r="CC79" s="560">
        <v>49</v>
      </c>
      <c r="CD79" s="560">
        <v>49</v>
      </c>
      <c r="CE79" s="560">
        <v>49</v>
      </c>
      <c r="CF79" s="560">
        <v>49</v>
      </c>
      <c r="CG79" s="560">
        <v>0.29299999999999998</v>
      </c>
      <c r="CH79" s="560">
        <v>0.3</v>
      </c>
      <c r="CI79" s="560">
        <v>0.54</v>
      </c>
      <c r="CJ79" s="560">
        <v>40</v>
      </c>
      <c r="CK79" s="560">
        <v>5</v>
      </c>
      <c r="CL79" s="560">
        <v>1</v>
      </c>
      <c r="CM79" s="562">
        <v>1568</v>
      </c>
      <c r="CN79" s="562">
        <v>168</v>
      </c>
      <c r="CO79" s="562">
        <v>20.45</v>
      </c>
      <c r="CP79" s="562">
        <v>0</v>
      </c>
      <c r="CQ79" s="562">
        <v>0</v>
      </c>
      <c r="CR79" s="562" t="s">
        <v>1718</v>
      </c>
      <c r="CS79" s="562">
        <v>0</v>
      </c>
      <c r="CT79" s="562">
        <v>0</v>
      </c>
      <c r="CU79" s="562">
        <v>0.75</v>
      </c>
      <c r="CV79" s="562">
        <v>2</v>
      </c>
      <c r="CW79" s="562">
        <v>1.75</v>
      </c>
      <c r="CX79" s="562">
        <v>1</v>
      </c>
      <c r="CY79" s="562">
        <v>0.65</v>
      </c>
      <c r="CZ79" s="560">
        <v>1463.4666669999999</v>
      </c>
      <c r="DA79" s="560">
        <v>8.5</v>
      </c>
      <c r="DB79" s="560" t="s">
        <v>1719</v>
      </c>
      <c r="DC79" s="560">
        <v>50</v>
      </c>
      <c r="DD79" s="560">
        <v>4</v>
      </c>
      <c r="DE79" s="560" t="s">
        <v>1720</v>
      </c>
      <c r="DF79" s="560">
        <v>5</v>
      </c>
      <c r="DG79" s="560">
        <v>0</v>
      </c>
      <c r="DH79" s="560">
        <v>4.5</v>
      </c>
      <c r="DI79" s="560">
        <v>4.5</v>
      </c>
      <c r="DJ79" s="560">
        <v>0</v>
      </c>
      <c r="DK79" s="560">
        <v>0</v>
      </c>
      <c r="DL79" s="560">
        <v>0</v>
      </c>
      <c r="DM79" s="560">
        <v>0</v>
      </c>
      <c r="DN79" s="560">
        <v>0</v>
      </c>
      <c r="DO79" s="560">
        <v>0</v>
      </c>
    </row>
    <row r="80" spans="1:119">
      <c r="A80" s="560" t="s">
        <v>766</v>
      </c>
      <c r="B80" s="560" t="s">
        <v>1713</v>
      </c>
      <c r="C80" s="560" t="s">
        <v>767</v>
      </c>
      <c r="D80" s="560">
        <v>3</v>
      </c>
      <c r="E80" s="560">
        <v>338.485769</v>
      </c>
      <c r="F80" s="560">
        <v>58.015937999999998</v>
      </c>
      <c r="G80" s="560">
        <v>4974.4274999999998</v>
      </c>
      <c r="H80" s="560">
        <v>391.60199999999998</v>
      </c>
      <c r="I80" s="560">
        <v>0.968943</v>
      </c>
      <c r="J80" s="560">
        <v>0.26207599999999998</v>
      </c>
      <c r="K80" s="560">
        <v>0.27835199999999999</v>
      </c>
      <c r="L80" s="560">
        <v>0.381546</v>
      </c>
      <c r="M80" s="560">
        <v>7167.7657369999997</v>
      </c>
      <c r="N80" s="560">
        <v>7982.026081</v>
      </c>
      <c r="O80" s="560">
        <v>2225.1096010000001</v>
      </c>
      <c r="P80" s="560">
        <v>39.225560000000002</v>
      </c>
      <c r="Q80" s="560">
        <v>193.408581</v>
      </c>
      <c r="R80" s="560">
        <v>1268.200024</v>
      </c>
      <c r="S80" s="560">
        <v>1787.4699639999999</v>
      </c>
      <c r="T80" s="560">
        <v>2099.8190559999998</v>
      </c>
      <c r="U80" s="560">
        <v>495.07978000000003</v>
      </c>
      <c r="V80" s="560">
        <v>40.390009999999997</v>
      </c>
      <c r="W80" s="560">
        <v>8.3333940000000002</v>
      </c>
      <c r="X80" s="560">
        <v>0</v>
      </c>
      <c r="Y80" s="560">
        <v>49.309392000000003</v>
      </c>
      <c r="Z80" s="560">
        <v>323.326774</v>
      </c>
      <c r="AA80" s="560">
        <v>26052.872303</v>
      </c>
      <c r="AB80" s="560">
        <v>29181.033576999998</v>
      </c>
      <c r="AC80" s="560">
        <v>15135.643096</v>
      </c>
      <c r="AD80" s="560">
        <v>9902.4009860000006</v>
      </c>
      <c r="AE80" s="560">
        <v>520.35173099999997</v>
      </c>
      <c r="AF80" s="560">
        <v>13228.101339999999</v>
      </c>
      <c r="AG80" s="560">
        <v>15610.107878000001</v>
      </c>
      <c r="AH80" s="560">
        <v>3648.1287630000002</v>
      </c>
      <c r="AI80" s="560">
        <v>0</v>
      </c>
      <c r="AJ80" s="560">
        <v>460.68825299999997</v>
      </c>
      <c r="AK80" s="560">
        <v>0</v>
      </c>
      <c r="AL80" s="560">
        <v>200.75</v>
      </c>
      <c r="AM80" s="560">
        <v>0</v>
      </c>
      <c r="AN80" s="560">
        <v>0</v>
      </c>
      <c r="AO80" s="560">
        <v>0</v>
      </c>
      <c r="AP80" s="560">
        <v>0</v>
      </c>
      <c r="AQ80" s="560" t="s">
        <v>766</v>
      </c>
      <c r="AR80" s="560" t="s">
        <v>1722</v>
      </c>
      <c r="AS80" s="560">
        <v>0</v>
      </c>
      <c r="AT80" s="560">
        <v>0</v>
      </c>
      <c r="AU80" s="560">
        <v>0</v>
      </c>
      <c r="AV80" s="560">
        <v>69</v>
      </c>
      <c r="AW80" s="560">
        <v>64</v>
      </c>
      <c r="AX80" s="560">
        <v>74</v>
      </c>
      <c r="AY80" s="560">
        <v>78</v>
      </c>
      <c r="AZ80" s="560">
        <v>1</v>
      </c>
      <c r="BA80" s="560">
        <v>2085</v>
      </c>
      <c r="BB80" s="560">
        <v>0</v>
      </c>
      <c r="BC80" s="560">
        <v>0.5</v>
      </c>
      <c r="BD80" s="560">
        <v>0</v>
      </c>
      <c r="BE80" s="560" t="s">
        <v>1798</v>
      </c>
      <c r="BF80" s="560">
        <v>2</v>
      </c>
      <c r="BG80" s="560">
        <v>13</v>
      </c>
      <c r="BH80" s="560">
        <v>1</v>
      </c>
      <c r="BI80" s="560">
        <v>2</v>
      </c>
      <c r="BJ80" s="560">
        <v>35</v>
      </c>
      <c r="BK80" s="560">
        <v>0</v>
      </c>
      <c r="BL80" s="560" t="s">
        <v>1716</v>
      </c>
      <c r="BM80" s="560">
        <v>0.05</v>
      </c>
      <c r="BN80" s="560">
        <v>200</v>
      </c>
      <c r="BO80" s="560">
        <v>20</v>
      </c>
      <c r="BP80" s="560" t="s">
        <v>1717</v>
      </c>
      <c r="BQ80" s="560">
        <v>0</v>
      </c>
      <c r="BR80" s="560">
        <v>0</v>
      </c>
      <c r="BS80" s="560">
        <v>555</v>
      </c>
      <c r="BT80" s="560">
        <v>1568</v>
      </c>
      <c r="BU80" s="560">
        <v>12544</v>
      </c>
      <c r="BV80" s="560">
        <v>0</v>
      </c>
      <c r="BW80" s="560">
        <v>0</v>
      </c>
      <c r="BX80" s="560">
        <v>1344</v>
      </c>
      <c r="BY80" s="560">
        <v>12.82</v>
      </c>
      <c r="BZ80" s="560">
        <v>1568</v>
      </c>
      <c r="CA80" s="560">
        <v>26.5</v>
      </c>
      <c r="CB80" s="560">
        <v>0.85</v>
      </c>
      <c r="CC80" s="560">
        <v>49</v>
      </c>
      <c r="CD80" s="560">
        <v>49</v>
      </c>
      <c r="CE80" s="560">
        <v>49</v>
      </c>
      <c r="CF80" s="560">
        <v>49</v>
      </c>
      <c r="CG80" s="560">
        <v>0.29299999999999998</v>
      </c>
      <c r="CH80" s="560">
        <v>0.3</v>
      </c>
      <c r="CI80" s="560">
        <v>0.54</v>
      </c>
      <c r="CJ80" s="560">
        <v>40</v>
      </c>
      <c r="CK80" s="560">
        <v>5</v>
      </c>
      <c r="CL80" s="560">
        <v>1</v>
      </c>
      <c r="CM80" s="562">
        <v>1568</v>
      </c>
      <c r="CN80" s="562">
        <v>168</v>
      </c>
      <c r="CO80" s="562">
        <v>20.45</v>
      </c>
      <c r="CP80" s="562">
        <v>0</v>
      </c>
      <c r="CQ80" s="562">
        <v>0</v>
      </c>
      <c r="CR80" s="562" t="s">
        <v>1718</v>
      </c>
      <c r="CS80" s="562">
        <v>0</v>
      </c>
      <c r="CT80" s="562">
        <v>0</v>
      </c>
      <c r="CU80" s="562">
        <v>0.75</v>
      </c>
      <c r="CV80" s="562">
        <v>2</v>
      </c>
      <c r="CW80" s="562">
        <v>1.75</v>
      </c>
      <c r="CX80" s="562">
        <v>1</v>
      </c>
      <c r="CY80" s="562">
        <v>0.65</v>
      </c>
      <c r="CZ80" s="560">
        <v>1463.4666669999999</v>
      </c>
      <c r="DA80" s="560">
        <v>8.5</v>
      </c>
      <c r="DB80" s="560" t="s">
        <v>1719</v>
      </c>
      <c r="DC80" s="560">
        <v>50</v>
      </c>
      <c r="DD80" s="560">
        <v>4</v>
      </c>
      <c r="DE80" s="560" t="s">
        <v>1720</v>
      </c>
      <c r="DF80" s="560">
        <v>5</v>
      </c>
      <c r="DG80" s="560">
        <v>0</v>
      </c>
      <c r="DH80" s="560">
        <v>4.5</v>
      </c>
      <c r="DI80" s="560">
        <v>4.5</v>
      </c>
      <c r="DJ80" s="560">
        <v>0</v>
      </c>
      <c r="DK80" s="560">
        <v>0</v>
      </c>
      <c r="DL80" s="560">
        <v>0</v>
      </c>
      <c r="DM80" s="560">
        <v>0</v>
      </c>
      <c r="DN80" s="560">
        <v>0</v>
      </c>
      <c r="DO80" s="560">
        <v>0</v>
      </c>
    </row>
    <row r="81" spans="1:119">
      <c r="A81" s="560" t="s">
        <v>769</v>
      </c>
      <c r="B81" s="560" t="s">
        <v>1713</v>
      </c>
      <c r="C81" s="560" t="s">
        <v>770</v>
      </c>
      <c r="D81" s="560">
        <v>3</v>
      </c>
      <c r="E81" s="560">
        <v>338.485769</v>
      </c>
      <c r="F81" s="560">
        <v>58.015937999999998</v>
      </c>
      <c r="G81" s="560">
        <v>4974.4274999999998</v>
      </c>
      <c r="H81" s="560">
        <v>755.94</v>
      </c>
      <c r="I81" s="560">
        <v>0.968943</v>
      </c>
      <c r="J81" s="560">
        <v>0.26207599999999998</v>
      </c>
      <c r="K81" s="560">
        <v>0.27835199999999999</v>
      </c>
      <c r="L81" s="560">
        <v>0.381546</v>
      </c>
      <c r="M81" s="560">
        <v>7167.7657369999997</v>
      </c>
      <c r="N81" s="560">
        <v>7982.026081</v>
      </c>
      <c r="O81" s="560">
        <v>2225.1096010000001</v>
      </c>
      <c r="P81" s="560">
        <v>39.225560000000002</v>
      </c>
      <c r="Q81" s="560">
        <v>193.408581</v>
      </c>
      <c r="R81" s="560">
        <v>1268.200024</v>
      </c>
      <c r="S81" s="560">
        <v>2780.6727470000001</v>
      </c>
      <c r="T81" s="560">
        <v>3129.4627439999999</v>
      </c>
      <c r="U81" s="560">
        <v>735.715868</v>
      </c>
      <c r="V81" s="560">
        <v>27.044108999999999</v>
      </c>
      <c r="W81" s="560">
        <v>3.6758899999999999</v>
      </c>
      <c r="X81" s="560">
        <v>0</v>
      </c>
      <c r="Y81" s="560">
        <v>74.248819999999995</v>
      </c>
      <c r="Z81" s="560">
        <v>486.85717199999999</v>
      </c>
      <c r="AA81" s="560">
        <v>26052.872303</v>
      </c>
      <c r="AB81" s="560">
        <v>29181.033576999998</v>
      </c>
      <c r="AC81" s="560">
        <v>15135.643096</v>
      </c>
      <c r="AD81" s="560">
        <v>9902.4009860000006</v>
      </c>
      <c r="AE81" s="560">
        <v>520.35173099999997</v>
      </c>
      <c r="AF81" s="560">
        <v>13765.383561000001</v>
      </c>
      <c r="AG81" s="560">
        <v>18058.425249</v>
      </c>
      <c r="AH81" s="560">
        <v>3940.2829040000001</v>
      </c>
      <c r="AI81" s="560">
        <v>0</v>
      </c>
      <c r="AJ81" s="560">
        <v>460.68825299999997</v>
      </c>
      <c r="AK81" s="560">
        <v>0</v>
      </c>
      <c r="AL81" s="560">
        <v>200.75</v>
      </c>
      <c r="AM81" s="560">
        <v>0</v>
      </c>
      <c r="AN81" s="560">
        <v>0</v>
      </c>
      <c r="AO81" s="560">
        <v>0</v>
      </c>
      <c r="AP81" s="560">
        <v>0</v>
      </c>
      <c r="AQ81" s="560" t="s">
        <v>769</v>
      </c>
      <c r="AR81" s="560" t="s">
        <v>1724</v>
      </c>
      <c r="AS81" s="560">
        <v>0</v>
      </c>
      <c r="AT81" s="560">
        <v>0</v>
      </c>
      <c r="AU81" s="560">
        <v>0</v>
      </c>
      <c r="AV81" s="560">
        <v>69</v>
      </c>
      <c r="AW81" s="560">
        <v>64</v>
      </c>
      <c r="AX81" s="560">
        <v>74</v>
      </c>
      <c r="AY81" s="560">
        <v>78</v>
      </c>
      <c r="AZ81" s="560">
        <v>1</v>
      </c>
      <c r="BA81" s="560">
        <v>2085</v>
      </c>
      <c r="BB81" s="560">
        <v>0</v>
      </c>
      <c r="BC81" s="560">
        <v>0.5</v>
      </c>
      <c r="BD81" s="560">
        <v>0</v>
      </c>
      <c r="BE81" s="560" t="s">
        <v>1798</v>
      </c>
      <c r="BF81" s="560">
        <v>2</v>
      </c>
      <c r="BG81" s="560">
        <v>13</v>
      </c>
      <c r="BH81" s="560">
        <v>1</v>
      </c>
      <c r="BI81" s="560">
        <v>2</v>
      </c>
      <c r="BJ81" s="560">
        <v>35</v>
      </c>
      <c r="BK81" s="560">
        <v>0</v>
      </c>
      <c r="BL81" s="560" t="s">
        <v>1716</v>
      </c>
      <c r="BM81" s="560">
        <v>0.05</v>
      </c>
      <c r="BN81" s="560">
        <v>200</v>
      </c>
      <c r="BO81" s="560">
        <v>20</v>
      </c>
      <c r="BP81" s="560" t="s">
        <v>1717</v>
      </c>
      <c r="BQ81" s="560">
        <v>0</v>
      </c>
      <c r="BR81" s="560">
        <v>0</v>
      </c>
      <c r="BS81" s="560">
        <v>555</v>
      </c>
      <c r="BT81" s="560">
        <v>1568</v>
      </c>
      <c r="BU81" s="560">
        <v>12544</v>
      </c>
      <c r="BV81" s="560">
        <v>0</v>
      </c>
      <c r="BW81" s="560">
        <v>0</v>
      </c>
      <c r="BX81" s="560">
        <v>1344</v>
      </c>
      <c r="BY81" s="560">
        <v>12.82</v>
      </c>
      <c r="BZ81" s="560">
        <v>1568</v>
      </c>
      <c r="CA81" s="560">
        <v>26.5</v>
      </c>
      <c r="CB81" s="560">
        <v>0.85</v>
      </c>
      <c r="CC81" s="560">
        <v>49</v>
      </c>
      <c r="CD81" s="560">
        <v>49</v>
      </c>
      <c r="CE81" s="560">
        <v>49</v>
      </c>
      <c r="CF81" s="560">
        <v>49</v>
      </c>
      <c r="CG81" s="560">
        <v>0.29299999999999998</v>
      </c>
      <c r="CH81" s="560">
        <v>0.3</v>
      </c>
      <c r="CI81" s="560">
        <v>0.54</v>
      </c>
      <c r="CJ81" s="560">
        <v>40</v>
      </c>
      <c r="CK81" s="560">
        <v>5</v>
      </c>
      <c r="CL81" s="560">
        <v>1</v>
      </c>
      <c r="CM81" s="562">
        <v>1568</v>
      </c>
      <c r="CN81" s="562">
        <v>168</v>
      </c>
      <c r="CO81" s="562">
        <v>20.45</v>
      </c>
      <c r="CP81" s="562">
        <v>0</v>
      </c>
      <c r="CQ81" s="562">
        <v>0</v>
      </c>
      <c r="CR81" s="562" t="s">
        <v>1718</v>
      </c>
      <c r="CS81" s="562">
        <v>0</v>
      </c>
      <c r="CT81" s="562">
        <v>0</v>
      </c>
      <c r="CU81" s="562">
        <v>0.75</v>
      </c>
      <c r="CV81" s="562">
        <v>2</v>
      </c>
      <c r="CW81" s="562">
        <v>1.75</v>
      </c>
      <c r="CX81" s="562">
        <v>1</v>
      </c>
      <c r="CY81" s="562">
        <v>0.65</v>
      </c>
      <c r="CZ81" s="560">
        <v>1463.4666669999999</v>
      </c>
      <c r="DA81" s="560">
        <v>8.5</v>
      </c>
      <c r="DB81" s="560" t="s">
        <v>1719</v>
      </c>
      <c r="DC81" s="560">
        <v>50</v>
      </c>
      <c r="DD81" s="560">
        <v>4</v>
      </c>
      <c r="DE81" s="560" t="s">
        <v>1720</v>
      </c>
      <c r="DF81" s="560">
        <v>5</v>
      </c>
      <c r="DG81" s="560">
        <v>0</v>
      </c>
      <c r="DH81" s="560">
        <v>4.5</v>
      </c>
      <c r="DI81" s="560">
        <v>4.5</v>
      </c>
      <c r="DJ81" s="560">
        <v>0</v>
      </c>
      <c r="DK81" s="560">
        <v>0</v>
      </c>
      <c r="DL81" s="560">
        <v>0</v>
      </c>
      <c r="DM81" s="560">
        <v>0</v>
      </c>
      <c r="DN81" s="560">
        <v>0</v>
      </c>
      <c r="DO81" s="560">
        <v>0</v>
      </c>
    </row>
    <row r="82" spans="1:119">
      <c r="A82" s="560" t="s">
        <v>772</v>
      </c>
      <c r="B82" s="560" t="s">
        <v>1713</v>
      </c>
      <c r="C82" s="560" t="s">
        <v>764</v>
      </c>
      <c r="D82" s="560">
        <v>3</v>
      </c>
      <c r="E82" s="560">
        <v>377.46163300000001</v>
      </c>
      <c r="F82" s="560">
        <v>58.731371000000003</v>
      </c>
      <c r="G82" s="560">
        <v>4974.4274999999998</v>
      </c>
      <c r="H82" s="560">
        <v>139.9665</v>
      </c>
      <c r="I82" s="560">
        <v>0.968943</v>
      </c>
      <c r="J82" s="560">
        <v>0.26383800000000002</v>
      </c>
      <c r="K82" s="560">
        <v>0.27748400000000001</v>
      </c>
      <c r="L82" s="560">
        <v>0.38774799999999998</v>
      </c>
      <c r="M82" s="560">
        <v>8331.9025959999999</v>
      </c>
      <c r="N82" s="560">
        <v>9265.5440940000008</v>
      </c>
      <c r="O82" s="560">
        <v>2579.9654310000001</v>
      </c>
      <c r="P82" s="560">
        <v>59.497335999999997</v>
      </c>
      <c r="Q82" s="560">
        <v>223.79047700000001</v>
      </c>
      <c r="R82" s="560">
        <v>1467.417254</v>
      </c>
      <c r="S82" s="560">
        <v>905.31426999999996</v>
      </c>
      <c r="T82" s="560">
        <v>1126.5681159999999</v>
      </c>
      <c r="U82" s="560">
        <v>266.85212000000001</v>
      </c>
      <c r="V82" s="560">
        <v>36.676496999999998</v>
      </c>
      <c r="W82" s="560">
        <v>13.914555</v>
      </c>
      <c r="X82" s="560">
        <v>0</v>
      </c>
      <c r="Y82" s="560">
        <v>26.181176000000001</v>
      </c>
      <c r="Z82" s="560">
        <v>171.67267200000001</v>
      </c>
      <c r="AA82" s="560">
        <v>27491.660769999999</v>
      </c>
      <c r="AB82" s="560">
        <v>30696.593373</v>
      </c>
      <c r="AC82" s="560">
        <v>16633.494214999999</v>
      </c>
      <c r="AD82" s="560">
        <v>11397.207263</v>
      </c>
      <c r="AE82" s="560">
        <v>520.35173099999997</v>
      </c>
      <c r="AF82" s="560">
        <v>10729.590393</v>
      </c>
      <c r="AG82" s="560">
        <v>12228.283647</v>
      </c>
      <c r="AH82" s="560">
        <v>3012.5342179999998</v>
      </c>
      <c r="AI82" s="560">
        <v>0</v>
      </c>
      <c r="AJ82" s="560">
        <v>516.57516699999996</v>
      </c>
      <c r="AK82" s="560">
        <v>0</v>
      </c>
      <c r="AL82" s="560">
        <v>200.75</v>
      </c>
      <c r="AM82" s="560">
        <v>0</v>
      </c>
      <c r="AN82" s="560">
        <v>0</v>
      </c>
      <c r="AO82" s="560">
        <v>0</v>
      </c>
      <c r="AP82" s="560">
        <v>0</v>
      </c>
      <c r="AQ82" s="560" t="s">
        <v>772</v>
      </c>
      <c r="AR82" s="560" t="s">
        <v>1714</v>
      </c>
      <c r="AS82" s="560">
        <v>0</v>
      </c>
      <c r="AT82" s="560">
        <v>0</v>
      </c>
      <c r="AU82" s="560">
        <v>0</v>
      </c>
      <c r="AV82" s="560">
        <v>69</v>
      </c>
      <c r="AW82" s="560">
        <v>64</v>
      </c>
      <c r="AX82" s="560">
        <v>74</v>
      </c>
      <c r="AY82" s="560">
        <v>78</v>
      </c>
      <c r="AZ82" s="560">
        <v>1</v>
      </c>
      <c r="BA82" s="560">
        <v>2085</v>
      </c>
      <c r="BB82" s="560">
        <v>0</v>
      </c>
      <c r="BC82" s="560">
        <v>0.5</v>
      </c>
      <c r="BD82" s="560">
        <v>0</v>
      </c>
      <c r="BE82" s="560" t="s">
        <v>1798</v>
      </c>
      <c r="BF82" s="560">
        <v>2</v>
      </c>
      <c r="BG82" s="560">
        <v>13</v>
      </c>
      <c r="BH82" s="560">
        <v>1</v>
      </c>
      <c r="BI82" s="560">
        <v>2</v>
      </c>
      <c r="BJ82" s="560">
        <v>35</v>
      </c>
      <c r="BK82" s="560">
        <v>0</v>
      </c>
      <c r="BL82" s="560" t="s">
        <v>1716</v>
      </c>
      <c r="BM82" s="560">
        <v>0.05</v>
      </c>
      <c r="BN82" s="560">
        <v>200</v>
      </c>
      <c r="BO82" s="560">
        <v>20</v>
      </c>
      <c r="BP82" s="560" t="s">
        <v>1717</v>
      </c>
      <c r="BQ82" s="560">
        <v>0</v>
      </c>
      <c r="BR82" s="560">
        <v>0</v>
      </c>
      <c r="BS82" s="560">
        <v>555</v>
      </c>
      <c r="BT82" s="560">
        <v>1568</v>
      </c>
      <c r="BU82" s="560">
        <v>12544</v>
      </c>
      <c r="BV82" s="560">
        <v>0</v>
      </c>
      <c r="BW82" s="560">
        <v>0</v>
      </c>
      <c r="BX82" s="560">
        <v>1344</v>
      </c>
      <c r="BY82" s="560">
        <v>10.3</v>
      </c>
      <c r="BZ82" s="560">
        <v>1568</v>
      </c>
      <c r="CA82" s="560">
        <v>26.5</v>
      </c>
      <c r="CB82" s="560">
        <v>0.85</v>
      </c>
      <c r="CC82" s="560">
        <v>49</v>
      </c>
      <c r="CD82" s="560">
        <v>49</v>
      </c>
      <c r="CE82" s="560">
        <v>49</v>
      </c>
      <c r="CF82" s="560">
        <v>49</v>
      </c>
      <c r="CG82" s="560">
        <v>0.29299999999999998</v>
      </c>
      <c r="CH82" s="560">
        <v>0.3</v>
      </c>
      <c r="CI82" s="560">
        <v>0.54</v>
      </c>
      <c r="CJ82" s="560">
        <v>40</v>
      </c>
      <c r="CK82" s="560">
        <v>5</v>
      </c>
      <c r="CL82" s="560">
        <v>1</v>
      </c>
      <c r="CM82" s="562">
        <v>1568</v>
      </c>
      <c r="CN82" s="562">
        <v>168</v>
      </c>
      <c r="CO82" s="562">
        <v>15.8</v>
      </c>
      <c r="CP82" s="562">
        <v>0</v>
      </c>
      <c r="CQ82" s="562">
        <v>0</v>
      </c>
      <c r="CR82" s="562" t="s">
        <v>1718</v>
      </c>
      <c r="CS82" s="562">
        <v>0</v>
      </c>
      <c r="CT82" s="562">
        <v>0</v>
      </c>
      <c r="CU82" s="562">
        <v>0.75</v>
      </c>
      <c r="CV82" s="562">
        <v>2</v>
      </c>
      <c r="CW82" s="562">
        <v>1.75</v>
      </c>
      <c r="CX82" s="562">
        <v>1</v>
      </c>
      <c r="CY82" s="562">
        <v>0.65</v>
      </c>
      <c r="CZ82" s="560">
        <v>1463.4666669999999</v>
      </c>
      <c r="DA82" s="560">
        <v>8.5</v>
      </c>
      <c r="DB82" s="560" t="s">
        <v>1719</v>
      </c>
      <c r="DC82" s="560">
        <v>50</v>
      </c>
      <c r="DD82" s="560">
        <v>4</v>
      </c>
      <c r="DE82" s="560" t="s">
        <v>1720</v>
      </c>
      <c r="DF82" s="560">
        <v>5</v>
      </c>
      <c r="DG82" s="560">
        <v>0</v>
      </c>
      <c r="DH82" s="560">
        <v>4.5</v>
      </c>
      <c r="DI82" s="560">
        <v>4.5</v>
      </c>
      <c r="DJ82" s="560">
        <v>0</v>
      </c>
      <c r="DK82" s="560">
        <v>0</v>
      </c>
      <c r="DL82" s="560">
        <v>0</v>
      </c>
      <c r="DM82" s="560">
        <v>0</v>
      </c>
      <c r="DN82" s="560">
        <v>0</v>
      </c>
      <c r="DO82" s="560">
        <v>0</v>
      </c>
    </row>
    <row r="83" spans="1:119">
      <c r="A83" s="560" t="s">
        <v>774</v>
      </c>
      <c r="B83" s="560" t="s">
        <v>1713</v>
      </c>
      <c r="C83" s="560" t="s">
        <v>767</v>
      </c>
      <c r="D83" s="560">
        <v>3</v>
      </c>
      <c r="E83" s="560">
        <v>377.46163300000001</v>
      </c>
      <c r="F83" s="560">
        <v>58.731371000000003</v>
      </c>
      <c r="G83" s="560">
        <v>4974.4274999999998</v>
      </c>
      <c r="H83" s="560">
        <v>391.60199999999998</v>
      </c>
      <c r="I83" s="560">
        <v>0.968943</v>
      </c>
      <c r="J83" s="560">
        <v>0.26383800000000002</v>
      </c>
      <c r="K83" s="560">
        <v>0.27748400000000001</v>
      </c>
      <c r="L83" s="560">
        <v>0.38774799999999998</v>
      </c>
      <c r="M83" s="560">
        <v>8331.9025959999999</v>
      </c>
      <c r="N83" s="560">
        <v>9265.5440940000008</v>
      </c>
      <c r="O83" s="560">
        <v>2579.9654310000001</v>
      </c>
      <c r="P83" s="560">
        <v>59.497335999999997</v>
      </c>
      <c r="Q83" s="560">
        <v>223.79047700000001</v>
      </c>
      <c r="R83" s="560">
        <v>1467.417254</v>
      </c>
      <c r="S83" s="560">
        <v>1732.02836</v>
      </c>
      <c r="T83" s="560">
        <v>2029.6643839999999</v>
      </c>
      <c r="U83" s="560">
        <v>478.57834500000001</v>
      </c>
      <c r="V83" s="560">
        <v>37.494019999999999</v>
      </c>
      <c r="W83" s="560">
        <v>8.0577120000000004</v>
      </c>
      <c r="X83" s="560">
        <v>0</v>
      </c>
      <c r="Y83" s="560">
        <v>47.702950000000001</v>
      </c>
      <c r="Z83" s="560">
        <v>312.79316499999999</v>
      </c>
      <c r="AA83" s="560">
        <v>27491.660769999999</v>
      </c>
      <c r="AB83" s="560">
        <v>30696.593373</v>
      </c>
      <c r="AC83" s="560">
        <v>16633.494214999999</v>
      </c>
      <c r="AD83" s="560">
        <v>11397.207263</v>
      </c>
      <c r="AE83" s="560">
        <v>520.35173099999997</v>
      </c>
      <c r="AF83" s="560">
        <v>13882.083697</v>
      </c>
      <c r="AG83" s="560">
        <v>16367.170582999999</v>
      </c>
      <c r="AH83" s="560">
        <v>3812.6745580000002</v>
      </c>
      <c r="AI83" s="560">
        <v>0</v>
      </c>
      <c r="AJ83" s="560">
        <v>516.57516699999996</v>
      </c>
      <c r="AK83" s="560">
        <v>0</v>
      </c>
      <c r="AL83" s="560">
        <v>200.75</v>
      </c>
      <c r="AM83" s="560">
        <v>0</v>
      </c>
      <c r="AN83" s="560">
        <v>0</v>
      </c>
      <c r="AO83" s="560">
        <v>0</v>
      </c>
      <c r="AP83" s="560">
        <v>0</v>
      </c>
      <c r="AQ83" s="560" t="s">
        <v>774</v>
      </c>
      <c r="AR83" s="560" t="s">
        <v>1722</v>
      </c>
      <c r="AS83" s="560">
        <v>0</v>
      </c>
      <c r="AT83" s="560">
        <v>0</v>
      </c>
      <c r="AU83" s="560">
        <v>0</v>
      </c>
      <c r="AV83" s="560">
        <v>69</v>
      </c>
      <c r="AW83" s="560">
        <v>64</v>
      </c>
      <c r="AX83" s="560">
        <v>74</v>
      </c>
      <c r="AY83" s="560">
        <v>78</v>
      </c>
      <c r="AZ83" s="560">
        <v>1</v>
      </c>
      <c r="BA83" s="560">
        <v>2085</v>
      </c>
      <c r="BB83" s="560">
        <v>0</v>
      </c>
      <c r="BC83" s="560">
        <v>0.5</v>
      </c>
      <c r="BD83" s="560">
        <v>0</v>
      </c>
      <c r="BE83" s="560" t="s">
        <v>1798</v>
      </c>
      <c r="BF83" s="560">
        <v>2</v>
      </c>
      <c r="BG83" s="560">
        <v>13</v>
      </c>
      <c r="BH83" s="560">
        <v>1</v>
      </c>
      <c r="BI83" s="560">
        <v>2</v>
      </c>
      <c r="BJ83" s="560">
        <v>35</v>
      </c>
      <c r="BK83" s="560">
        <v>0</v>
      </c>
      <c r="BL83" s="560" t="s">
        <v>1716</v>
      </c>
      <c r="BM83" s="560">
        <v>0.05</v>
      </c>
      <c r="BN83" s="560">
        <v>200</v>
      </c>
      <c r="BO83" s="560">
        <v>20</v>
      </c>
      <c r="BP83" s="560" t="s">
        <v>1717</v>
      </c>
      <c r="BQ83" s="560">
        <v>0</v>
      </c>
      <c r="BR83" s="560">
        <v>0</v>
      </c>
      <c r="BS83" s="560">
        <v>555</v>
      </c>
      <c r="BT83" s="560">
        <v>1568</v>
      </c>
      <c r="BU83" s="560">
        <v>12544</v>
      </c>
      <c r="BV83" s="560">
        <v>0</v>
      </c>
      <c r="BW83" s="560">
        <v>0</v>
      </c>
      <c r="BX83" s="560">
        <v>1344</v>
      </c>
      <c r="BY83" s="560">
        <v>10.3</v>
      </c>
      <c r="BZ83" s="560">
        <v>1568</v>
      </c>
      <c r="CA83" s="560">
        <v>26.5</v>
      </c>
      <c r="CB83" s="560">
        <v>0.85</v>
      </c>
      <c r="CC83" s="560">
        <v>49</v>
      </c>
      <c r="CD83" s="560">
        <v>49</v>
      </c>
      <c r="CE83" s="560">
        <v>49</v>
      </c>
      <c r="CF83" s="560">
        <v>49</v>
      </c>
      <c r="CG83" s="560">
        <v>0.29299999999999998</v>
      </c>
      <c r="CH83" s="560">
        <v>0.3</v>
      </c>
      <c r="CI83" s="560">
        <v>0.54</v>
      </c>
      <c r="CJ83" s="560">
        <v>40</v>
      </c>
      <c r="CK83" s="560">
        <v>5</v>
      </c>
      <c r="CL83" s="560">
        <v>1</v>
      </c>
      <c r="CM83" s="562">
        <v>1568</v>
      </c>
      <c r="CN83" s="562">
        <v>168</v>
      </c>
      <c r="CO83" s="562">
        <v>15.8</v>
      </c>
      <c r="CP83" s="562">
        <v>0</v>
      </c>
      <c r="CQ83" s="562">
        <v>0</v>
      </c>
      <c r="CR83" s="562" t="s">
        <v>1718</v>
      </c>
      <c r="CS83" s="562">
        <v>0</v>
      </c>
      <c r="CT83" s="562">
        <v>0</v>
      </c>
      <c r="CU83" s="562">
        <v>0.75</v>
      </c>
      <c r="CV83" s="562">
        <v>2</v>
      </c>
      <c r="CW83" s="562">
        <v>1.75</v>
      </c>
      <c r="CX83" s="562">
        <v>1</v>
      </c>
      <c r="CY83" s="562">
        <v>0.65</v>
      </c>
      <c r="CZ83" s="560">
        <v>1463.4666669999999</v>
      </c>
      <c r="DA83" s="560">
        <v>8.5</v>
      </c>
      <c r="DB83" s="560" t="s">
        <v>1719</v>
      </c>
      <c r="DC83" s="560">
        <v>50</v>
      </c>
      <c r="DD83" s="560">
        <v>4</v>
      </c>
      <c r="DE83" s="560" t="s">
        <v>1720</v>
      </c>
      <c r="DF83" s="560">
        <v>5</v>
      </c>
      <c r="DG83" s="560">
        <v>0</v>
      </c>
      <c r="DH83" s="560">
        <v>4.5</v>
      </c>
      <c r="DI83" s="560">
        <v>4.5</v>
      </c>
      <c r="DJ83" s="560">
        <v>0</v>
      </c>
      <c r="DK83" s="560">
        <v>0</v>
      </c>
      <c r="DL83" s="560">
        <v>0</v>
      </c>
      <c r="DM83" s="560">
        <v>0</v>
      </c>
      <c r="DN83" s="560">
        <v>0</v>
      </c>
      <c r="DO83" s="560">
        <v>0</v>
      </c>
    </row>
    <row r="84" spans="1:119">
      <c r="A84" s="560" t="s">
        <v>776</v>
      </c>
      <c r="B84" s="560" t="s">
        <v>1713</v>
      </c>
      <c r="C84" s="560" t="s">
        <v>770</v>
      </c>
      <c r="D84" s="560">
        <v>3</v>
      </c>
      <c r="E84" s="560">
        <v>377.46163300000001</v>
      </c>
      <c r="F84" s="560">
        <v>58.731371000000003</v>
      </c>
      <c r="G84" s="560">
        <v>4974.4274999999998</v>
      </c>
      <c r="H84" s="560">
        <v>755.94</v>
      </c>
      <c r="I84" s="560">
        <v>0.968943</v>
      </c>
      <c r="J84" s="560">
        <v>0.26383800000000002</v>
      </c>
      <c r="K84" s="560">
        <v>0.27748400000000001</v>
      </c>
      <c r="L84" s="560">
        <v>0.38774799999999998</v>
      </c>
      <c r="M84" s="560">
        <v>8331.9025959999999</v>
      </c>
      <c r="N84" s="560">
        <v>9265.5440940000008</v>
      </c>
      <c r="O84" s="560">
        <v>2579.9654310000001</v>
      </c>
      <c r="P84" s="560">
        <v>59.497335999999997</v>
      </c>
      <c r="Q84" s="560">
        <v>223.79047700000001</v>
      </c>
      <c r="R84" s="560">
        <v>1467.417254</v>
      </c>
      <c r="S84" s="560">
        <v>2764.746232</v>
      </c>
      <c r="T84" s="560">
        <v>3109.5125739999999</v>
      </c>
      <c r="U84" s="560">
        <v>730.34534399999995</v>
      </c>
      <c r="V84" s="560">
        <v>25.734902000000002</v>
      </c>
      <c r="W84" s="560">
        <v>3.5236619999999998</v>
      </c>
      <c r="X84" s="560">
        <v>0</v>
      </c>
      <c r="Y84" s="560">
        <v>73.796023000000005</v>
      </c>
      <c r="Z84" s="560">
        <v>483.88813699999997</v>
      </c>
      <c r="AA84" s="560">
        <v>27491.660769999999</v>
      </c>
      <c r="AB84" s="560">
        <v>30696.593373</v>
      </c>
      <c r="AC84" s="560">
        <v>16633.494214999999</v>
      </c>
      <c r="AD84" s="560">
        <v>11397.207263</v>
      </c>
      <c r="AE84" s="560">
        <v>520.35173099999997</v>
      </c>
      <c r="AF84" s="560">
        <v>14490.695576</v>
      </c>
      <c r="AG84" s="560">
        <v>17850.748640999998</v>
      </c>
      <c r="AH84" s="560">
        <v>3940.1392839999999</v>
      </c>
      <c r="AI84" s="560">
        <v>0</v>
      </c>
      <c r="AJ84" s="560">
        <v>516.57516699999996</v>
      </c>
      <c r="AK84" s="560">
        <v>0</v>
      </c>
      <c r="AL84" s="560">
        <v>200.75</v>
      </c>
      <c r="AM84" s="560">
        <v>0</v>
      </c>
      <c r="AN84" s="560">
        <v>0</v>
      </c>
      <c r="AO84" s="560">
        <v>0</v>
      </c>
      <c r="AP84" s="560">
        <v>0</v>
      </c>
      <c r="AQ84" s="560" t="s">
        <v>776</v>
      </c>
      <c r="AR84" s="560" t="s">
        <v>1724</v>
      </c>
      <c r="AS84" s="560">
        <v>0</v>
      </c>
      <c r="AT84" s="560">
        <v>0</v>
      </c>
      <c r="AU84" s="560">
        <v>0</v>
      </c>
      <c r="AV84" s="560">
        <v>69</v>
      </c>
      <c r="AW84" s="560">
        <v>64</v>
      </c>
      <c r="AX84" s="560">
        <v>74</v>
      </c>
      <c r="AY84" s="560">
        <v>78</v>
      </c>
      <c r="AZ84" s="560">
        <v>1</v>
      </c>
      <c r="BA84" s="560">
        <v>2085</v>
      </c>
      <c r="BB84" s="560">
        <v>0</v>
      </c>
      <c r="BC84" s="560">
        <v>0.5</v>
      </c>
      <c r="BD84" s="560">
        <v>0</v>
      </c>
      <c r="BE84" s="560" t="s">
        <v>1798</v>
      </c>
      <c r="BF84" s="560">
        <v>2</v>
      </c>
      <c r="BG84" s="560">
        <v>13</v>
      </c>
      <c r="BH84" s="560">
        <v>1</v>
      </c>
      <c r="BI84" s="560">
        <v>2</v>
      </c>
      <c r="BJ84" s="560">
        <v>35</v>
      </c>
      <c r="BK84" s="560">
        <v>0</v>
      </c>
      <c r="BL84" s="560" t="s">
        <v>1716</v>
      </c>
      <c r="BM84" s="560">
        <v>0.05</v>
      </c>
      <c r="BN84" s="560">
        <v>200</v>
      </c>
      <c r="BO84" s="560">
        <v>20</v>
      </c>
      <c r="BP84" s="560" t="s">
        <v>1717</v>
      </c>
      <c r="BQ84" s="560">
        <v>0</v>
      </c>
      <c r="BR84" s="560">
        <v>0</v>
      </c>
      <c r="BS84" s="560">
        <v>555</v>
      </c>
      <c r="BT84" s="560">
        <v>1568</v>
      </c>
      <c r="BU84" s="560">
        <v>12544</v>
      </c>
      <c r="BV84" s="560">
        <v>0</v>
      </c>
      <c r="BW84" s="560">
        <v>0</v>
      </c>
      <c r="BX84" s="560">
        <v>1344</v>
      </c>
      <c r="BY84" s="560">
        <v>10.3</v>
      </c>
      <c r="BZ84" s="560">
        <v>1568</v>
      </c>
      <c r="CA84" s="560">
        <v>26.5</v>
      </c>
      <c r="CB84" s="560">
        <v>0.85</v>
      </c>
      <c r="CC84" s="560">
        <v>49</v>
      </c>
      <c r="CD84" s="560">
        <v>49</v>
      </c>
      <c r="CE84" s="560">
        <v>49</v>
      </c>
      <c r="CF84" s="560">
        <v>49</v>
      </c>
      <c r="CG84" s="560">
        <v>0.29299999999999998</v>
      </c>
      <c r="CH84" s="560">
        <v>0.3</v>
      </c>
      <c r="CI84" s="560">
        <v>0.54</v>
      </c>
      <c r="CJ84" s="560">
        <v>40</v>
      </c>
      <c r="CK84" s="560">
        <v>5</v>
      </c>
      <c r="CL84" s="560">
        <v>1</v>
      </c>
      <c r="CM84" s="562">
        <v>1568</v>
      </c>
      <c r="CN84" s="562">
        <v>168</v>
      </c>
      <c r="CO84" s="562">
        <v>15.8</v>
      </c>
      <c r="CP84" s="562">
        <v>0</v>
      </c>
      <c r="CQ84" s="562">
        <v>0</v>
      </c>
      <c r="CR84" s="562" t="s">
        <v>1718</v>
      </c>
      <c r="CS84" s="562">
        <v>0</v>
      </c>
      <c r="CT84" s="562">
        <v>0</v>
      </c>
      <c r="CU84" s="562">
        <v>0.75</v>
      </c>
      <c r="CV84" s="562">
        <v>2</v>
      </c>
      <c r="CW84" s="562">
        <v>1.75</v>
      </c>
      <c r="CX84" s="562">
        <v>1</v>
      </c>
      <c r="CY84" s="562">
        <v>0.65</v>
      </c>
      <c r="CZ84" s="560">
        <v>1463.4666669999999</v>
      </c>
      <c r="DA84" s="560">
        <v>8.5</v>
      </c>
      <c r="DB84" s="560" t="s">
        <v>1719</v>
      </c>
      <c r="DC84" s="560">
        <v>50</v>
      </c>
      <c r="DD84" s="560">
        <v>4</v>
      </c>
      <c r="DE84" s="560" t="s">
        <v>1720</v>
      </c>
      <c r="DF84" s="560">
        <v>5</v>
      </c>
      <c r="DG84" s="560">
        <v>0</v>
      </c>
      <c r="DH84" s="560">
        <v>4.5</v>
      </c>
      <c r="DI84" s="560">
        <v>4.5</v>
      </c>
      <c r="DJ84" s="560">
        <v>0</v>
      </c>
      <c r="DK84" s="560">
        <v>0</v>
      </c>
      <c r="DL84" s="560">
        <v>0</v>
      </c>
      <c r="DM84" s="560">
        <v>0</v>
      </c>
      <c r="DN84" s="560">
        <v>0</v>
      </c>
      <c r="DO84" s="560">
        <v>0</v>
      </c>
    </row>
    <row r="85" spans="1:119">
      <c r="A85" s="560" t="s">
        <v>778</v>
      </c>
      <c r="B85" s="560" t="s">
        <v>1713</v>
      </c>
      <c r="C85" s="560" t="s">
        <v>779</v>
      </c>
      <c r="D85" s="560">
        <v>3</v>
      </c>
      <c r="E85" s="560">
        <v>340.89578</v>
      </c>
      <c r="F85" s="560">
        <v>56.780271999999997</v>
      </c>
      <c r="G85" s="560">
        <v>6644.9655000000002</v>
      </c>
      <c r="H85" s="560">
        <v>139.9665</v>
      </c>
      <c r="I85" s="560">
        <v>0.91800700000000002</v>
      </c>
      <c r="J85" s="560">
        <v>0.28847299999999998</v>
      </c>
      <c r="K85" s="560">
        <v>0.30598599999999998</v>
      </c>
      <c r="L85" s="560">
        <v>0.43115399999999998</v>
      </c>
      <c r="M85" s="560">
        <v>10422.487039</v>
      </c>
      <c r="N85" s="560">
        <v>11692.907875999999</v>
      </c>
      <c r="O85" s="560">
        <v>3269.3974010000002</v>
      </c>
      <c r="P85" s="560">
        <v>130.25525500000001</v>
      </c>
      <c r="Q85" s="560">
        <v>280.36056600000001</v>
      </c>
      <c r="R85" s="560">
        <v>1838.3531660000001</v>
      </c>
      <c r="S85" s="560">
        <v>985.15628900000002</v>
      </c>
      <c r="T85" s="560">
        <v>1229.0025949999999</v>
      </c>
      <c r="U85" s="560">
        <v>290.60138899999998</v>
      </c>
      <c r="V85" s="560">
        <v>40.897928999999998</v>
      </c>
      <c r="W85" s="560">
        <v>14.201001</v>
      </c>
      <c r="X85" s="560">
        <v>0</v>
      </c>
      <c r="Y85" s="560">
        <v>28.521100000000001</v>
      </c>
      <c r="Z85" s="560">
        <v>187.01579899999999</v>
      </c>
      <c r="AA85" s="560">
        <v>30088.178855999999</v>
      </c>
      <c r="AB85" s="560">
        <v>33857.417576</v>
      </c>
      <c r="AC85" s="560">
        <v>18626.971810999999</v>
      </c>
      <c r="AD85" s="560">
        <v>13338.681766</v>
      </c>
      <c r="AE85" s="560">
        <v>520.35173099999997</v>
      </c>
      <c r="AF85" s="560">
        <v>10317.073550999999</v>
      </c>
      <c r="AG85" s="560">
        <v>11765.566656000001</v>
      </c>
      <c r="AH85" s="560">
        <v>2905.0039240000001</v>
      </c>
      <c r="AI85" s="560">
        <v>0</v>
      </c>
      <c r="AJ85" s="560">
        <v>645.971676</v>
      </c>
      <c r="AK85" s="560">
        <v>0</v>
      </c>
      <c r="AL85" s="560">
        <v>200.75</v>
      </c>
      <c r="AM85" s="560">
        <v>0</v>
      </c>
      <c r="AN85" s="560">
        <v>0</v>
      </c>
      <c r="AO85" s="560">
        <v>0</v>
      </c>
      <c r="AP85" s="560">
        <v>0</v>
      </c>
      <c r="AQ85" s="560" t="s">
        <v>778</v>
      </c>
      <c r="AR85" s="560" t="s">
        <v>1729</v>
      </c>
      <c r="AS85" s="560">
        <v>0</v>
      </c>
      <c r="AT85" s="560">
        <v>0</v>
      </c>
      <c r="AU85" s="560">
        <v>0</v>
      </c>
      <c r="AV85" s="560">
        <v>69</v>
      </c>
      <c r="AW85" s="560">
        <v>64</v>
      </c>
      <c r="AX85" s="560">
        <v>74</v>
      </c>
      <c r="AY85" s="560">
        <v>78</v>
      </c>
      <c r="AZ85" s="560">
        <v>1</v>
      </c>
      <c r="BA85" s="560">
        <v>2085</v>
      </c>
      <c r="BB85" s="560">
        <v>0</v>
      </c>
      <c r="BC85" s="560">
        <v>0.5</v>
      </c>
      <c r="BD85" s="560">
        <v>0</v>
      </c>
      <c r="BE85" s="560" t="s">
        <v>1798</v>
      </c>
      <c r="BF85" s="560">
        <v>2</v>
      </c>
      <c r="BG85" s="560">
        <v>13</v>
      </c>
      <c r="BH85" s="560">
        <v>1</v>
      </c>
      <c r="BI85" s="560">
        <v>2</v>
      </c>
      <c r="BJ85" s="560">
        <v>35</v>
      </c>
      <c r="BK85" s="560">
        <v>0</v>
      </c>
      <c r="BL85" s="560" t="s">
        <v>1716</v>
      </c>
      <c r="BM85" s="560">
        <v>0.05</v>
      </c>
      <c r="BN85" s="560">
        <v>200</v>
      </c>
      <c r="BO85" s="560">
        <v>20</v>
      </c>
      <c r="BP85" s="560" t="s">
        <v>1717</v>
      </c>
      <c r="BQ85" s="560">
        <v>0</v>
      </c>
      <c r="BR85" s="560">
        <v>0</v>
      </c>
      <c r="BS85" s="560">
        <v>555</v>
      </c>
      <c r="BT85" s="560">
        <v>1568</v>
      </c>
      <c r="BU85" s="560">
        <v>12544</v>
      </c>
      <c r="BV85" s="560">
        <v>0</v>
      </c>
      <c r="BW85" s="560">
        <v>0</v>
      </c>
      <c r="BX85" s="560">
        <v>1344</v>
      </c>
      <c r="BY85" s="560">
        <v>12.82</v>
      </c>
      <c r="BZ85" s="560">
        <v>1568</v>
      </c>
      <c r="CA85" s="560">
        <v>26.5</v>
      </c>
      <c r="CB85" s="560">
        <v>0.85</v>
      </c>
      <c r="CC85" s="560">
        <v>49</v>
      </c>
      <c r="CD85" s="560">
        <v>49</v>
      </c>
      <c r="CE85" s="560">
        <v>49</v>
      </c>
      <c r="CF85" s="560">
        <v>49</v>
      </c>
      <c r="CG85" s="560">
        <v>0.29299999999999998</v>
      </c>
      <c r="CH85" s="560">
        <v>0.3</v>
      </c>
      <c r="CI85" s="560">
        <v>0.54</v>
      </c>
      <c r="CJ85" s="560">
        <v>40</v>
      </c>
      <c r="CK85" s="560">
        <v>5</v>
      </c>
      <c r="CL85" s="560">
        <v>1</v>
      </c>
      <c r="CM85" s="562">
        <v>1568</v>
      </c>
      <c r="CN85" s="562">
        <v>168</v>
      </c>
      <c r="CO85" s="562">
        <v>20.45</v>
      </c>
      <c r="CP85" s="562">
        <v>0</v>
      </c>
      <c r="CQ85" s="562">
        <v>0</v>
      </c>
      <c r="CR85" s="562" t="s">
        <v>1718</v>
      </c>
      <c r="CS85" s="562">
        <v>0</v>
      </c>
      <c r="CT85" s="562">
        <v>0</v>
      </c>
      <c r="CU85" s="562">
        <v>0.75</v>
      </c>
      <c r="CV85" s="562">
        <v>2</v>
      </c>
      <c r="CW85" s="562">
        <v>1.75</v>
      </c>
      <c r="CX85" s="562">
        <v>1</v>
      </c>
      <c r="CY85" s="562">
        <v>0.65</v>
      </c>
      <c r="CZ85" s="560">
        <v>1463.4666669999999</v>
      </c>
      <c r="DA85" s="560">
        <v>8.5</v>
      </c>
      <c r="DB85" s="560" t="s">
        <v>1719</v>
      </c>
      <c r="DC85" s="560">
        <v>50</v>
      </c>
      <c r="DD85" s="560">
        <v>4</v>
      </c>
      <c r="DE85" s="560" t="s">
        <v>1720</v>
      </c>
      <c r="DF85" s="560">
        <v>5</v>
      </c>
      <c r="DG85" s="560">
        <v>0</v>
      </c>
      <c r="DH85" s="560">
        <v>4.5</v>
      </c>
      <c r="DI85" s="560">
        <v>4.5</v>
      </c>
      <c r="DJ85" s="560">
        <v>0</v>
      </c>
      <c r="DK85" s="560">
        <v>0</v>
      </c>
      <c r="DL85" s="560">
        <v>0</v>
      </c>
      <c r="DM85" s="560">
        <v>0</v>
      </c>
      <c r="DN85" s="560">
        <v>0</v>
      </c>
      <c r="DO85" s="560">
        <v>0</v>
      </c>
    </row>
    <row r="86" spans="1:119">
      <c r="A86" s="560" t="s">
        <v>781</v>
      </c>
      <c r="B86" s="560" t="s">
        <v>1713</v>
      </c>
      <c r="C86" s="560" t="s">
        <v>782</v>
      </c>
      <c r="D86" s="560">
        <v>3</v>
      </c>
      <c r="E86" s="560">
        <v>340.89578</v>
      </c>
      <c r="F86" s="560">
        <v>56.780271999999997</v>
      </c>
      <c r="G86" s="560">
        <v>6644.9655000000002</v>
      </c>
      <c r="H86" s="560">
        <v>391.60199999999998</v>
      </c>
      <c r="I86" s="560">
        <v>0.91800700000000002</v>
      </c>
      <c r="J86" s="560">
        <v>0.28847299999999998</v>
      </c>
      <c r="K86" s="560">
        <v>0.30598599999999998</v>
      </c>
      <c r="L86" s="560">
        <v>0.43115399999999998</v>
      </c>
      <c r="M86" s="560">
        <v>10422.487039</v>
      </c>
      <c r="N86" s="560">
        <v>11692.907875999999</v>
      </c>
      <c r="O86" s="560">
        <v>3269.3974010000002</v>
      </c>
      <c r="P86" s="560">
        <v>130.25525500000001</v>
      </c>
      <c r="Q86" s="560">
        <v>280.36056600000001</v>
      </c>
      <c r="R86" s="560">
        <v>1838.3531660000001</v>
      </c>
      <c r="S86" s="560">
        <v>1787.4699639999999</v>
      </c>
      <c r="T86" s="560">
        <v>2099.8190559999998</v>
      </c>
      <c r="U86" s="560">
        <v>495.07978000000003</v>
      </c>
      <c r="V86" s="560">
        <v>40.390009999999997</v>
      </c>
      <c r="W86" s="560">
        <v>8.3333940000000002</v>
      </c>
      <c r="X86" s="560">
        <v>0</v>
      </c>
      <c r="Y86" s="560">
        <v>49.309392000000003</v>
      </c>
      <c r="Z86" s="560">
        <v>323.326774</v>
      </c>
      <c r="AA86" s="560">
        <v>30088.178855999999</v>
      </c>
      <c r="AB86" s="560">
        <v>33857.417576</v>
      </c>
      <c r="AC86" s="560">
        <v>18626.971810999999</v>
      </c>
      <c r="AD86" s="560">
        <v>13338.681766</v>
      </c>
      <c r="AE86" s="560">
        <v>520.35173099999997</v>
      </c>
      <c r="AF86" s="560">
        <v>13228.101339999999</v>
      </c>
      <c r="AG86" s="560">
        <v>15610.107878000001</v>
      </c>
      <c r="AH86" s="560">
        <v>3648.1287630000002</v>
      </c>
      <c r="AI86" s="560">
        <v>0</v>
      </c>
      <c r="AJ86" s="560">
        <v>645.971676</v>
      </c>
      <c r="AK86" s="560">
        <v>0</v>
      </c>
      <c r="AL86" s="560">
        <v>200.75</v>
      </c>
      <c r="AM86" s="560">
        <v>0</v>
      </c>
      <c r="AN86" s="560">
        <v>0</v>
      </c>
      <c r="AO86" s="560">
        <v>0</v>
      </c>
      <c r="AP86" s="560">
        <v>0</v>
      </c>
      <c r="AQ86" s="560" t="s">
        <v>781</v>
      </c>
      <c r="AR86" s="560" t="s">
        <v>1731</v>
      </c>
      <c r="AS86" s="560">
        <v>0</v>
      </c>
      <c r="AT86" s="560">
        <v>0</v>
      </c>
      <c r="AU86" s="560">
        <v>0</v>
      </c>
      <c r="AV86" s="560">
        <v>69</v>
      </c>
      <c r="AW86" s="560">
        <v>64</v>
      </c>
      <c r="AX86" s="560">
        <v>74</v>
      </c>
      <c r="AY86" s="560">
        <v>78</v>
      </c>
      <c r="AZ86" s="560">
        <v>1</v>
      </c>
      <c r="BA86" s="560">
        <v>2085</v>
      </c>
      <c r="BB86" s="560">
        <v>0</v>
      </c>
      <c r="BC86" s="560">
        <v>0.5</v>
      </c>
      <c r="BD86" s="560">
        <v>0</v>
      </c>
      <c r="BE86" s="560" t="s">
        <v>1798</v>
      </c>
      <c r="BF86" s="560">
        <v>2</v>
      </c>
      <c r="BG86" s="560">
        <v>13</v>
      </c>
      <c r="BH86" s="560">
        <v>1</v>
      </c>
      <c r="BI86" s="560">
        <v>2</v>
      </c>
      <c r="BJ86" s="560">
        <v>35</v>
      </c>
      <c r="BK86" s="560">
        <v>0</v>
      </c>
      <c r="BL86" s="560" t="s">
        <v>1716</v>
      </c>
      <c r="BM86" s="560">
        <v>0.05</v>
      </c>
      <c r="BN86" s="560">
        <v>200</v>
      </c>
      <c r="BO86" s="560">
        <v>20</v>
      </c>
      <c r="BP86" s="560" t="s">
        <v>1717</v>
      </c>
      <c r="BQ86" s="560">
        <v>0</v>
      </c>
      <c r="BR86" s="560">
        <v>0</v>
      </c>
      <c r="BS86" s="560">
        <v>555</v>
      </c>
      <c r="BT86" s="560">
        <v>1568</v>
      </c>
      <c r="BU86" s="560">
        <v>12544</v>
      </c>
      <c r="BV86" s="560">
        <v>0</v>
      </c>
      <c r="BW86" s="560">
        <v>0</v>
      </c>
      <c r="BX86" s="560">
        <v>1344</v>
      </c>
      <c r="BY86" s="560">
        <v>12.82</v>
      </c>
      <c r="BZ86" s="560">
        <v>1568</v>
      </c>
      <c r="CA86" s="560">
        <v>26.5</v>
      </c>
      <c r="CB86" s="560">
        <v>0.85</v>
      </c>
      <c r="CC86" s="560">
        <v>49</v>
      </c>
      <c r="CD86" s="560">
        <v>49</v>
      </c>
      <c r="CE86" s="560">
        <v>49</v>
      </c>
      <c r="CF86" s="560">
        <v>49</v>
      </c>
      <c r="CG86" s="560">
        <v>0.29299999999999998</v>
      </c>
      <c r="CH86" s="560">
        <v>0.3</v>
      </c>
      <c r="CI86" s="560">
        <v>0.54</v>
      </c>
      <c r="CJ86" s="560">
        <v>40</v>
      </c>
      <c r="CK86" s="560">
        <v>5</v>
      </c>
      <c r="CL86" s="560">
        <v>1</v>
      </c>
      <c r="CM86" s="562">
        <v>1568</v>
      </c>
      <c r="CN86" s="562">
        <v>168</v>
      </c>
      <c r="CO86" s="562">
        <v>20.45</v>
      </c>
      <c r="CP86" s="562">
        <v>0</v>
      </c>
      <c r="CQ86" s="562">
        <v>0</v>
      </c>
      <c r="CR86" s="562" t="s">
        <v>1718</v>
      </c>
      <c r="CS86" s="562">
        <v>0</v>
      </c>
      <c r="CT86" s="562">
        <v>0</v>
      </c>
      <c r="CU86" s="562">
        <v>0.75</v>
      </c>
      <c r="CV86" s="562">
        <v>2</v>
      </c>
      <c r="CW86" s="562">
        <v>1.75</v>
      </c>
      <c r="CX86" s="562">
        <v>1</v>
      </c>
      <c r="CY86" s="562">
        <v>0.65</v>
      </c>
      <c r="CZ86" s="560">
        <v>1463.4666669999999</v>
      </c>
      <c r="DA86" s="560">
        <v>8.5</v>
      </c>
      <c r="DB86" s="560" t="s">
        <v>1719</v>
      </c>
      <c r="DC86" s="560">
        <v>50</v>
      </c>
      <c r="DD86" s="560">
        <v>4</v>
      </c>
      <c r="DE86" s="560" t="s">
        <v>1720</v>
      </c>
      <c r="DF86" s="560">
        <v>5</v>
      </c>
      <c r="DG86" s="560">
        <v>0</v>
      </c>
      <c r="DH86" s="560">
        <v>4.5</v>
      </c>
      <c r="DI86" s="560">
        <v>4.5</v>
      </c>
      <c r="DJ86" s="560">
        <v>0</v>
      </c>
      <c r="DK86" s="560">
        <v>0</v>
      </c>
      <c r="DL86" s="560">
        <v>0</v>
      </c>
      <c r="DM86" s="560">
        <v>0</v>
      </c>
      <c r="DN86" s="560">
        <v>0</v>
      </c>
      <c r="DO86" s="560">
        <v>0</v>
      </c>
    </row>
    <row r="87" spans="1:119">
      <c r="A87" s="560" t="s">
        <v>784</v>
      </c>
      <c r="B87" s="560" t="s">
        <v>1713</v>
      </c>
      <c r="C87" s="560" t="s">
        <v>785</v>
      </c>
      <c r="D87" s="560">
        <v>3</v>
      </c>
      <c r="E87" s="560">
        <v>340.89578</v>
      </c>
      <c r="F87" s="560">
        <v>56.780271999999997</v>
      </c>
      <c r="G87" s="560">
        <v>6644.9655000000002</v>
      </c>
      <c r="H87" s="560">
        <v>755.94</v>
      </c>
      <c r="I87" s="560">
        <v>0.91800700000000002</v>
      </c>
      <c r="J87" s="560">
        <v>0.28847299999999998</v>
      </c>
      <c r="K87" s="560">
        <v>0.30598599999999998</v>
      </c>
      <c r="L87" s="560">
        <v>0.43115399999999998</v>
      </c>
      <c r="M87" s="560">
        <v>10422.487039</v>
      </c>
      <c r="N87" s="560">
        <v>11692.907875999999</v>
      </c>
      <c r="O87" s="560">
        <v>3269.3974010000002</v>
      </c>
      <c r="P87" s="560">
        <v>130.25525500000001</v>
      </c>
      <c r="Q87" s="560">
        <v>280.36056600000001</v>
      </c>
      <c r="R87" s="560">
        <v>1838.3531660000001</v>
      </c>
      <c r="S87" s="560">
        <v>2780.6727470000001</v>
      </c>
      <c r="T87" s="560">
        <v>3129.4627439999999</v>
      </c>
      <c r="U87" s="560">
        <v>735.715868</v>
      </c>
      <c r="V87" s="560">
        <v>27.044108999999999</v>
      </c>
      <c r="W87" s="560">
        <v>3.6758899999999999</v>
      </c>
      <c r="X87" s="560">
        <v>0</v>
      </c>
      <c r="Y87" s="560">
        <v>74.248819999999995</v>
      </c>
      <c r="Z87" s="560">
        <v>486.85717199999999</v>
      </c>
      <c r="AA87" s="560">
        <v>30088.178855999999</v>
      </c>
      <c r="AB87" s="560">
        <v>33857.417576</v>
      </c>
      <c r="AC87" s="560">
        <v>18626.971810999999</v>
      </c>
      <c r="AD87" s="560">
        <v>13338.681766</v>
      </c>
      <c r="AE87" s="560">
        <v>520.35173099999997</v>
      </c>
      <c r="AF87" s="560">
        <v>13765.383561000001</v>
      </c>
      <c r="AG87" s="560">
        <v>18058.425249</v>
      </c>
      <c r="AH87" s="560">
        <v>3940.2829040000001</v>
      </c>
      <c r="AI87" s="560">
        <v>0</v>
      </c>
      <c r="AJ87" s="560">
        <v>645.971676</v>
      </c>
      <c r="AK87" s="560">
        <v>0</v>
      </c>
      <c r="AL87" s="560">
        <v>200.75</v>
      </c>
      <c r="AM87" s="560">
        <v>0</v>
      </c>
      <c r="AN87" s="560">
        <v>0</v>
      </c>
      <c r="AO87" s="560">
        <v>0</v>
      </c>
      <c r="AP87" s="560">
        <v>0</v>
      </c>
      <c r="AQ87" s="560" t="s">
        <v>784</v>
      </c>
      <c r="AR87" s="560" t="s">
        <v>1733</v>
      </c>
      <c r="AS87" s="560">
        <v>0</v>
      </c>
      <c r="AT87" s="560">
        <v>0</v>
      </c>
      <c r="AU87" s="560">
        <v>0</v>
      </c>
      <c r="AV87" s="560">
        <v>69</v>
      </c>
      <c r="AW87" s="560">
        <v>64</v>
      </c>
      <c r="AX87" s="560">
        <v>74</v>
      </c>
      <c r="AY87" s="560">
        <v>78</v>
      </c>
      <c r="AZ87" s="560">
        <v>1</v>
      </c>
      <c r="BA87" s="560">
        <v>2085</v>
      </c>
      <c r="BB87" s="560">
        <v>0</v>
      </c>
      <c r="BC87" s="560">
        <v>0.5</v>
      </c>
      <c r="BD87" s="560">
        <v>0</v>
      </c>
      <c r="BE87" s="560" t="s">
        <v>1798</v>
      </c>
      <c r="BF87" s="560">
        <v>2</v>
      </c>
      <c r="BG87" s="560">
        <v>13</v>
      </c>
      <c r="BH87" s="560">
        <v>1</v>
      </c>
      <c r="BI87" s="560">
        <v>2</v>
      </c>
      <c r="BJ87" s="560">
        <v>35</v>
      </c>
      <c r="BK87" s="560">
        <v>0</v>
      </c>
      <c r="BL87" s="560" t="s">
        <v>1716</v>
      </c>
      <c r="BM87" s="560">
        <v>0.05</v>
      </c>
      <c r="BN87" s="560">
        <v>200</v>
      </c>
      <c r="BO87" s="560">
        <v>20</v>
      </c>
      <c r="BP87" s="560" t="s">
        <v>1717</v>
      </c>
      <c r="BQ87" s="560">
        <v>0</v>
      </c>
      <c r="BR87" s="560">
        <v>0</v>
      </c>
      <c r="BS87" s="560">
        <v>555</v>
      </c>
      <c r="BT87" s="560">
        <v>1568</v>
      </c>
      <c r="BU87" s="560">
        <v>12544</v>
      </c>
      <c r="BV87" s="560">
        <v>0</v>
      </c>
      <c r="BW87" s="560">
        <v>0</v>
      </c>
      <c r="BX87" s="560">
        <v>1344</v>
      </c>
      <c r="BY87" s="560">
        <v>12.82</v>
      </c>
      <c r="BZ87" s="560">
        <v>1568</v>
      </c>
      <c r="CA87" s="560">
        <v>26.5</v>
      </c>
      <c r="CB87" s="560">
        <v>0.85</v>
      </c>
      <c r="CC87" s="560">
        <v>49</v>
      </c>
      <c r="CD87" s="560">
        <v>49</v>
      </c>
      <c r="CE87" s="560">
        <v>49</v>
      </c>
      <c r="CF87" s="560">
        <v>49</v>
      </c>
      <c r="CG87" s="560">
        <v>0.29299999999999998</v>
      </c>
      <c r="CH87" s="560">
        <v>0.3</v>
      </c>
      <c r="CI87" s="560">
        <v>0.54</v>
      </c>
      <c r="CJ87" s="560">
        <v>40</v>
      </c>
      <c r="CK87" s="560">
        <v>5</v>
      </c>
      <c r="CL87" s="560">
        <v>1</v>
      </c>
      <c r="CM87" s="562">
        <v>1568</v>
      </c>
      <c r="CN87" s="562">
        <v>168</v>
      </c>
      <c r="CO87" s="562">
        <v>20.45</v>
      </c>
      <c r="CP87" s="562">
        <v>0</v>
      </c>
      <c r="CQ87" s="562">
        <v>0</v>
      </c>
      <c r="CR87" s="562" t="s">
        <v>1718</v>
      </c>
      <c r="CS87" s="562">
        <v>0</v>
      </c>
      <c r="CT87" s="562">
        <v>0</v>
      </c>
      <c r="CU87" s="562">
        <v>0.75</v>
      </c>
      <c r="CV87" s="562">
        <v>2</v>
      </c>
      <c r="CW87" s="562">
        <v>1.75</v>
      </c>
      <c r="CX87" s="562">
        <v>1</v>
      </c>
      <c r="CY87" s="562">
        <v>0.65</v>
      </c>
      <c r="CZ87" s="560">
        <v>1463.4666669999999</v>
      </c>
      <c r="DA87" s="560">
        <v>8.5</v>
      </c>
      <c r="DB87" s="560" t="s">
        <v>1719</v>
      </c>
      <c r="DC87" s="560">
        <v>50</v>
      </c>
      <c r="DD87" s="560">
        <v>4</v>
      </c>
      <c r="DE87" s="560" t="s">
        <v>1720</v>
      </c>
      <c r="DF87" s="560">
        <v>5</v>
      </c>
      <c r="DG87" s="560">
        <v>0</v>
      </c>
      <c r="DH87" s="560">
        <v>4.5</v>
      </c>
      <c r="DI87" s="560">
        <v>4.5</v>
      </c>
      <c r="DJ87" s="560">
        <v>0</v>
      </c>
      <c r="DK87" s="560">
        <v>0</v>
      </c>
      <c r="DL87" s="560">
        <v>0</v>
      </c>
      <c r="DM87" s="560">
        <v>0</v>
      </c>
      <c r="DN87" s="560">
        <v>0</v>
      </c>
      <c r="DO87" s="560">
        <v>0</v>
      </c>
    </row>
    <row r="88" spans="1:119">
      <c r="A88" s="560" t="s">
        <v>787</v>
      </c>
      <c r="B88" s="560" t="s">
        <v>1713</v>
      </c>
      <c r="C88" s="560" t="s">
        <v>779</v>
      </c>
      <c r="D88" s="560">
        <v>3</v>
      </c>
      <c r="E88" s="560">
        <v>380.01735500000001</v>
      </c>
      <c r="F88" s="560">
        <v>57.813293000000002</v>
      </c>
      <c r="G88" s="560">
        <v>6644.9655000000002</v>
      </c>
      <c r="H88" s="560">
        <v>139.9665</v>
      </c>
      <c r="I88" s="560">
        <v>0.91800700000000002</v>
      </c>
      <c r="J88" s="560">
        <v>0.291072</v>
      </c>
      <c r="K88" s="560">
        <v>0.30624000000000001</v>
      </c>
      <c r="L88" s="560">
        <v>0.43839600000000001</v>
      </c>
      <c r="M88" s="560">
        <v>11940.880719000001</v>
      </c>
      <c r="N88" s="560">
        <v>13374.426638000001</v>
      </c>
      <c r="O88" s="560">
        <v>3753.4741770000001</v>
      </c>
      <c r="P88" s="560">
        <v>196.75050200000001</v>
      </c>
      <c r="Q88" s="560">
        <v>318.94623000000001</v>
      </c>
      <c r="R88" s="560">
        <v>2091.3633420000001</v>
      </c>
      <c r="S88" s="560">
        <v>905.31426999999996</v>
      </c>
      <c r="T88" s="560">
        <v>1126.5681159999999</v>
      </c>
      <c r="U88" s="560">
        <v>266.85212000000001</v>
      </c>
      <c r="V88" s="560">
        <v>36.676496999999998</v>
      </c>
      <c r="W88" s="560">
        <v>13.914555</v>
      </c>
      <c r="X88" s="560">
        <v>0</v>
      </c>
      <c r="Y88" s="560">
        <v>26.181176000000001</v>
      </c>
      <c r="Z88" s="560">
        <v>171.67267200000001</v>
      </c>
      <c r="AA88" s="560">
        <v>31913.388945999999</v>
      </c>
      <c r="AB88" s="560">
        <v>35784.253191999996</v>
      </c>
      <c r="AC88" s="560">
        <v>20549.304865999999</v>
      </c>
      <c r="AD88" s="560">
        <v>15243.760714</v>
      </c>
      <c r="AE88" s="560">
        <v>520.35173099999997</v>
      </c>
      <c r="AF88" s="560">
        <v>10729.590393</v>
      </c>
      <c r="AG88" s="560">
        <v>12228.283647</v>
      </c>
      <c r="AH88" s="560">
        <v>3012.5342179999998</v>
      </c>
      <c r="AI88" s="560">
        <v>0</v>
      </c>
      <c r="AJ88" s="560">
        <v>719.308404</v>
      </c>
      <c r="AK88" s="560">
        <v>0</v>
      </c>
      <c r="AL88" s="560">
        <v>200.75</v>
      </c>
      <c r="AM88" s="560">
        <v>0</v>
      </c>
      <c r="AN88" s="560">
        <v>0</v>
      </c>
      <c r="AO88" s="560">
        <v>0</v>
      </c>
      <c r="AP88" s="560">
        <v>0</v>
      </c>
      <c r="AQ88" s="560" t="s">
        <v>787</v>
      </c>
      <c r="AR88" s="560" t="s">
        <v>1729</v>
      </c>
      <c r="AS88" s="560">
        <v>0</v>
      </c>
      <c r="AT88" s="560">
        <v>0</v>
      </c>
      <c r="AU88" s="560">
        <v>0</v>
      </c>
      <c r="AV88" s="560">
        <v>69</v>
      </c>
      <c r="AW88" s="560">
        <v>64</v>
      </c>
      <c r="AX88" s="560">
        <v>74</v>
      </c>
      <c r="AY88" s="560">
        <v>78</v>
      </c>
      <c r="AZ88" s="560">
        <v>1</v>
      </c>
      <c r="BA88" s="560">
        <v>2085</v>
      </c>
      <c r="BB88" s="560">
        <v>0</v>
      </c>
      <c r="BC88" s="560">
        <v>0.5</v>
      </c>
      <c r="BD88" s="560">
        <v>0</v>
      </c>
      <c r="BE88" s="560" t="s">
        <v>1798</v>
      </c>
      <c r="BF88" s="560">
        <v>2</v>
      </c>
      <c r="BG88" s="560">
        <v>13</v>
      </c>
      <c r="BH88" s="560">
        <v>1</v>
      </c>
      <c r="BI88" s="560">
        <v>2</v>
      </c>
      <c r="BJ88" s="560">
        <v>35</v>
      </c>
      <c r="BK88" s="560">
        <v>0</v>
      </c>
      <c r="BL88" s="560" t="s">
        <v>1716</v>
      </c>
      <c r="BM88" s="560">
        <v>0.05</v>
      </c>
      <c r="BN88" s="560">
        <v>200</v>
      </c>
      <c r="BO88" s="560">
        <v>20</v>
      </c>
      <c r="BP88" s="560" t="s">
        <v>1717</v>
      </c>
      <c r="BQ88" s="560">
        <v>0</v>
      </c>
      <c r="BR88" s="560">
        <v>0</v>
      </c>
      <c r="BS88" s="560">
        <v>555</v>
      </c>
      <c r="BT88" s="560">
        <v>1568</v>
      </c>
      <c r="BU88" s="560">
        <v>12544</v>
      </c>
      <c r="BV88" s="560">
        <v>0</v>
      </c>
      <c r="BW88" s="560">
        <v>0</v>
      </c>
      <c r="BX88" s="560">
        <v>1344</v>
      </c>
      <c r="BY88" s="560">
        <v>10.3</v>
      </c>
      <c r="BZ88" s="560">
        <v>1568</v>
      </c>
      <c r="CA88" s="560">
        <v>26.5</v>
      </c>
      <c r="CB88" s="560">
        <v>0.85</v>
      </c>
      <c r="CC88" s="560">
        <v>49</v>
      </c>
      <c r="CD88" s="560">
        <v>49</v>
      </c>
      <c r="CE88" s="560">
        <v>49</v>
      </c>
      <c r="CF88" s="560">
        <v>49</v>
      </c>
      <c r="CG88" s="560">
        <v>0.29299999999999998</v>
      </c>
      <c r="CH88" s="560">
        <v>0.3</v>
      </c>
      <c r="CI88" s="560">
        <v>0.54</v>
      </c>
      <c r="CJ88" s="560">
        <v>40</v>
      </c>
      <c r="CK88" s="560">
        <v>5</v>
      </c>
      <c r="CL88" s="560">
        <v>1</v>
      </c>
      <c r="CM88" s="562">
        <v>1568</v>
      </c>
      <c r="CN88" s="562">
        <v>168</v>
      </c>
      <c r="CO88" s="562">
        <v>15.8</v>
      </c>
      <c r="CP88" s="562">
        <v>0</v>
      </c>
      <c r="CQ88" s="562">
        <v>0</v>
      </c>
      <c r="CR88" s="562" t="s">
        <v>1718</v>
      </c>
      <c r="CS88" s="562">
        <v>0</v>
      </c>
      <c r="CT88" s="562">
        <v>0</v>
      </c>
      <c r="CU88" s="562">
        <v>0.75</v>
      </c>
      <c r="CV88" s="562">
        <v>2</v>
      </c>
      <c r="CW88" s="562">
        <v>1.75</v>
      </c>
      <c r="CX88" s="562">
        <v>1</v>
      </c>
      <c r="CY88" s="562">
        <v>0.65</v>
      </c>
      <c r="CZ88" s="560">
        <v>1463.4666669999999</v>
      </c>
      <c r="DA88" s="560">
        <v>8.5</v>
      </c>
      <c r="DB88" s="560" t="s">
        <v>1719</v>
      </c>
      <c r="DC88" s="560">
        <v>50</v>
      </c>
      <c r="DD88" s="560">
        <v>4</v>
      </c>
      <c r="DE88" s="560" t="s">
        <v>1720</v>
      </c>
      <c r="DF88" s="560">
        <v>5</v>
      </c>
      <c r="DG88" s="560">
        <v>0</v>
      </c>
      <c r="DH88" s="560">
        <v>4.5</v>
      </c>
      <c r="DI88" s="560">
        <v>4.5</v>
      </c>
      <c r="DJ88" s="560">
        <v>0</v>
      </c>
      <c r="DK88" s="560">
        <v>0</v>
      </c>
      <c r="DL88" s="560">
        <v>0</v>
      </c>
      <c r="DM88" s="560">
        <v>0</v>
      </c>
      <c r="DN88" s="560">
        <v>0</v>
      </c>
      <c r="DO88" s="560">
        <v>0</v>
      </c>
    </row>
    <row r="89" spans="1:119">
      <c r="A89" s="560" t="s">
        <v>789</v>
      </c>
      <c r="B89" s="560" t="s">
        <v>1713</v>
      </c>
      <c r="C89" s="560" t="s">
        <v>782</v>
      </c>
      <c r="D89" s="560">
        <v>3</v>
      </c>
      <c r="E89" s="560">
        <v>380.01735500000001</v>
      </c>
      <c r="F89" s="560">
        <v>57.813293000000002</v>
      </c>
      <c r="G89" s="560">
        <v>6644.9655000000002</v>
      </c>
      <c r="H89" s="560">
        <v>391.60199999999998</v>
      </c>
      <c r="I89" s="560">
        <v>0.91800700000000002</v>
      </c>
      <c r="J89" s="560">
        <v>0.291072</v>
      </c>
      <c r="K89" s="560">
        <v>0.30624000000000001</v>
      </c>
      <c r="L89" s="560">
        <v>0.43839600000000001</v>
      </c>
      <c r="M89" s="560">
        <v>11940.880719000001</v>
      </c>
      <c r="N89" s="560">
        <v>13374.426638000001</v>
      </c>
      <c r="O89" s="560">
        <v>3753.4741770000001</v>
      </c>
      <c r="P89" s="560">
        <v>196.75050200000001</v>
      </c>
      <c r="Q89" s="560">
        <v>318.94623000000001</v>
      </c>
      <c r="R89" s="560">
        <v>2091.3633420000001</v>
      </c>
      <c r="S89" s="560">
        <v>1732.02836</v>
      </c>
      <c r="T89" s="560">
        <v>2029.6643839999999</v>
      </c>
      <c r="U89" s="560">
        <v>478.57834500000001</v>
      </c>
      <c r="V89" s="560">
        <v>37.494019999999999</v>
      </c>
      <c r="W89" s="560">
        <v>8.0577120000000004</v>
      </c>
      <c r="X89" s="560">
        <v>0</v>
      </c>
      <c r="Y89" s="560">
        <v>47.702950000000001</v>
      </c>
      <c r="Z89" s="560">
        <v>312.79316499999999</v>
      </c>
      <c r="AA89" s="560">
        <v>31913.388945999999</v>
      </c>
      <c r="AB89" s="560">
        <v>35784.253191999996</v>
      </c>
      <c r="AC89" s="560">
        <v>20549.304865999999</v>
      </c>
      <c r="AD89" s="560">
        <v>15243.760714</v>
      </c>
      <c r="AE89" s="560">
        <v>520.35173099999997</v>
      </c>
      <c r="AF89" s="560">
        <v>13882.083697</v>
      </c>
      <c r="AG89" s="560">
        <v>16367.170582999999</v>
      </c>
      <c r="AH89" s="560">
        <v>3812.6745580000002</v>
      </c>
      <c r="AI89" s="560">
        <v>0</v>
      </c>
      <c r="AJ89" s="560">
        <v>719.308404</v>
      </c>
      <c r="AK89" s="560">
        <v>0</v>
      </c>
      <c r="AL89" s="560">
        <v>200.75</v>
      </c>
      <c r="AM89" s="560">
        <v>0</v>
      </c>
      <c r="AN89" s="560">
        <v>0</v>
      </c>
      <c r="AO89" s="560">
        <v>0</v>
      </c>
      <c r="AP89" s="560">
        <v>0</v>
      </c>
      <c r="AQ89" s="560" t="s">
        <v>789</v>
      </c>
      <c r="AR89" s="560" t="s">
        <v>1731</v>
      </c>
      <c r="AS89" s="560">
        <v>0</v>
      </c>
      <c r="AT89" s="560">
        <v>0</v>
      </c>
      <c r="AU89" s="560">
        <v>0</v>
      </c>
      <c r="AV89" s="560">
        <v>69</v>
      </c>
      <c r="AW89" s="560">
        <v>64</v>
      </c>
      <c r="AX89" s="560">
        <v>74</v>
      </c>
      <c r="AY89" s="560">
        <v>78</v>
      </c>
      <c r="AZ89" s="560">
        <v>1</v>
      </c>
      <c r="BA89" s="560">
        <v>2085</v>
      </c>
      <c r="BB89" s="560">
        <v>0</v>
      </c>
      <c r="BC89" s="560">
        <v>0.5</v>
      </c>
      <c r="BD89" s="560">
        <v>0</v>
      </c>
      <c r="BE89" s="560" t="s">
        <v>1798</v>
      </c>
      <c r="BF89" s="560">
        <v>2</v>
      </c>
      <c r="BG89" s="560">
        <v>13</v>
      </c>
      <c r="BH89" s="560">
        <v>1</v>
      </c>
      <c r="BI89" s="560">
        <v>2</v>
      </c>
      <c r="BJ89" s="560">
        <v>35</v>
      </c>
      <c r="BK89" s="560">
        <v>0</v>
      </c>
      <c r="BL89" s="560" t="s">
        <v>1716</v>
      </c>
      <c r="BM89" s="560">
        <v>0.05</v>
      </c>
      <c r="BN89" s="560">
        <v>200</v>
      </c>
      <c r="BO89" s="560">
        <v>20</v>
      </c>
      <c r="BP89" s="560" t="s">
        <v>1717</v>
      </c>
      <c r="BQ89" s="560">
        <v>0</v>
      </c>
      <c r="BR89" s="560">
        <v>0</v>
      </c>
      <c r="BS89" s="560">
        <v>555</v>
      </c>
      <c r="BT89" s="560">
        <v>1568</v>
      </c>
      <c r="BU89" s="560">
        <v>12544</v>
      </c>
      <c r="BV89" s="560">
        <v>0</v>
      </c>
      <c r="BW89" s="560">
        <v>0</v>
      </c>
      <c r="BX89" s="560">
        <v>1344</v>
      </c>
      <c r="BY89" s="560">
        <v>10.3</v>
      </c>
      <c r="BZ89" s="560">
        <v>1568</v>
      </c>
      <c r="CA89" s="560">
        <v>26.5</v>
      </c>
      <c r="CB89" s="560">
        <v>0.85</v>
      </c>
      <c r="CC89" s="560">
        <v>49</v>
      </c>
      <c r="CD89" s="560">
        <v>49</v>
      </c>
      <c r="CE89" s="560">
        <v>49</v>
      </c>
      <c r="CF89" s="560">
        <v>49</v>
      </c>
      <c r="CG89" s="560">
        <v>0.29299999999999998</v>
      </c>
      <c r="CH89" s="560">
        <v>0.3</v>
      </c>
      <c r="CI89" s="560">
        <v>0.54</v>
      </c>
      <c r="CJ89" s="560">
        <v>40</v>
      </c>
      <c r="CK89" s="560">
        <v>5</v>
      </c>
      <c r="CL89" s="560">
        <v>1</v>
      </c>
      <c r="CM89" s="562">
        <v>1568</v>
      </c>
      <c r="CN89" s="562">
        <v>168</v>
      </c>
      <c r="CO89" s="562">
        <v>15.8</v>
      </c>
      <c r="CP89" s="562">
        <v>0</v>
      </c>
      <c r="CQ89" s="562">
        <v>0</v>
      </c>
      <c r="CR89" s="562" t="s">
        <v>1718</v>
      </c>
      <c r="CS89" s="562">
        <v>0</v>
      </c>
      <c r="CT89" s="562">
        <v>0</v>
      </c>
      <c r="CU89" s="562">
        <v>0.75</v>
      </c>
      <c r="CV89" s="562">
        <v>2</v>
      </c>
      <c r="CW89" s="562">
        <v>1.75</v>
      </c>
      <c r="CX89" s="562">
        <v>1</v>
      </c>
      <c r="CY89" s="562">
        <v>0.65</v>
      </c>
      <c r="CZ89" s="560">
        <v>1463.4666669999999</v>
      </c>
      <c r="DA89" s="560">
        <v>8.5</v>
      </c>
      <c r="DB89" s="560" t="s">
        <v>1719</v>
      </c>
      <c r="DC89" s="560">
        <v>50</v>
      </c>
      <c r="DD89" s="560">
        <v>4</v>
      </c>
      <c r="DE89" s="560" t="s">
        <v>1720</v>
      </c>
      <c r="DF89" s="560">
        <v>5</v>
      </c>
      <c r="DG89" s="560">
        <v>0</v>
      </c>
      <c r="DH89" s="560">
        <v>4.5</v>
      </c>
      <c r="DI89" s="560">
        <v>4.5</v>
      </c>
      <c r="DJ89" s="560">
        <v>0</v>
      </c>
      <c r="DK89" s="560">
        <v>0</v>
      </c>
      <c r="DL89" s="560">
        <v>0</v>
      </c>
      <c r="DM89" s="560">
        <v>0</v>
      </c>
      <c r="DN89" s="560">
        <v>0</v>
      </c>
      <c r="DO89" s="560">
        <v>0</v>
      </c>
    </row>
    <row r="90" spans="1:119">
      <c r="A90" s="560" t="s">
        <v>791</v>
      </c>
      <c r="B90" s="560" t="s">
        <v>1713</v>
      </c>
      <c r="C90" s="560" t="s">
        <v>785</v>
      </c>
      <c r="D90" s="560">
        <v>3</v>
      </c>
      <c r="E90" s="560">
        <v>380.01735500000001</v>
      </c>
      <c r="F90" s="560">
        <v>57.813293000000002</v>
      </c>
      <c r="G90" s="560">
        <v>6644.9655000000002</v>
      </c>
      <c r="H90" s="560">
        <v>755.94</v>
      </c>
      <c r="I90" s="560">
        <v>0.91800700000000002</v>
      </c>
      <c r="J90" s="560">
        <v>0.291072</v>
      </c>
      <c r="K90" s="560">
        <v>0.30624000000000001</v>
      </c>
      <c r="L90" s="560">
        <v>0.43839600000000001</v>
      </c>
      <c r="M90" s="560">
        <v>11940.880719000001</v>
      </c>
      <c r="N90" s="560">
        <v>13374.426638000001</v>
      </c>
      <c r="O90" s="560">
        <v>3753.4741770000001</v>
      </c>
      <c r="P90" s="560">
        <v>196.75050200000001</v>
      </c>
      <c r="Q90" s="560">
        <v>318.94623000000001</v>
      </c>
      <c r="R90" s="560">
        <v>2091.3633420000001</v>
      </c>
      <c r="S90" s="560">
        <v>2764.746232</v>
      </c>
      <c r="T90" s="560">
        <v>3109.5125739999999</v>
      </c>
      <c r="U90" s="560">
        <v>730.34534399999995</v>
      </c>
      <c r="V90" s="560">
        <v>25.734902000000002</v>
      </c>
      <c r="W90" s="560">
        <v>3.5236619999999998</v>
      </c>
      <c r="X90" s="560">
        <v>0</v>
      </c>
      <c r="Y90" s="560">
        <v>73.796023000000005</v>
      </c>
      <c r="Z90" s="560">
        <v>483.88813699999997</v>
      </c>
      <c r="AA90" s="560">
        <v>31913.388945999999</v>
      </c>
      <c r="AB90" s="560">
        <v>35784.253191999996</v>
      </c>
      <c r="AC90" s="560">
        <v>20549.304865999999</v>
      </c>
      <c r="AD90" s="560">
        <v>15243.760714</v>
      </c>
      <c r="AE90" s="560">
        <v>520.35173099999997</v>
      </c>
      <c r="AF90" s="560">
        <v>14490.695576</v>
      </c>
      <c r="AG90" s="560">
        <v>17850.748640999998</v>
      </c>
      <c r="AH90" s="560">
        <v>3940.1392839999999</v>
      </c>
      <c r="AI90" s="560">
        <v>0</v>
      </c>
      <c r="AJ90" s="560">
        <v>719.308404</v>
      </c>
      <c r="AK90" s="560">
        <v>0</v>
      </c>
      <c r="AL90" s="560">
        <v>200.75</v>
      </c>
      <c r="AM90" s="560">
        <v>0</v>
      </c>
      <c r="AN90" s="560">
        <v>0</v>
      </c>
      <c r="AO90" s="560">
        <v>0</v>
      </c>
      <c r="AP90" s="560">
        <v>0</v>
      </c>
      <c r="AQ90" s="560" t="s">
        <v>791</v>
      </c>
      <c r="AR90" s="560" t="s">
        <v>1733</v>
      </c>
      <c r="AS90" s="560">
        <v>0</v>
      </c>
      <c r="AT90" s="560">
        <v>0</v>
      </c>
      <c r="AU90" s="560">
        <v>0</v>
      </c>
      <c r="AV90" s="560">
        <v>69</v>
      </c>
      <c r="AW90" s="560">
        <v>64</v>
      </c>
      <c r="AX90" s="560">
        <v>74</v>
      </c>
      <c r="AY90" s="560">
        <v>78</v>
      </c>
      <c r="AZ90" s="560">
        <v>1</v>
      </c>
      <c r="BA90" s="560">
        <v>2085</v>
      </c>
      <c r="BB90" s="560">
        <v>0</v>
      </c>
      <c r="BC90" s="560">
        <v>0.5</v>
      </c>
      <c r="BD90" s="560">
        <v>0</v>
      </c>
      <c r="BE90" s="560" t="s">
        <v>1798</v>
      </c>
      <c r="BF90" s="560">
        <v>2</v>
      </c>
      <c r="BG90" s="560">
        <v>13</v>
      </c>
      <c r="BH90" s="560">
        <v>1</v>
      </c>
      <c r="BI90" s="560">
        <v>2</v>
      </c>
      <c r="BJ90" s="560">
        <v>35</v>
      </c>
      <c r="BK90" s="560">
        <v>0</v>
      </c>
      <c r="BL90" s="560" t="s">
        <v>1716</v>
      </c>
      <c r="BM90" s="560">
        <v>0.05</v>
      </c>
      <c r="BN90" s="560">
        <v>200</v>
      </c>
      <c r="BO90" s="560">
        <v>20</v>
      </c>
      <c r="BP90" s="560" t="s">
        <v>1717</v>
      </c>
      <c r="BQ90" s="560">
        <v>0</v>
      </c>
      <c r="BR90" s="560">
        <v>0</v>
      </c>
      <c r="BS90" s="560">
        <v>555</v>
      </c>
      <c r="BT90" s="560">
        <v>1568</v>
      </c>
      <c r="BU90" s="560">
        <v>12544</v>
      </c>
      <c r="BV90" s="560">
        <v>0</v>
      </c>
      <c r="BW90" s="560">
        <v>0</v>
      </c>
      <c r="BX90" s="560">
        <v>1344</v>
      </c>
      <c r="BY90" s="560">
        <v>10.3</v>
      </c>
      <c r="BZ90" s="560">
        <v>1568</v>
      </c>
      <c r="CA90" s="560">
        <v>26.5</v>
      </c>
      <c r="CB90" s="560">
        <v>0.85</v>
      </c>
      <c r="CC90" s="560">
        <v>49</v>
      </c>
      <c r="CD90" s="560">
        <v>49</v>
      </c>
      <c r="CE90" s="560">
        <v>49</v>
      </c>
      <c r="CF90" s="560">
        <v>49</v>
      </c>
      <c r="CG90" s="560">
        <v>0.29299999999999998</v>
      </c>
      <c r="CH90" s="560">
        <v>0.3</v>
      </c>
      <c r="CI90" s="560">
        <v>0.54</v>
      </c>
      <c r="CJ90" s="560">
        <v>40</v>
      </c>
      <c r="CK90" s="560">
        <v>5</v>
      </c>
      <c r="CL90" s="560">
        <v>1</v>
      </c>
      <c r="CM90" s="562">
        <v>1568</v>
      </c>
      <c r="CN90" s="562">
        <v>168</v>
      </c>
      <c r="CO90" s="562">
        <v>15.8</v>
      </c>
      <c r="CP90" s="562">
        <v>0</v>
      </c>
      <c r="CQ90" s="562">
        <v>0</v>
      </c>
      <c r="CR90" s="562" t="s">
        <v>1718</v>
      </c>
      <c r="CS90" s="562">
        <v>0</v>
      </c>
      <c r="CT90" s="562">
        <v>0</v>
      </c>
      <c r="CU90" s="562">
        <v>0.75</v>
      </c>
      <c r="CV90" s="562">
        <v>2</v>
      </c>
      <c r="CW90" s="562">
        <v>1.75</v>
      </c>
      <c r="CX90" s="562">
        <v>1</v>
      </c>
      <c r="CY90" s="562">
        <v>0.65</v>
      </c>
      <c r="CZ90" s="560">
        <v>1463.4666669999999</v>
      </c>
      <c r="DA90" s="560">
        <v>8.5</v>
      </c>
      <c r="DB90" s="560" t="s">
        <v>1719</v>
      </c>
      <c r="DC90" s="560">
        <v>50</v>
      </c>
      <c r="DD90" s="560">
        <v>4</v>
      </c>
      <c r="DE90" s="560" t="s">
        <v>1720</v>
      </c>
      <c r="DF90" s="560">
        <v>5</v>
      </c>
      <c r="DG90" s="560">
        <v>0</v>
      </c>
      <c r="DH90" s="560">
        <v>4.5</v>
      </c>
      <c r="DI90" s="560">
        <v>4.5</v>
      </c>
      <c r="DJ90" s="560">
        <v>0</v>
      </c>
      <c r="DK90" s="560">
        <v>0</v>
      </c>
      <c r="DL90" s="560">
        <v>0</v>
      </c>
      <c r="DM90" s="560">
        <v>0</v>
      </c>
      <c r="DN90" s="560">
        <v>0</v>
      </c>
      <c r="DO90" s="560">
        <v>0</v>
      </c>
    </row>
    <row r="91" spans="1:119">
      <c r="A91" s="560" t="s">
        <v>793</v>
      </c>
      <c r="B91" s="560" t="s">
        <v>1713</v>
      </c>
      <c r="C91" s="560" t="s">
        <v>794</v>
      </c>
      <c r="D91" s="560">
        <v>3</v>
      </c>
      <c r="E91" s="560">
        <v>338.42481900000001</v>
      </c>
      <c r="F91" s="560">
        <v>56.371642999999999</v>
      </c>
      <c r="G91" s="560">
        <v>7927.5</v>
      </c>
      <c r="H91" s="560">
        <v>139.9665</v>
      </c>
      <c r="I91" s="560">
        <v>0.90101900000000001</v>
      </c>
      <c r="J91" s="560">
        <v>0.28298200000000001</v>
      </c>
      <c r="K91" s="560">
        <v>0.30001899999999998</v>
      </c>
      <c r="L91" s="560">
        <v>0.44057400000000002</v>
      </c>
      <c r="M91" s="560">
        <v>12825.949707</v>
      </c>
      <c r="N91" s="560">
        <v>14472.955196999999</v>
      </c>
      <c r="O91" s="560">
        <v>4098.063349</v>
      </c>
      <c r="P91" s="560">
        <v>282.07742100000002</v>
      </c>
      <c r="Q91" s="560">
        <v>342.49434500000001</v>
      </c>
      <c r="R91" s="560">
        <v>2245.7707639999999</v>
      </c>
      <c r="S91" s="560">
        <v>985.15628900000002</v>
      </c>
      <c r="T91" s="560">
        <v>1229.0025949999999</v>
      </c>
      <c r="U91" s="560">
        <v>290.60138899999998</v>
      </c>
      <c r="V91" s="560">
        <v>40.897928999999998</v>
      </c>
      <c r="W91" s="560">
        <v>14.201001</v>
      </c>
      <c r="X91" s="560">
        <v>0</v>
      </c>
      <c r="Y91" s="560">
        <v>28.521100000000001</v>
      </c>
      <c r="Z91" s="560">
        <v>187.01579899999999</v>
      </c>
      <c r="AA91" s="560">
        <v>32085.570392000001</v>
      </c>
      <c r="AB91" s="560">
        <v>35945.083143000003</v>
      </c>
      <c r="AC91" s="560">
        <v>23282.888899000001</v>
      </c>
      <c r="AD91" s="560">
        <v>18090.689631000001</v>
      </c>
      <c r="AE91" s="560">
        <v>520.35173099999997</v>
      </c>
      <c r="AF91" s="560">
        <v>10317.073550999999</v>
      </c>
      <c r="AG91" s="560">
        <v>11765.566656000001</v>
      </c>
      <c r="AH91" s="560">
        <v>2905.0039240000001</v>
      </c>
      <c r="AI91" s="560">
        <v>0</v>
      </c>
      <c r="AJ91" s="560">
        <v>738.68440899999996</v>
      </c>
      <c r="AK91" s="560">
        <v>0</v>
      </c>
      <c r="AL91" s="560">
        <v>200.75</v>
      </c>
      <c r="AM91" s="560">
        <v>0</v>
      </c>
      <c r="AN91" s="560">
        <v>0</v>
      </c>
      <c r="AO91" s="560">
        <v>0</v>
      </c>
      <c r="AP91" s="560">
        <v>0</v>
      </c>
      <c r="AQ91" s="560" t="s">
        <v>793</v>
      </c>
      <c r="AR91" s="560" t="s">
        <v>1738</v>
      </c>
      <c r="AS91" s="560">
        <v>0</v>
      </c>
      <c r="AT91" s="560">
        <v>0</v>
      </c>
      <c r="AU91" s="560">
        <v>0</v>
      </c>
      <c r="AV91" s="560">
        <v>69</v>
      </c>
      <c r="AW91" s="560">
        <v>64</v>
      </c>
      <c r="AX91" s="560">
        <v>74</v>
      </c>
      <c r="AY91" s="560">
        <v>78</v>
      </c>
      <c r="AZ91" s="560">
        <v>1</v>
      </c>
      <c r="BA91" s="560">
        <v>2085</v>
      </c>
      <c r="BB91" s="560">
        <v>0</v>
      </c>
      <c r="BC91" s="560">
        <v>0.5</v>
      </c>
      <c r="BD91" s="560">
        <v>0</v>
      </c>
      <c r="BE91" s="560" t="s">
        <v>1798</v>
      </c>
      <c r="BF91" s="560">
        <v>2</v>
      </c>
      <c r="BG91" s="560">
        <v>13</v>
      </c>
      <c r="BH91" s="560">
        <v>1</v>
      </c>
      <c r="BI91" s="560">
        <v>2</v>
      </c>
      <c r="BJ91" s="560">
        <v>35</v>
      </c>
      <c r="BK91" s="560">
        <v>0</v>
      </c>
      <c r="BL91" s="560" t="s">
        <v>1716</v>
      </c>
      <c r="BM91" s="560">
        <v>0.05</v>
      </c>
      <c r="BN91" s="560">
        <v>200</v>
      </c>
      <c r="BO91" s="560">
        <v>20</v>
      </c>
      <c r="BP91" s="560" t="s">
        <v>1717</v>
      </c>
      <c r="BQ91" s="560">
        <v>0</v>
      </c>
      <c r="BR91" s="560">
        <v>0</v>
      </c>
      <c r="BS91" s="560">
        <v>555</v>
      </c>
      <c r="BT91" s="560">
        <v>1568</v>
      </c>
      <c r="BU91" s="560">
        <v>12544</v>
      </c>
      <c r="BV91" s="560">
        <v>0</v>
      </c>
      <c r="BW91" s="560">
        <v>0</v>
      </c>
      <c r="BX91" s="560">
        <v>1344</v>
      </c>
      <c r="BY91" s="560">
        <v>12.82</v>
      </c>
      <c r="BZ91" s="560">
        <v>1568</v>
      </c>
      <c r="CA91" s="560">
        <v>26.5</v>
      </c>
      <c r="CB91" s="560">
        <v>0.85</v>
      </c>
      <c r="CC91" s="560">
        <v>49</v>
      </c>
      <c r="CD91" s="560">
        <v>49</v>
      </c>
      <c r="CE91" s="560">
        <v>49</v>
      </c>
      <c r="CF91" s="560">
        <v>49</v>
      </c>
      <c r="CG91" s="560">
        <v>0.29299999999999998</v>
      </c>
      <c r="CH91" s="560">
        <v>0.3</v>
      </c>
      <c r="CI91" s="560">
        <v>0.54</v>
      </c>
      <c r="CJ91" s="560">
        <v>40</v>
      </c>
      <c r="CK91" s="560">
        <v>5</v>
      </c>
      <c r="CL91" s="560">
        <v>1</v>
      </c>
      <c r="CM91" s="562">
        <v>1568</v>
      </c>
      <c r="CN91" s="562">
        <v>168</v>
      </c>
      <c r="CO91" s="562">
        <v>20.45</v>
      </c>
      <c r="CP91" s="562">
        <v>0</v>
      </c>
      <c r="CQ91" s="562">
        <v>0</v>
      </c>
      <c r="CR91" s="562" t="s">
        <v>1718</v>
      </c>
      <c r="CS91" s="562">
        <v>0</v>
      </c>
      <c r="CT91" s="562">
        <v>0</v>
      </c>
      <c r="CU91" s="562">
        <v>0.75</v>
      </c>
      <c r="CV91" s="562">
        <v>2</v>
      </c>
      <c r="CW91" s="562">
        <v>1.75</v>
      </c>
      <c r="CX91" s="562">
        <v>1</v>
      </c>
      <c r="CY91" s="562">
        <v>0.65</v>
      </c>
      <c r="CZ91" s="560">
        <v>1463.4666669999999</v>
      </c>
      <c r="DA91" s="560">
        <v>8.5</v>
      </c>
      <c r="DB91" s="560" t="s">
        <v>1719</v>
      </c>
      <c r="DC91" s="560">
        <v>50</v>
      </c>
      <c r="DD91" s="560">
        <v>4</v>
      </c>
      <c r="DE91" s="560" t="s">
        <v>1720</v>
      </c>
      <c r="DF91" s="560">
        <v>5</v>
      </c>
      <c r="DG91" s="560">
        <v>0</v>
      </c>
      <c r="DH91" s="560">
        <v>4.5</v>
      </c>
      <c r="DI91" s="560">
        <v>4.5</v>
      </c>
      <c r="DJ91" s="560">
        <v>0</v>
      </c>
      <c r="DK91" s="560">
        <v>0</v>
      </c>
      <c r="DL91" s="560">
        <v>0</v>
      </c>
      <c r="DM91" s="560">
        <v>0</v>
      </c>
      <c r="DN91" s="560">
        <v>0</v>
      </c>
      <c r="DO91" s="560">
        <v>0</v>
      </c>
    </row>
    <row r="92" spans="1:119">
      <c r="A92" s="560" t="s">
        <v>796</v>
      </c>
      <c r="B92" s="560" t="s">
        <v>1713</v>
      </c>
      <c r="C92" s="560" t="s">
        <v>797</v>
      </c>
      <c r="D92" s="560">
        <v>3</v>
      </c>
      <c r="E92" s="560">
        <v>338.42481900000001</v>
      </c>
      <c r="F92" s="560">
        <v>56.371642999999999</v>
      </c>
      <c r="G92" s="560">
        <v>7927.5</v>
      </c>
      <c r="H92" s="560">
        <v>391.60199999999998</v>
      </c>
      <c r="I92" s="560">
        <v>0.90101900000000001</v>
      </c>
      <c r="J92" s="560">
        <v>0.28298200000000001</v>
      </c>
      <c r="K92" s="560">
        <v>0.30001899999999998</v>
      </c>
      <c r="L92" s="560">
        <v>0.44057400000000002</v>
      </c>
      <c r="M92" s="560">
        <v>12825.949707</v>
      </c>
      <c r="N92" s="560">
        <v>14472.955196999999</v>
      </c>
      <c r="O92" s="560">
        <v>4098.063349</v>
      </c>
      <c r="P92" s="560">
        <v>282.07742100000002</v>
      </c>
      <c r="Q92" s="560">
        <v>342.49434500000001</v>
      </c>
      <c r="R92" s="560">
        <v>2245.7707639999999</v>
      </c>
      <c r="S92" s="560">
        <v>1787.4699639999999</v>
      </c>
      <c r="T92" s="560">
        <v>2099.8190559999998</v>
      </c>
      <c r="U92" s="560">
        <v>495.07978000000003</v>
      </c>
      <c r="V92" s="560">
        <v>40.390009999999997</v>
      </c>
      <c r="W92" s="560">
        <v>8.3333940000000002</v>
      </c>
      <c r="X92" s="560">
        <v>0</v>
      </c>
      <c r="Y92" s="560">
        <v>49.309392000000003</v>
      </c>
      <c r="Z92" s="560">
        <v>323.326774</v>
      </c>
      <c r="AA92" s="560">
        <v>32085.570392000001</v>
      </c>
      <c r="AB92" s="560">
        <v>35945.083143000003</v>
      </c>
      <c r="AC92" s="560">
        <v>23282.888899000001</v>
      </c>
      <c r="AD92" s="560">
        <v>18090.689631000001</v>
      </c>
      <c r="AE92" s="560">
        <v>520.35173099999997</v>
      </c>
      <c r="AF92" s="560">
        <v>13228.101339999999</v>
      </c>
      <c r="AG92" s="560">
        <v>15610.107878000001</v>
      </c>
      <c r="AH92" s="560">
        <v>3648.1287630000002</v>
      </c>
      <c r="AI92" s="560">
        <v>0</v>
      </c>
      <c r="AJ92" s="560">
        <v>738.68440899999996</v>
      </c>
      <c r="AK92" s="560">
        <v>0</v>
      </c>
      <c r="AL92" s="560">
        <v>200.75</v>
      </c>
      <c r="AM92" s="560">
        <v>0</v>
      </c>
      <c r="AN92" s="560">
        <v>0</v>
      </c>
      <c r="AO92" s="560">
        <v>0</v>
      </c>
      <c r="AP92" s="560">
        <v>0</v>
      </c>
      <c r="AQ92" s="560" t="s">
        <v>796</v>
      </c>
      <c r="AR92" s="560" t="s">
        <v>1740</v>
      </c>
      <c r="AS92" s="560">
        <v>0</v>
      </c>
      <c r="AT92" s="560">
        <v>0</v>
      </c>
      <c r="AU92" s="560">
        <v>0</v>
      </c>
      <c r="AV92" s="560">
        <v>69</v>
      </c>
      <c r="AW92" s="560">
        <v>64</v>
      </c>
      <c r="AX92" s="560">
        <v>74</v>
      </c>
      <c r="AY92" s="560">
        <v>78</v>
      </c>
      <c r="AZ92" s="560">
        <v>1</v>
      </c>
      <c r="BA92" s="560">
        <v>2085</v>
      </c>
      <c r="BB92" s="560">
        <v>0</v>
      </c>
      <c r="BC92" s="560">
        <v>0.5</v>
      </c>
      <c r="BD92" s="560">
        <v>0</v>
      </c>
      <c r="BE92" s="560" t="s">
        <v>1798</v>
      </c>
      <c r="BF92" s="560">
        <v>2</v>
      </c>
      <c r="BG92" s="560">
        <v>13</v>
      </c>
      <c r="BH92" s="560">
        <v>1</v>
      </c>
      <c r="BI92" s="560">
        <v>2</v>
      </c>
      <c r="BJ92" s="560">
        <v>35</v>
      </c>
      <c r="BK92" s="560">
        <v>0</v>
      </c>
      <c r="BL92" s="560" t="s">
        <v>1716</v>
      </c>
      <c r="BM92" s="560">
        <v>0.05</v>
      </c>
      <c r="BN92" s="560">
        <v>200</v>
      </c>
      <c r="BO92" s="560">
        <v>20</v>
      </c>
      <c r="BP92" s="560" t="s">
        <v>1717</v>
      </c>
      <c r="BQ92" s="560">
        <v>0</v>
      </c>
      <c r="BR92" s="560">
        <v>0</v>
      </c>
      <c r="BS92" s="560">
        <v>555</v>
      </c>
      <c r="BT92" s="560">
        <v>1568</v>
      </c>
      <c r="BU92" s="560">
        <v>12544</v>
      </c>
      <c r="BV92" s="560">
        <v>0</v>
      </c>
      <c r="BW92" s="560">
        <v>0</v>
      </c>
      <c r="BX92" s="560">
        <v>1344</v>
      </c>
      <c r="BY92" s="560">
        <v>12.82</v>
      </c>
      <c r="BZ92" s="560">
        <v>1568</v>
      </c>
      <c r="CA92" s="560">
        <v>26.5</v>
      </c>
      <c r="CB92" s="560">
        <v>0.85</v>
      </c>
      <c r="CC92" s="560">
        <v>49</v>
      </c>
      <c r="CD92" s="560">
        <v>49</v>
      </c>
      <c r="CE92" s="560">
        <v>49</v>
      </c>
      <c r="CF92" s="560">
        <v>49</v>
      </c>
      <c r="CG92" s="560">
        <v>0.29299999999999998</v>
      </c>
      <c r="CH92" s="560">
        <v>0.3</v>
      </c>
      <c r="CI92" s="560">
        <v>0.54</v>
      </c>
      <c r="CJ92" s="560">
        <v>40</v>
      </c>
      <c r="CK92" s="560">
        <v>5</v>
      </c>
      <c r="CL92" s="560">
        <v>1</v>
      </c>
      <c r="CM92" s="562">
        <v>1568</v>
      </c>
      <c r="CN92" s="562">
        <v>168</v>
      </c>
      <c r="CO92" s="562">
        <v>20.45</v>
      </c>
      <c r="CP92" s="562">
        <v>0</v>
      </c>
      <c r="CQ92" s="562">
        <v>0</v>
      </c>
      <c r="CR92" s="562" t="s">
        <v>1718</v>
      </c>
      <c r="CS92" s="562">
        <v>0</v>
      </c>
      <c r="CT92" s="562">
        <v>0</v>
      </c>
      <c r="CU92" s="562">
        <v>0.75</v>
      </c>
      <c r="CV92" s="562">
        <v>2</v>
      </c>
      <c r="CW92" s="562">
        <v>1.75</v>
      </c>
      <c r="CX92" s="562">
        <v>1</v>
      </c>
      <c r="CY92" s="562">
        <v>0.65</v>
      </c>
      <c r="CZ92" s="560">
        <v>1463.4666669999999</v>
      </c>
      <c r="DA92" s="560">
        <v>8.5</v>
      </c>
      <c r="DB92" s="560" t="s">
        <v>1719</v>
      </c>
      <c r="DC92" s="560">
        <v>50</v>
      </c>
      <c r="DD92" s="560">
        <v>4</v>
      </c>
      <c r="DE92" s="560" t="s">
        <v>1720</v>
      </c>
      <c r="DF92" s="560">
        <v>5</v>
      </c>
      <c r="DG92" s="560">
        <v>0</v>
      </c>
      <c r="DH92" s="560">
        <v>4.5</v>
      </c>
      <c r="DI92" s="560">
        <v>4.5</v>
      </c>
      <c r="DJ92" s="560">
        <v>0</v>
      </c>
      <c r="DK92" s="560">
        <v>0</v>
      </c>
      <c r="DL92" s="560">
        <v>0</v>
      </c>
      <c r="DM92" s="560">
        <v>0</v>
      </c>
      <c r="DN92" s="560">
        <v>0</v>
      </c>
      <c r="DO92" s="560">
        <v>0</v>
      </c>
    </row>
    <row r="93" spans="1:119">
      <c r="A93" s="560" t="s">
        <v>799</v>
      </c>
      <c r="B93" s="560" t="s">
        <v>1713</v>
      </c>
      <c r="C93" s="560" t="s">
        <v>800</v>
      </c>
      <c r="D93" s="560">
        <v>3</v>
      </c>
      <c r="E93" s="560">
        <v>338.42481900000001</v>
      </c>
      <c r="F93" s="560">
        <v>56.371642999999999</v>
      </c>
      <c r="G93" s="560">
        <v>7927.5</v>
      </c>
      <c r="H93" s="560">
        <v>755.94</v>
      </c>
      <c r="I93" s="560">
        <v>0.90101900000000001</v>
      </c>
      <c r="J93" s="560">
        <v>0.28298200000000001</v>
      </c>
      <c r="K93" s="560">
        <v>0.30001899999999998</v>
      </c>
      <c r="L93" s="560">
        <v>0.44057400000000002</v>
      </c>
      <c r="M93" s="560">
        <v>12825.949707</v>
      </c>
      <c r="N93" s="560">
        <v>14472.955196999999</v>
      </c>
      <c r="O93" s="560">
        <v>4098.063349</v>
      </c>
      <c r="P93" s="560">
        <v>282.07742100000002</v>
      </c>
      <c r="Q93" s="560">
        <v>342.49434500000001</v>
      </c>
      <c r="R93" s="560">
        <v>2245.7707639999999</v>
      </c>
      <c r="S93" s="560">
        <v>2780.6727470000001</v>
      </c>
      <c r="T93" s="560">
        <v>3129.4627439999999</v>
      </c>
      <c r="U93" s="560">
        <v>735.715868</v>
      </c>
      <c r="V93" s="560">
        <v>27.044108999999999</v>
      </c>
      <c r="W93" s="560">
        <v>3.6758899999999999</v>
      </c>
      <c r="X93" s="560">
        <v>0</v>
      </c>
      <c r="Y93" s="560">
        <v>74.248819999999995</v>
      </c>
      <c r="Z93" s="560">
        <v>486.85717199999999</v>
      </c>
      <c r="AA93" s="560">
        <v>32085.570392000001</v>
      </c>
      <c r="AB93" s="560">
        <v>35945.083143000003</v>
      </c>
      <c r="AC93" s="560">
        <v>23282.888899000001</v>
      </c>
      <c r="AD93" s="560">
        <v>18090.689631000001</v>
      </c>
      <c r="AE93" s="560">
        <v>520.35173099999997</v>
      </c>
      <c r="AF93" s="560">
        <v>13765.383561000001</v>
      </c>
      <c r="AG93" s="560">
        <v>18058.425249</v>
      </c>
      <c r="AH93" s="560">
        <v>3940.2829040000001</v>
      </c>
      <c r="AI93" s="560">
        <v>0</v>
      </c>
      <c r="AJ93" s="560">
        <v>738.68440899999996</v>
      </c>
      <c r="AK93" s="560">
        <v>0</v>
      </c>
      <c r="AL93" s="560">
        <v>200.75</v>
      </c>
      <c r="AM93" s="560">
        <v>0</v>
      </c>
      <c r="AN93" s="560">
        <v>0</v>
      </c>
      <c r="AO93" s="560">
        <v>0</v>
      </c>
      <c r="AP93" s="560">
        <v>0</v>
      </c>
      <c r="AQ93" s="560" t="s">
        <v>799</v>
      </c>
      <c r="AR93" s="560" t="s">
        <v>1742</v>
      </c>
      <c r="AS93" s="560">
        <v>0</v>
      </c>
      <c r="AT93" s="560">
        <v>0</v>
      </c>
      <c r="AU93" s="560">
        <v>0</v>
      </c>
      <c r="AV93" s="560">
        <v>69</v>
      </c>
      <c r="AW93" s="560">
        <v>64</v>
      </c>
      <c r="AX93" s="560">
        <v>74</v>
      </c>
      <c r="AY93" s="560">
        <v>78</v>
      </c>
      <c r="AZ93" s="560">
        <v>1</v>
      </c>
      <c r="BA93" s="560">
        <v>2085</v>
      </c>
      <c r="BB93" s="560">
        <v>0</v>
      </c>
      <c r="BC93" s="560">
        <v>0.5</v>
      </c>
      <c r="BD93" s="560">
        <v>0</v>
      </c>
      <c r="BE93" s="560" t="s">
        <v>1798</v>
      </c>
      <c r="BF93" s="560">
        <v>2</v>
      </c>
      <c r="BG93" s="560">
        <v>13</v>
      </c>
      <c r="BH93" s="560">
        <v>1</v>
      </c>
      <c r="BI93" s="560">
        <v>2</v>
      </c>
      <c r="BJ93" s="560">
        <v>35</v>
      </c>
      <c r="BK93" s="560">
        <v>0</v>
      </c>
      <c r="BL93" s="560" t="s">
        <v>1716</v>
      </c>
      <c r="BM93" s="560">
        <v>0.05</v>
      </c>
      <c r="BN93" s="560">
        <v>200</v>
      </c>
      <c r="BO93" s="560">
        <v>20</v>
      </c>
      <c r="BP93" s="560" t="s">
        <v>1717</v>
      </c>
      <c r="BQ93" s="560">
        <v>0</v>
      </c>
      <c r="BR93" s="560">
        <v>0</v>
      </c>
      <c r="BS93" s="560">
        <v>555</v>
      </c>
      <c r="BT93" s="560">
        <v>1568</v>
      </c>
      <c r="BU93" s="560">
        <v>12544</v>
      </c>
      <c r="BV93" s="560">
        <v>0</v>
      </c>
      <c r="BW93" s="560">
        <v>0</v>
      </c>
      <c r="BX93" s="560">
        <v>1344</v>
      </c>
      <c r="BY93" s="560">
        <v>12.82</v>
      </c>
      <c r="BZ93" s="560">
        <v>1568</v>
      </c>
      <c r="CA93" s="560">
        <v>26.5</v>
      </c>
      <c r="CB93" s="560">
        <v>0.85</v>
      </c>
      <c r="CC93" s="560">
        <v>49</v>
      </c>
      <c r="CD93" s="560">
        <v>49</v>
      </c>
      <c r="CE93" s="560">
        <v>49</v>
      </c>
      <c r="CF93" s="560">
        <v>49</v>
      </c>
      <c r="CG93" s="560">
        <v>0.29299999999999998</v>
      </c>
      <c r="CH93" s="560">
        <v>0.3</v>
      </c>
      <c r="CI93" s="560">
        <v>0.54</v>
      </c>
      <c r="CJ93" s="560">
        <v>40</v>
      </c>
      <c r="CK93" s="560">
        <v>5</v>
      </c>
      <c r="CL93" s="560">
        <v>1</v>
      </c>
      <c r="CM93" s="562">
        <v>1568</v>
      </c>
      <c r="CN93" s="562">
        <v>168</v>
      </c>
      <c r="CO93" s="562">
        <v>20.45</v>
      </c>
      <c r="CP93" s="562">
        <v>0</v>
      </c>
      <c r="CQ93" s="562">
        <v>0</v>
      </c>
      <c r="CR93" s="562" t="s">
        <v>1718</v>
      </c>
      <c r="CS93" s="562">
        <v>0</v>
      </c>
      <c r="CT93" s="562">
        <v>0</v>
      </c>
      <c r="CU93" s="562">
        <v>0.75</v>
      </c>
      <c r="CV93" s="562">
        <v>2</v>
      </c>
      <c r="CW93" s="562">
        <v>1.75</v>
      </c>
      <c r="CX93" s="562">
        <v>1</v>
      </c>
      <c r="CY93" s="562">
        <v>0.65</v>
      </c>
      <c r="CZ93" s="560">
        <v>1463.4666669999999</v>
      </c>
      <c r="DA93" s="560">
        <v>8.5</v>
      </c>
      <c r="DB93" s="560" t="s">
        <v>1719</v>
      </c>
      <c r="DC93" s="560">
        <v>50</v>
      </c>
      <c r="DD93" s="560">
        <v>4</v>
      </c>
      <c r="DE93" s="560" t="s">
        <v>1720</v>
      </c>
      <c r="DF93" s="560">
        <v>5</v>
      </c>
      <c r="DG93" s="560">
        <v>0</v>
      </c>
      <c r="DH93" s="560">
        <v>4.5</v>
      </c>
      <c r="DI93" s="560">
        <v>4.5</v>
      </c>
      <c r="DJ93" s="560">
        <v>0</v>
      </c>
      <c r="DK93" s="560">
        <v>0</v>
      </c>
      <c r="DL93" s="560">
        <v>0</v>
      </c>
      <c r="DM93" s="560">
        <v>0</v>
      </c>
      <c r="DN93" s="560">
        <v>0</v>
      </c>
      <c r="DO93" s="560">
        <v>0</v>
      </c>
    </row>
    <row r="94" spans="1:119">
      <c r="A94" s="560" t="s">
        <v>802</v>
      </c>
      <c r="B94" s="560" t="s">
        <v>1713</v>
      </c>
      <c r="C94" s="560" t="s">
        <v>794</v>
      </c>
      <c r="D94" s="560">
        <v>3</v>
      </c>
      <c r="E94" s="560">
        <v>377.47136499999999</v>
      </c>
      <c r="F94" s="560">
        <v>57.249141999999999</v>
      </c>
      <c r="G94" s="560">
        <v>7927.5</v>
      </c>
      <c r="H94" s="560">
        <v>139.9665</v>
      </c>
      <c r="I94" s="560">
        <v>0.90101900000000001</v>
      </c>
      <c r="J94" s="560">
        <v>0.285999</v>
      </c>
      <c r="K94" s="560">
        <v>0.30008299999999999</v>
      </c>
      <c r="L94" s="560">
        <v>0.44730900000000001</v>
      </c>
      <c r="M94" s="560">
        <v>14640.701261</v>
      </c>
      <c r="N94" s="560">
        <v>16486.838767000001</v>
      </c>
      <c r="O94" s="560">
        <v>4722.1713799999998</v>
      </c>
      <c r="P94" s="560">
        <v>433.25426099999999</v>
      </c>
      <c r="Q94" s="560">
        <v>386.45911799999999</v>
      </c>
      <c r="R94" s="560">
        <v>2534.052318</v>
      </c>
      <c r="S94" s="560">
        <v>905.31426999999996</v>
      </c>
      <c r="T94" s="560">
        <v>1126.5681159999999</v>
      </c>
      <c r="U94" s="560">
        <v>266.85212000000001</v>
      </c>
      <c r="V94" s="560">
        <v>36.676496999999998</v>
      </c>
      <c r="W94" s="560">
        <v>13.914555</v>
      </c>
      <c r="X94" s="560">
        <v>0</v>
      </c>
      <c r="Y94" s="560">
        <v>26.181176000000001</v>
      </c>
      <c r="Z94" s="560">
        <v>171.67267200000001</v>
      </c>
      <c r="AA94" s="560">
        <v>33995.405535999998</v>
      </c>
      <c r="AB94" s="560">
        <v>38021.743934999999</v>
      </c>
      <c r="AC94" s="560">
        <v>25359.54969</v>
      </c>
      <c r="AD94" s="560">
        <v>20167.350422</v>
      </c>
      <c r="AE94" s="560">
        <v>520.35173099999997</v>
      </c>
      <c r="AF94" s="560">
        <v>10729.590393</v>
      </c>
      <c r="AG94" s="560">
        <v>12228.283647</v>
      </c>
      <c r="AH94" s="560">
        <v>3012.5342179999998</v>
      </c>
      <c r="AI94" s="560">
        <v>0</v>
      </c>
      <c r="AJ94" s="560">
        <v>821.98201900000004</v>
      </c>
      <c r="AK94" s="560">
        <v>0</v>
      </c>
      <c r="AL94" s="560">
        <v>200.75</v>
      </c>
      <c r="AM94" s="560">
        <v>0</v>
      </c>
      <c r="AN94" s="560">
        <v>0</v>
      </c>
      <c r="AO94" s="560">
        <v>0</v>
      </c>
      <c r="AP94" s="560">
        <v>0</v>
      </c>
      <c r="AQ94" s="560" t="s">
        <v>802</v>
      </c>
      <c r="AR94" s="560" t="s">
        <v>1738</v>
      </c>
      <c r="AS94" s="560">
        <v>0</v>
      </c>
      <c r="AT94" s="560">
        <v>0</v>
      </c>
      <c r="AU94" s="560">
        <v>0</v>
      </c>
      <c r="AV94" s="560">
        <v>69</v>
      </c>
      <c r="AW94" s="560">
        <v>64</v>
      </c>
      <c r="AX94" s="560">
        <v>74</v>
      </c>
      <c r="AY94" s="560">
        <v>78</v>
      </c>
      <c r="AZ94" s="560">
        <v>1</v>
      </c>
      <c r="BA94" s="560">
        <v>2085</v>
      </c>
      <c r="BB94" s="560">
        <v>0</v>
      </c>
      <c r="BC94" s="560">
        <v>0.5</v>
      </c>
      <c r="BD94" s="560">
        <v>0</v>
      </c>
      <c r="BE94" s="560" t="s">
        <v>1798</v>
      </c>
      <c r="BF94" s="560">
        <v>2</v>
      </c>
      <c r="BG94" s="560">
        <v>13</v>
      </c>
      <c r="BH94" s="560">
        <v>1</v>
      </c>
      <c r="BI94" s="560">
        <v>2</v>
      </c>
      <c r="BJ94" s="560">
        <v>35</v>
      </c>
      <c r="BK94" s="560">
        <v>0</v>
      </c>
      <c r="BL94" s="560" t="s">
        <v>1716</v>
      </c>
      <c r="BM94" s="560">
        <v>0.05</v>
      </c>
      <c r="BN94" s="560">
        <v>200</v>
      </c>
      <c r="BO94" s="560">
        <v>20</v>
      </c>
      <c r="BP94" s="560" t="s">
        <v>1717</v>
      </c>
      <c r="BQ94" s="560">
        <v>0</v>
      </c>
      <c r="BR94" s="560">
        <v>0</v>
      </c>
      <c r="BS94" s="560">
        <v>555</v>
      </c>
      <c r="BT94" s="560">
        <v>1568</v>
      </c>
      <c r="BU94" s="560">
        <v>12544</v>
      </c>
      <c r="BV94" s="560">
        <v>0</v>
      </c>
      <c r="BW94" s="560">
        <v>0</v>
      </c>
      <c r="BX94" s="560">
        <v>1344</v>
      </c>
      <c r="BY94" s="560">
        <v>10.3</v>
      </c>
      <c r="BZ94" s="560">
        <v>1568</v>
      </c>
      <c r="CA94" s="560">
        <v>26.5</v>
      </c>
      <c r="CB94" s="560">
        <v>0.85</v>
      </c>
      <c r="CC94" s="560">
        <v>49</v>
      </c>
      <c r="CD94" s="560">
        <v>49</v>
      </c>
      <c r="CE94" s="560">
        <v>49</v>
      </c>
      <c r="CF94" s="560">
        <v>49</v>
      </c>
      <c r="CG94" s="560">
        <v>0.29299999999999998</v>
      </c>
      <c r="CH94" s="560">
        <v>0.3</v>
      </c>
      <c r="CI94" s="560">
        <v>0.54</v>
      </c>
      <c r="CJ94" s="560">
        <v>40</v>
      </c>
      <c r="CK94" s="560">
        <v>5</v>
      </c>
      <c r="CL94" s="560">
        <v>1</v>
      </c>
      <c r="CM94" s="562">
        <v>1568</v>
      </c>
      <c r="CN94" s="562">
        <v>168</v>
      </c>
      <c r="CO94" s="562">
        <v>15.8</v>
      </c>
      <c r="CP94" s="562">
        <v>0</v>
      </c>
      <c r="CQ94" s="562">
        <v>0</v>
      </c>
      <c r="CR94" s="562" t="s">
        <v>1718</v>
      </c>
      <c r="CS94" s="562">
        <v>0</v>
      </c>
      <c r="CT94" s="562">
        <v>0</v>
      </c>
      <c r="CU94" s="562">
        <v>0.75</v>
      </c>
      <c r="CV94" s="562">
        <v>2</v>
      </c>
      <c r="CW94" s="562">
        <v>1.75</v>
      </c>
      <c r="CX94" s="562">
        <v>1</v>
      </c>
      <c r="CY94" s="562">
        <v>0.65</v>
      </c>
      <c r="CZ94" s="560">
        <v>1463.4666669999999</v>
      </c>
      <c r="DA94" s="560">
        <v>8.5</v>
      </c>
      <c r="DB94" s="560" t="s">
        <v>1719</v>
      </c>
      <c r="DC94" s="560">
        <v>50</v>
      </c>
      <c r="DD94" s="560">
        <v>4</v>
      </c>
      <c r="DE94" s="560" t="s">
        <v>1720</v>
      </c>
      <c r="DF94" s="560">
        <v>5</v>
      </c>
      <c r="DG94" s="560">
        <v>0</v>
      </c>
      <c r="DH94" s="560">
        <v>4.5</v>
      </c>
      <c r="DI94" s="560">
        <v>4.5</v>
      </c>
      <c r="DJ94" s="560">
        <v>0</v>
      </c>
      <c r="DK94" s="560">
        <v>0</v>
      </c>
      <c r="DL94" s="560">
        <v>0</v>
      </c>
      <c r="DM94" s="560">
        <v>0</v>
      </c>
      <c r="DN94" s="560">
        <v>0</v>
      </c>
      <c r="DO94" s="560">
        <v>0</v>
      </c>
    </row>
    <row r="95" spans="1:119">
      <c r="A95" s="560" t="s">
        <v>804</v>
      </c>
      <c r="B95" s="560" t="s">
        <v>1713</v>
      </c>
      <c r="C95" s="560" t="s">
        <v>797</v>
      </c>
      <c r="D95" s="560">
        <v>3</v>
      </c>
      <c r="E95" s="560">
        <v>377.47136499999999</v>
      </c>
      <c r="F95" s="560">
        <v>57.249141999999999</v>
      </c>
      <c r="G95" s="560">
        <v>7927.5</v>
      </c>
      <c r="H95" s="560">
        <v>391.60199999999998</v>
      </c>
      <c r="I95" s="560">
        <v>0.90101900000000001</v>
      </c>
      <c r="J95" s="560">
        <v>0.285999</v>
      </c>
      <c r="K95" s="560">
        <v>0.30008299999999999</v>
      </c>
      <c r="L95" s="560">
        <v>0.44730900000000001</v>
      </c>
      <c r="M95" s="560">
        <v>14640.701261</v>
      </c>
      <c r="N95" s="560">
        <v>16486.838767000001</v>
      </c>
      <c r="O95" s="560">
        <v>4722.1713799999998</v>
      </c>
      <c r="P95" s="560">
        <v>433.25426099999999</v>
      </c>
      <c r="Q95" s="560">
        <v>386.45911799999999</v>
      </c>
      <c r="R95" s="560">
        <v>2534.052318</v>
      </c>
      <c r="S95" s="560">
        <v>1732.02836</v>
      </c>
      <c r="T95" s="560">
        <v>2029.6643839999999</v>
      </c>
      <c r="U95" s="560">
        <v>478.57834500000001</v>
      </c>
      <c r="V95" s="560">
        <v>37.494019999999999</v>
      </c>
      <c r="W95" s="560">
        <v>8.0577120000000004</v>
      </c>
      <c r="X95" s="560">
        <v>0</v>
      </c>
      <c r="Y95" s="560">
        <v>47.702950000000001</v>
      </c>
      <c r="Z95" s="560">
        <v>312.79316499999999</v>
      </c>
      <c r="AA95" s="560">
        <v>33995.405535999998</v>
      </c>
      <c r="AB95" s="560">
        <v>38021.743934999999</v>
      </c>
      <c r="AC95" s="560">
        <v>25359.54969</v>
      </c>
      <c r="AD95" s="560">
        <v>20167.350422</v>
      </c>
      <c r="AE95" s="560">
        <v>520.35173099999997</v>
      </c>
      <c r="AF95" s="560">
        <v>13882.083697</v>
      </c>
      <c r="AG95" s="560">
        <v>16367.170582999999</v>
      </c>
      <c r="AH95" s="560">
        <v>3812.6745580000002</v>
      </c>
      <c r="AI95" s="560">
        <v>0</v>
      </c>
      <c r="AJ95" s="560">
        <v>821.98201900000004</v>
      </c>
      <c r="AK95" s="560">
        <v>0</v>
      </c>
      <c r="AL95" s="560">
        <v>200.75</v>
      </c>
      <c r="AM95" s="560">
        <v>0</v>
      </c>
      <c r="AN95" s="560">
        <v>0</v>
      </c>
      <c r="AO95" s="560">
        <v>0</v>
      </c>
      <c r="AP95" s="560">
        <v>0</v>
      </c>
      <c r="AQ95" s="560" t="s">
        <v>804</v>
      </c>
      <c r="AR95" s="560" t="s">
        <v>1740</v>
      </c>
      <c r="AS95" s="560">
        <v>0</v>
      </c>
      <c r="AT95" s="560">
        <v>0</v>
      </c>
      <c r="AU95" s="560">
        <v>0</v>
      </c>
      <c r="AV95" s="560">
        <v>69</v>
      </c>
      <c r="AW95" s="560">
        <v>64</v>
      </c>
      <c r="AX95" s="560">
        <v>74</v>
      </c>
      <c r="AY95" s="560">
        <v>78</v>
      </c>
      <c r="AZ95" s="560">
        <v>1</v>
      </c>
      <c r="BA95" s="560">
        <v>2085</v>
      </c>
      <c r="BB95" s="560">
        <v>0</v>
      </c>
      <c r="BC95" s="560">
        <v>0.5</v>
      </c>
      <c r="BD95" s="560">
        <v>0</v>
      </c>
      <c r="BE95" s="560" t="s">
        <v>1798</v>
      </c>
      <c r="BF95" s="560">
        <v>2</v>
      </c>
      <c r="BG95" s="560">
        <v>13</v>
      </c>
      <c r="BH95" s="560">
        <v>1</v>
      </c>
      <c r="BI95" s="560">
        <v>2</v>
      </c>
      <c r="BJ95" s="560">
        <v>35</v>
      </c>
      <c r="BK95" s="560">
        <v>0</v>
      </c>
      <c r="BL95" s="560" t="s">
        <v>1716</v>
      </c>
      <c r="BM95" s="560">
        <v>0.05</v>
      </c>
      <c r="BN95" s="560">
        <v>200</v>
      </c>
      <c r="BO95" s="560">
        <v>20</v>
      </c>
      <c r="BP95" s="560" t="s">
        <v>1717</v>
      </c>
      <c r="BQ95" s="560">
        <v>0</v>
      </c>
      <c r="BR95" s="560">
        <v>0</v>
      </c>
      <c r="BS95" s="560">
        <v>555</v>
      </c>
      <c r="BT95" s="560">
        <v>1568</v>
      </c>
      <c r="BU95" s="560">
        <v>12544</v>
      </c>
      <c r="BV95" s="560">
        <v>0</v>
      </c>
      <c r="BW95" s="560">
        <v>0</v>
      </c>
      <c r="BX95" s="560">
        <v>1344</v>
      </c>
      <c r="BY95" s="560">
        <v>10.3</v>
      </c>
      <c r="BZ95" s="560">
        <v>1568</v>
      </c>
      <c r="CA95" s="560">
        <v>26.5</v>
      </c>
      <c r="CB95" s="560">
        <v>0.85</v>
      </c>
      <c r="CC95" s="560">
        <v>49</v>
      </c>
      <c r="CD95" s="560">
        <v>49</v>
      </c>
      <c r="CE95" s="560">
        <v>49</v>
      </c>
      <c r="CF95" s="560">
        <v>49</v>
      </c>
      <c r="CG95" s="560">
        <v>0.29299999999999998</v>
      </c>
      <c r="CH95" s="560">
        <v>0.3</v>
      </c>
      <c r="CI95" s="560">
        <v>0.54</v>
      </c>
      <c r="CJ95" s="560">
        <v>40</v>
      </c>
      <c r="CK95" s="560">
        <v>5</v>
      </c>
      <c r="CL95" s="560">
        <v>1</v>
      </c>
      <c r="CM95" s="562">
        <v>1568</v>
      </c>
      <c r="CN95" s="562">
        <v>168</v>
      </c>
      <c r="CO95" s="562">
        <v>15.8</v>
      </c>
      <c r="CP95" s="562">
        <v>0</v>
      </c>
      <c r="CQ95" s="562">
        <v>0</v>
      </c>
      <c r="CR95" s="562" t="s">
        <v>1718</v>
      </c>
      <c r="CS95" s="562">
        <v>0</v>
      </c>
      <c r="CT95" s="562">
        <v>0</v>
      </c>
      <c r="CU95" s="562">
        <v>0.75</v>
      </c>
      <c r="CV95" s="562">
        <v>2</v>
      </c>
      <c r="CW95" s="562">
        <v>1.75</v>
      </c>
      <c r="CX95" s="562">
        <v>1</v>
      </c>
      <c r="CY95" s="562">
        <v>0.65</v>
      </c>
      <c r="CZ95" s="560">
        <v>1463.4666669999999</v>
      </c>
      <c r="DA95" s="560">
        <v>8.5</v>
      </c>
      <c r="DB95" s="560" t="s">
        <v>1719</v>
      </c>
      <c r="DC95" s="560">
        <v>50</v>
      </c>
      <c r="DD95" s="560">
        <v>4</v>
      </c>
      <c r="DE95" s="560" t="s">
        <v>1720</v>
      </c>
      <c r="DF95" s="560">
        <v>5</v>
      </c>
      <c r="DG95" s="560">
        <v>0</v>
      </c>
      <c r="DH95" s="560">
        <v>4.5</v>
      </c>
      <c r="DI95" s="560">
        <v>4.5</v>
      </c>
      <c r="DJ95" s="560">
        <v>0</v>
      </c>
      <c r="DK95" s="560">
        <v>0</v>
      </c>
      <c r="DL95" s="560">
        <v>0</v>
      </c>
      <c r="DM95" s="560">
        <v>0</v>
      </c>
      <c r="DN95" s="560">
        <v>0</v>
      </c>
      <c r="DO95" s="560">
        <v>0</v>
      </c>
    </row>
    <row r="96" spans="1:119">
      <c r="A96" s="560" t="s">
        <v>806</v>
      </c>
      <c r="B96" s="560" t="s">
        <v>1713</v>
      </c>
      <c r="C96" s="560" t="s">
        <v>800</v>
      </c>
      <c r="D96" s="560">
        <v>3</v>
      </c>
      <c r="E96" s="560">
        <v>377.47136499999999</v>
      </c>
      <c r="F96" s="560">
        <v>57.249141999999999</v>
      </c>
      <c r="G96" s="560">
        <v>7927.5</v>
      </c>
      <c r="H96" s="560">
        <v>755.94</v>
      </c>
      <c r="I96" s="560">
        <v>0.90101900000000001</v>
      </c>
      <c r="J96" s="560">
        <v>0.285999</v>
      </c>
      <c r="K96" s="560">
        <v>0.30008299999999999</v>
      </c>
      <c r="L96" s="560">
        <v>0.44730900000000001</v>
      </c>
      <c r="M96" s="560">
        <v>14640.701261</v>
      </c>
      <c r="N96" s="560">
        <v>16486.838767000001</v>
      </c>
      <c r="O96" s="560">
        <v>4722.1713799999998</v>
      </c>
      <c r="P96" s="560">
        <v>433.25426099999999</v>
      </c>
      <c r="Q96" s="560">
        <v>386.45911799999999</v>
      </c>
      <c r="R96" s="560">
        <v>2534.052318</v>
      </c>
      <c r="S96" s="560">
        <v>2764.746232</v>
      </c>
      <c r="T96" s="560">
        <v>3109.5125739999999</v>
      </c>
      <c r="U96" s="560">
        <v>730.34534399999995</v>
      </c>
      <c r="V96" s="560">
        <v>25.734902000000002</v>
      </c>
      <c r="W96" s="560">
        <v>3.5236619999999998</v>
      </c>
      <c r="X96" s="560">
        <v>0</v>
      </c>
      <c r="Y96" s="560">
        <v>73.796023000000005</v>
      </c>
      <c r="Z96" s="560">
        <v>483.88813699999997</v>
      </c>
      <c r="AA96" s="560">
        <v>33995.405535999998</v>
      </c>
      <c r="AB96" s="560">
        <v>38021.743934999999</v>
      </c>
      <c r="AC96" s="560">
        <v>25359.54969</v>
      </c>
      <c r="AD96" s="560">
        <v>20167.350422</v>
      </c>
      <c r="AE96" s="560">
        <v>520.35173099999997</v>
      </c>
      <c r="AF96" s="560">
        <v>14490.695576</v>
      </c>
      <c r="AG96" s="560">
        <v>17850.748640999998</v>
      </c>
      <c r="AH96" s="560">
        <v>3940.1392839999999</v>
      </c>
      <c r="AI96" s="560">
        <v>0</v>
      </c>
      <c r="AJ96" s="560">
        <v>821.98201900000004</v>
      </c>
      <c r="AK96" s="560">
        <v>0</v>
      </c>
      <c r="AL96" s="560">
        <v>200.75</v>
      </c>
      <c r="AM96" s="560">
        <v>0</v>
      </c>
      <c r="AN96" s="560">
        <v>0</v>
      </c>
      <c r="AO96" s="560">
        <v>0</v>
      </c>
      <c r="AP96" s="560">
        <v>0</v>
      </c>
      <c r="AQ96" s="560" t="s">
        <v>806</v>
      </c>
      <c r="AR96" s="560" t="s">
        <v>1742</v>
      </c>
      <c r="AS96" s="560">
        <v>0</v>
      </c>
      <c r="AT96" s="560">
        <v>0</v>
      </c>
      <c r="AU96" s="560">
        <v>0</v>
      </c>
      <c r="AV96" s="560">
        <v>69</v>
      </c>
      <c r="AW96" s="560">
        <v>64</v>
      </c>
      <c r="AX96" s="560">
        <v>74</v>
      </c>
      <c r="AY96" s="560">
        <v>78</v>
      </c>
      <c r="AZ96" s="560">
        <v>1</v>
      </c>
      <c r="BA96" s="560">
        <v>2085</v>
      </c>
      <c r="BB96" s="560">
        <v>0</v>
      </c>
      <c r="BC96" s="560">
        <v>0.5</v>
      </c>
      <c r="BD96" s="560">
        <v>0</v>
      </c>
      <c r="BE96" s="560" t="s">
        <v>1798</v>
      </c>
      <c r="BF96" s="560">
        <v>2</v>
      </c>
      <c r="BG96" s="560">
        <v>13</v>
      </c>
      <c r="BH96" s="560">
        <v>1</v>
      </c>
      <c r="BI96" s="560">
        <v>2</v>
      </c>
      <c r="BJ96" s="560">
        <v>35</v>
      </c>
      <c r="BK96" s="560">
        <v>0</v>
      </c>
      <c r="BL96" s="560" t="s">
        <v>1716</v>
      </c>
      <c r="BM96" s="560">
        <v>0.05</v>
      </c>
      <c r="BN96" s="560">
        <v>200</v>
      </c>
      <c r="BO96" s="560">
        <v>20</v>
      </c>
      <c r="BP96" s="560" t="s">
        <v>1717</v>
      </c>
      <c r="BQ96" s="560">
        <v>0</v>
      </c>
      <c r="BR96" s="560">
        <v>0</v>
      </c>
      <c r="BS96" s="560">
        <v>555</v>
      </c>
      <c r="BT96" s="560">
        <v>1568</v>
      </c>
      <c r="BU96" s="560">
        <v>12544</v>
      </c>
      <c r="BV96" s="560">
        <v>0</v>
      </c>
      <c r="BW96" s="560">
        <v>0</v>
      </c>
      <c r="BX96" s="560">
        <v>1344</v>
      </c>
      <c r="BY96" s="560">
        <v>10.3</v>
      </c>
      <c r="BZ96" s="560">
        <v>1568</v>
      </c>
      <c r="CA96" s="560">
        <v>26.5</v>
      </c>
      <c r="CB96" s="560">
        <v>0.85</v>
      </c>
      <c r="CC96" s="560">
        <v>49</v>
      </c>
      <c r="CD96" s="560">
        <v>49</v>
      </c>
      <c r="CE96" s="560">
        <v>49</v>
      </c>
      <c r="CF96" s="560">
        <v>49</v>
      </c>
      <c r="CG96" s="560">
        <v>0.29299999999999998</v>
      </c>
      <c r="CH96" s="560">
        <v>0.3</v>
      </c>
      <c r="CI96" s="560">
        <v>0.54</v>
      </c>
      <c r="CJ96" s="560">
        <v>40</v>
      </c>
      <c r="CK96" s="560">
        <v>5</v>
      </c>
      <c r="CL96" s="560">
        <v>1</v>
      </c>
      <c r="CM96" s="562">
        <v>1568</v>
      </c>
      <c r="CN96" s="562">
        <v>168</v>
      </c>
      <c r="CO96" s="562">
        <v>15.8</v>
      </c>
      <c r="CP96" s="562">
        <v>0</v>
      </c>
      <c r="CQ96" s="562">
        <v>0</v>
      </c>
      <c r="CR96" s="562" t="s">
        <v>1718</v>
      </c>
      <c r="CS96" s="562">
        <v>0</v>
      </c>
      <c r="CT96" s="562">
        <v>0</v>
      </c>
      <c r="CU96" s="562">
        <v>0.75</v>
      </c>
      <c r="CV96" s="562">
        <v>2</v>
      </c>
      <c r="CW96" s="562">
        <v>1.75</v>
      </c>
      <c r="CX96" s="562">
        <v>1</v>
      </c>
      <c r="CY96" s="562">
        <v>0.65</v>
      </c>
      <c r="CZ96" s="560">
        <v>1463.4666669999999</v>
      </c>
      <c r="DA96" s="560">
        <v>8.5</v>
      </c>
      <c r="DB96" s="560" t="s">
        <v>1719</v>
      </c>
      <c r="DC96" s="560">
        <v>50</v>
      </c>
      <c r="DD96" s="560">
        <v>4</v>
      </c>
      <c r="DE96" s="560" t="s">
        <v>1720</v>
      </c>
      <c r="DF96" s="560">
        <v>5</v>
      </c>
      <c r="DG96" s="560">
        <v>0</v>
      </c>
      <c r="DH96" s="560">
        <v>4.5</v>
      </c>
      <c r="DI96" s="560">
        <v>4.5</v>
      </c>
      <c r="DJ96" s="560">
        <v>0</v>
      </c>
      <c r="DK96" s="560">
        <v>0</v>
      </c>
      <c r="DL96" s="560">
        <v>0</v>
      </c>
      <c r="DM96" s="560">
        <v>0</v>
      </c>
      <c r="DN96" s="560">
        <v>0</v>
      </c>
      <c r="DO96" s="560">
        <v>0</v>
      </c>
    </row>
    <row r="97" spans="1:119">
      <c r="A97" s="560" t="s">
        <v>808</v>
      </c>
      <c r="B97" s="560" t="s">
        <v>1713</v>
      </c>
      <c r="C97" s="560" t="s">
        <v>764</v>
      </c>
      <c r="D97" s="560">
        <v>3</v>
      </c>
      <c r="E97" s="560">
        <v>418.84601099999998</v>
      </c>
      <c r="F97" s="560">
        <v>57.899014000000001</v>
      </c>
      <c r="G97" s="560">
        <v>4974.4274999999998</v>
      </c>
      <c r="H97" s="560">
        <v>139.9665</v>
      </c>
      <c r="I97" s="560">
        <v>0.968943</v>
      </c>
      <c r="J97" s="560">
        <v>0.282883</v>
      </c>
      <c r="K97" s="560">
        <v>0.31051299999999998</v>
      </c>
      <c r="L97" s="560">
        <v>0.45571200000000001</v>
      </c>
      <c r="M97" s="560">
        <v>8861.6669880000009</v>
      </c>
      <c r="N97" s="560">
        <v>10923.797789</v>
      </c>
      <c r="O97" s="560">
        <v>3084.156618</v>
      </c>
      <c r="P97" s="560">
        <v>180.797517</v>
      </c>
      <c r="Q97" s="560">
        <v>260.95664099999999</v>
      </c>
      <c r="R97" s="560">
        <v>1368.895698</v>
      </c>
      <c r="S97" s="560">
        <v>1357.7904000000001</v>
      </c>
      <c r="T97" s="560">
        <v>1740.904184</v>
      </c>
      <c r="U97" s="560">
        <v>408.95325100000002</v>
      </c>
      <c r="V97" s="560">
        <v>41.588030000000003</v>
      </c>
      <c r="W97" s="560">
        <v>10.271023</v>
      </c>
      <c r="X97" s="560">
        <v>0</v>
      </c>
      <c r="Y97" s="560">
        <v>40.338152000000001</v>
      </c>
      <c r="Z97" s="560">
        <v>211.60113799999999</v>
      </c>
      <c r="AA97" s="560">
        <v>37931.199288999996</v>
      </c>
      <c r="AB97" s="560">
        <v>46398.593072999996</v>
      </c>
      <c r="AC97" s="560">
        <v>28553.488874999999</v>
      </c>
      <c r="AD97" s="560">
        <v>22091.152784000002</v>
      </c>
      <c r="AE97" s="560">
        <v>650.43966399999999</v>
      </c>
      <c r="AF97" s="560">
        <v>14017.235360999999</v>
      </c>
      <c r="AG97" s="560">
        <v>17434.991201000001</v>
      </c>
      <c r="AH97" s="560">
        <v>4205.9201810000004</v>
      </c>
      <c r="AI97" s="560">
        <v>14.7</v>
      </c>
      <c r="AJ97" s="560">
        <v>627.32913399999995</v>
      </c>
      <c r="AK97" s="560">
        <v>0</v>
      </c>
      <c r="AL97" s="560">
        <v>200.75</v>
      </c>
      <c r="AM97" s="560">
        <v>0</v>
      </c>
      <c r="AN97" s="560">
        <v>0</v>
      </c>
      <c r="AO97" s="560">
        <v>0</v>
      </c>
      <c r="AP97" s="560">
        <v>0</v>
      </c>
      <c r="AQ97" s="560" t="s">
        <v>808</v>
      </c>
      <c r="AR97" s="560" t="s">
        <v>1714</v>
      </c>
      <c r="AS97" s="560">
        <v>0</v>
      </c>
      <c r="AT97" s="560">
        <v>0</v>
      </c>
      <c r="AU97" s="560">
        <v>0</v>
      </c>
      <c r="AV97" s="560">
        <v>69</v>
      </c>
      <c r="AW97" s="560">
        <v>64</v>
      </c>
      <c r="AX97" s="560">
        <v>74</v>
      </c>
      <c r="AY97" s="560">
        <v>78</v>
      </c>
      <c r="AZ97" s="560">
        <v>1</v>
      </c>
      <c r="BA97" s="560">
        <v>2268</v>
      </c>
      <c r="BB97" s="560">
        <v>0</v>
      </c>
      <c r="BC97" s="560">
        <v>0.5</v>
      </c>
      <c r="BD97" s="560">
        <v>0</v>
      </c>
      <c r="BE97" s="560" t="s">
        <v>1798</v>
      </c>
      <c r="BF97" s="560">
        <v>2.5</v>
      </c>
      <c r="BG97" s="560">
        <v>17.399999999999999</v>
      </c>
      <c r="BH97" s="560">
        <v>1</v>
      </c>
      <c r="BI97" s="560">
        <v>2</v>
      </c>
      <c r="BJ97" s="560">
        <v>35</v>
      </c>
      <c r="BK97" s="560">
        <v>0</v>
      </c>
      <c r="BL97" s="560" t="s">
        <v>1716</v>
      </c>
      <c r="BM97" s="560">
        <v>0.06</v>
      </c>
      <c r="BN97" s="560">
        <v>300</v>
      </c>
      <c r="BO97" s="560">
        <v>6</v>
      </c>
      <c r="BP97" s="560" t="s">
        <v>1747</v>
      </c>
      <c r="BQ97" s="560">
        <v>0.03</v>
      </c>
      <c r="BR97" s="560">
        <v>80</v>
      </c>
      <c r="BS97" s="560">
        <v>6</v>
      </c>
      <c r="BT97" s="560">
        <v>2200</v>
      </c>
      <c r="BU97" s="560">
        <v>18700</v>
      </c>
      <c r="BV97" s="560">
        <v>200</v>
      </c>
      <c r="BW97" s="560">
        <v>30.609376350000002</v>
      </c>
      <c r="BX97" s="560">
        <v>2210</v>
      </c>
      <c r="BY97" s="560">
        <v>17.543859650000002</v>
      </c>
      <c r="BZ97" s="560">
        <v>1784</v>
      </c>
      <c r="CA97" s="560">
        <v>37.664196859999997</v>
      </c>
      <c r="CB97" s="560">
        <v>0.85</v>
      </c>
      <c r="CC97" s="560">
        <v>91</v>
      </c>
      <c r="CD97" s="560">
        <v>91</v>
      </c>
      <c r="CE97" s="560">
        <v>91</v>
      </c>
      <c r="CF97" s="560">
        <v>91</v>
      </c>
      <c r="CG97" s="560">
        <v>0.29299999999999998</v>
      </c>
      <c r="CH97" s="560">
        <v>0.3</v>
      </c>
      <c r="CI97" s="560">
        <v>0.54</v>
      </c>
      <c r="CJ97" s="560">
        <v>40</v>
      </c>
      <c r="CK97" s="560">
        <v>5</v>
      </c>
      <c r="CL97" s="560">
        <v>1</v>
      </c>
      <c r="CM97" s="562">
        <v>1584</v>
      </c>
      <c r="CN97" s="562">
        <v>160</v>
      </c>
      <c r="CO97" s="562">
        <v>30.609376350000002</v>
      </c>
      <c r="CP97" s="562">
        <v>0</v>
      </c>
      <c r="CQ97" s="562">
        <v>0</v>
      </c>
      <c r="CR97" s="562" t="s">
        <v>1718</v>
      </c>
      <c r="CS97" s="562">
        <v>0</v>
      </c>
      <c r="CT97" s="562">
        <v>0</v>
      </c>
      <c r="CU97" s="562">
        <v>0.75</v>
      </c>
      <c r="CV97" s="562">
        <v>1</v>
      </c>
      <c r="CW97" s="562">
        <v>1.75</v>
      </c>
      <c r="CX97" s="562">
        <v>2</v>
      </c>
      <c r="CY97" s="562">
        <v>1.5</v>
      </c>
      <c r="CZ97" s="560">
        <v>2181.666667</v>
      </c>
      <c r="DA97" s="560">
        <v>11.80555556</v>
      </c>
      <c r="DB97" s="560" t="s">
        <v>1719</v>
      </c>
      <c r="DC97" s="560">
        <v>50</v>
      </c>
      <c r="DD97" s="560">
        <v>4</v>
      </c>
      <c r="DE97" s="560" t="s">
        <v>1720</v>
      </c>
      <c r="DF97" s="560">
        <v>5</v>
      </c>
      <c r="DG97" s="560">
        <v>0</v>
      </c>
      <c r="DH97" s="560">
        <v>4.5</v>
      </c>
      <c r="DI97" s="560">
        <v>4.5</v>
      </c>
      <c r="DJ97" s="560">
        <v>0</v>
      </c>
      <c r="DK97" s="560">
        <v>0</v>
      </c>
      <c r="DL97" s="560">
        <v>0</v>
      </c>
      <c r="DM97" s="560">
        <v>0</v>
      </c>
      <c r="DN97" s="560">
        <v>0</v>
      </c>
      <c r="DO97" s="560">
        <v>0</v>
      </c>
    </row>
    <row r="98" spans="1:119">
      <c r="A98" s="560" t="s">
        <v>810</v>
      </c>
      <c r="B98" s="560" t="s">
        <v>1713</v>
      </c>
      <c r="C98" s="560" t="s">
        <v>767</v>
      </c>
      <c r="D98" s="560">
        <v>3</v>
      </c>
      <c r="E98" s="560">
        <v>418.84601099999998</v>
      </c>
      <c r="F98" s="560">
        <v>57.899014000000001</v>
      </c>
      <c r="G98" s="560">
        <v>4974.4274999999998</v>
      </c>
      <c r="H98" s="560">
        <v>391.60199999999998</v>
      </c>
      <c r="I98" s="560">
        <v>0.968943</v>
      </c>
      <c r="J98" s="560">
        <v>0.282883</v>
      </c>
      <c r="K98" s="560">
        <v>0.31051299999999998</v>
      </c>
      <c r="L98" s="560">
        <v>0.45571200000000001</v>
      </c>
      <c r="M98" s="560">
        <v>8861.6669880000009</v>
      </c>
      <c r="N98" s="560">
        <v>10923.797789</v>
      </c>
      <c r="O98" s="560">
        <v>3084.156618</v>
      </c>
      <c r="P98" s="560">
        <v>180.797517</v>
      </c>
      <c r="Q98" s="560">
        <v>260.95664099999999</v>
      </c>
      <c r="R98" s="560">
        <v>1368.895698</v>
      </c>
      <c r="S98" s="560">
        <v>2433.971168</v>
      </c>
      <c r="T98" s="560">
        <v>3000.6958370000002</v>
      </c>
      <c r="U98" s="560">
        <v>701.82783700000005</v>
      </c>
      <c r="V98" s="560">
        <v>37.729832000000002</v>
      </c>
      <c r="W98" s="560">
        <v>5.5532459999999997</v>
      </c>
      <c r="X98" s="560">
        <v>0</v>
      </c>
      <c r="Y98" s="560">
        <v>70.344628</v>
      </c>
      <c r="Z98" s="560">
        <v>369.00558599999999</v>
      </c>
      <c r="AA98" s="560">
        <v>37931.199288999996</v>
      </c>
      <c r="AB98" s="560">
        <v>46398.593072999996</v>
      </c>
      <c r="AC98" s="560">
        <v>28553.488874999999</v>
      </c>
      <c r="AD98" s="560">
        <v>22091.152784000002</v>
      </c>
      <c r="AE98" s="560">
        <v>650.43966399999999</v>
      </c>
      <c r="AF98" s="560">
        <v>17792.603682000001</v>
      </c>
      <c r="AG98" s="560">
        <v>23583.555646000001</v>
      </c>
      <c r="AH98" s="560">
        <v>5442.7450790000003</v>
      </c>
      <c r="AI98" s="560">
        <v>14.7</v>
      </c>
      <c r="AJ98" s="560">
        <v>627.32913399999995</v>
      </c>
      <c r="AK98" s="560">
        <v>0</v>
      </c>
      <c r="AL98" s="560">
        <v>200.75</v>
      </c>
      <c r="AM98" s="560">
        <v>0</v>
      </c>
      <c r="AN98" s="560">
        <v>0</v>
      </c>
      <c r="AO98" s="560">
        <v>0</v>
      </c>
      <c r="AP98" s="560">
        <v>0</v>
      </c>
      <c r="AQ98" s="560" t="s">
        <v>810</v>
      </c>
      <c r="AR98" s="560" t="s">
        <v>1722</v>
      </c>
      <c r="AS98" s="560">
        <v>0</v>
      </c>
      <c r="AT98" s="560">
        <v>0</v>
      </c>
      <c r="AU98" s="560">
        <v>0</v>
      </c>
      <c r="AV98" s="560">
        <v>69</v>
      </c>
      <c r="AW98" s="560">
        <v>64</v>
      </c>
      <c r="AX98" s="560">
        <v>74</v>
      </c>
      <c r="AY98" s="560">
        <v>78</v>
      </c>
      <c r="AZ98" s="560">
        <v>1</v>
      </c>
      <c r="BA98" s="560">
        <v>2268</v>
      </c>
      <c r="BB98" s="560">
        <v>0</v>
      </c>
      <c r="BC98" s="560">
        <v>0.5</v>
      </c>
      <c r="BD98" s="560">
        <v>0</v>
      </c>
      <c r="BE98" s="560" t="s">
        <v>1798</v>
      </c>
      <c r="BF98" s="560">
        <v>2.5</v>
      </c>
      <c r="BG98" s="560">
        <v>17.399999999999999</v>
      </c>
      <c r="BH98" s="560">
        <v>1</v>
      </c>
      <c r="BI98" s="560">
        <v>2</v>
      </c>
      <c r="BJ98" s="560">
        <v>35</v>
      </c>
      <c r="BK98" s="560">
        <v>0</v>
      </c>
      <c r="BL98" s="560" t="s">
        <v>1716</v>
      </c>
      <c r="BM98" s="560">
        <v>0.06</v>
      </c>
      <c r="BN98" s="560">
        <v>300</v>
      </c>
      <c r="BO98" s="560">
        <v>6</v>
      </c>
      <c r="BP98" s="560" t="s">
        <v>1747</v>
      </c>
      <c r="BQ98" s="560">
        <v>0.03</v>
      </c>
      <c r="BR98" s="560">
        <v>80</v>
      </c>
      <c r="BS98" s="560">
        <v>6</v>
      </c>
      <c r="BT98" s="560">
        <v>2200</v>
      </c>
      <c r="BU98" s="560">
        <v>18700</v>
      </c>
      <c r="BV98" s="560">
        <v>200</v>
      </c>
      <c r="BW98" s="560">
        <v>30.609376350000002</v>
      </c>
      <c r="BX98" s="560">
        <v>2210</v>
      </c>
      <c r="BY98" s="560">
        <v>17.543859650000002</v>
      </c>
      <c r="BZ98" s="560">
        <v>1784</v>
      </c>
      <c r="CA98" s="560">
        <v>37.664196859999997</v>
      </c>
      <c r="CB98" s="560">
        <v>0.85</v>
      </c>
      <c r="CC98" s="560">
        <v>91</v>
      </c>
      <c r="CD98" s="560">
        <v>91</v>
      </c>
      <c r="CE98" s="560">
        <v>91</v>
      </c>
      <c r="CF98" s="560">
        <v>91</v>
      </c>
      <c r="CG98" s="560">
        <v>0.29299999999999998</v>
      </c>
      <c r="CH98" s="560">
        <v>0.3</v>
      </c>
      <c r="CI98" s="560">
        <v>0.54</v>
      </c>
      <c r="CJ98" s="560">
        <v>40</v>
      </c>
      <c r="CK98" s="560">
        <v>5</v>
      </c>
      <c r="CL98" s="560">
        <v>1</v>
      </c>
      <c r="CM98" s="562">
        <v>1584</v>
      </c>
      <c r="CN98" s="562">
        <v>160</v>
      </c>
      <c r="CO98" s="562">
        <v>30.609376350000002</v>
      </c>
      <c r="CP98" s="562">
        <v>0</v>
      </c>
      <c r="CQ98" s="562">
        <v>0</v>
      </c>
      <c r="CR98" s="562" t="s">
        <v>1718</v>
      </c>
      <c r="CS98" s="562">
        <v>0</v>
      </c>
      <c r="CT98" s="562">
        <v>0</v>
      </c>
      <c r="CU98" s="562">
        <v>0.75</v>
      </c>
      <c r="CV98" s="562">
        <v>1</v>
      </c>
      <c r="CW98" s="562">
        <v>1.75</v>
      </c>
      <c r="CX98" s="562">
        <v>2</v>
      </c>
      <c r="CY98" s="562">
        <v>1.5</v>
      </c>
      <c r="CZ98" s="560">
        <v>2181.666667</v>
      </c>
      <c r="DA98" s="560">
        <v>11.80555556</v>
      </c>
      <c r="DB98" s="560" t="s">
        <v>1719</v>
      </c>
      <c r="DC98" s="560">
        <v>50</v>
      </c>
      <c r="DD98" s="560">
        <v>4</v>
      </c>
      <c r="DE98" s="560" t="s">
        <v>1720</v>
      </c>
      <c r="DF98" s="560">
        <v>5</v>
      </c>
      <c r="DG98" s="560">
        <v>0</v>
      </c>
      <c r="DH98" s="560">
        <v>4.5</v>
      </c>
      <c r="DI98" s="560">
        <v>4.5</v>
      </c>
      <c r="DJ98" s="560">
        <v>0</v>
      </c>
      <c r="DK98" s="560">
        <v>0</v>
      </c>
      <c r="DL98" s="560">
        <v>0</v>
      </c>
      <c r="DM98" s="560">
        <v>0</v>
      </c>
      <c r="DN98" s="560">
        <v>0</v>
      </c>
      <c r="DO98" s="560">
        <v>0</v>
      </c>
    </row>
    <row r="99" spans="1:119">
      <c r="A99" s="560" t="s">
        <v>812</v>
      </c>
      <c r="B99" s="560" t="s">
        <v>1713</v>
      </c>
      <c r="C99" s="560" t="s">
        <v>770</v>
      </c>
      <c r="D99" s="560">
        <v>3</v>
      </c>
      <c r="E99" s="560">
        <v>418.84601099999998</v>
      </c>
      <c r="F99" s="560">
        <v>57.899014000000001</v>
      </c>
      <c r="G99" s="560">
        <v>4974.4274999999998</v>
      </c>
      <c r="H99" s="560">
        <v>755.94</v>
      </c>
      <c r="I99" s="560">
        <v>0.968943</v>
      </c>
      <c r="J99" s="560">
        <v>0.282883</v>
      </c>
      <c r="K99" s="560">
        <v>0.31051299999999998</v>
      </c>
      <c r="L99" s="560">
        <v>0.45571200000000001</v>
      </c>
      <c r="M99" s="560">
        <v>8861.6669880000009</v>
      </c>
      <c r="N99" s="560">
        <v>10923.797789</v>
      </c>
      <c r="O99" s="560">
        <v>3084.156618</v>
      </c>
      <c r="P99" s="560">
        <v>180.797517</v>
      </c>
      <c r="Q99" s="560">
        <v>260.95664099999999</v>
      </c>
      <c r="R99" s="560">
        <v>1368.895698</v>
      </c>
      <c r="S99" s="560">
        <v>3736.9932039999999</v>
      </c>
      <c r="T99" s="560">
        <v>4493.4373489999998</v>
      </c>
      <c r="U99" s="560">
        <v>1048.330596</v>
      </c>
      <c r="V99" s="560">
        <v>18.841059000000001</v>
      </c>
      <c r="W99" s="560">
        <v>1.7972440000000001</v>
      </c>
      <c r="X99" s="560">
        <v>0</v>
      </c>
      <c r="Y99" s="560">
        <v>106.59552100000001</v>
      </c>
      <c r="Z99" s="560">
        <v>559.16626299999996</v>
      </c>
      <c r="AA99" s="560">
        <v>37931.199288999996</v>
      </c>
      <c r="AB99" s="560">
        <v>46398.593072999996</v>
      </c>
      <c r="AC99" s="560">
        <v>28553.488874999999</v>
      </c>
      <c r="AD99" s="560">
        <v>22091.152784000002</v>
      </c>
      <c r="AE99" s="560">
        <v>650.43966399999999</v>
      </c>
      <c r="AF99" s="560">
        <v>18246.575421000001</v>
      </c>
      <c r="AG99" s="560">
        <v>23341.947886999998</v>
      </c>
      <c r="AH99" s="560">
        <v>5486.7145909999999</v>
      </c>
      <c r="AI99" s="560">
        <v>14.7</v>
      </c>
      <c r="AJ99" s="560">
        <v>627.32913399999995</v>
      </c>
      <c r="AK99" s="560">
        <v>0</v>
      </c>
      <c r="AL99" s="560">
        <v>200.75</v>
      </c>
      <c r="AM99" s="560">
        <v>0</v>
      </c>
      <c r="AN99" s="560">
        <v>0</v>
      </c>
      <c r="AO99" s="560">
        <v>0</v>
      </c>
      <c r="AP99" s="560">
        <v>0</v>
      </c>
      <c r="AQ99" s="560" t="s">
        <v>812</v>
      </c>
      <c r="AR99" s="560" t="s">
        <v>1724</v>
      </c>
      <c r="AS99" s="560">
        <v>0</v>
      </c>
      <c r="AT99" s="560">
        <v>0</v>
      </c>
      <c r="AU99" s="560">
        <v>0</v>
      </c>
      <c r="AV99" s="560">
        <v>69</v>
      </c>
      <c r="AW99" s="560">
        <v>64</v>
      </c>
      <c r="AX99" s="560">
        <v>74</v>
      </c>
      <c r="AY99" s="560">
        <v>78</v>
      </c>
      <c r="AZ99" s="560">
        <v>1</v>
      </c>
      <c r="BA99" s="560">
        <v>2268</v>
      </c>
      <c r="BB99" s="560">
        <v>0</v>
      </c>
      <c r="BC99" s="560">
        <v>0.5</v>
      </c>
      <c r="BD99" s="560">
        <v>0</v>
      </c>
      <c r="BE99" s="560" t="s">
        <v>1798</v>
      </c>
      <c r="BF99" s="560">
        <v>2.5</v>
      </c>
      <c r="BG99" s="560">
        <v>17.399999999999999</v>
      </c>
      <c r="BH99" s="560">
        <v>1</v>
      </c>
      <c r="BI99" s="560">
        <v>2</v>
      </c>
      <c r="BJ99" s="560">
        <v>35</v>
      </c>
      <c r="BK99" s="560">
        <v>0</v>
      </c>
      <c r="BL99" s="560" t="s">
        <v>1716</v>
      </c>
      <c r="BM99" s="560">
        <v>0.06</v>
      </c>
      <c r="BN99" s="560">
        <v>300</v>
      </c>
      <c r="BO99" s="560">
        <v>6</v>
      </c>
      <c r="BP99" s="560" t="s">
        <v>1747</v>
      </c>
      <c r="BQ99" s="560">
        <v>0.03</v>
      </c>
      <c r="BR99" s="560">
        <v>80</v>
      </c>
      <c r="BS99" s="560">
        <v>6</v>
      </c>
      <c r="BT99" s="560">
        <v>2200</v>
      </c>
      <c r="BU99" s="560">
        <v>18700</v>
      </c>
      <c r="BV99" s="560">
        <v>200</v>
      </c>
      <c r="BW99" s="560">
        <v>30.609376350000002</v>
      </c>
      <c r="BX99" s="560">
        <v>2210</v>
      </c>
      <c r="BY99" s="560">
        <v>17.543859650000002</v>
      </c>
      <c r="BZ99" s="560">
        <v>1784</v>
      </c>
      <c r="CA99" s="560">
        <v>37.664196859999997</v>
      </c>
      <c r="CB99" s="560">
        <v>0.85</v>
      </c>
      <c r="CC99" s="560">
        <v>91</v>
      </c>
      <c r="CD99" s="560">
        <v>91</v>
      </c>
      <c r="CE99" s="560">
        <v>91</v>
      </c>
      <c r="CF99" s="560">
        <v>91</v>
      </c>
      <c r="CG99" s="560">
        <v>0.29299999999999998</v>
      </c>
      <c r="CH99" s="560">
        <v>0.3</v>
      </c>
      <c r="CI99" s="560">
        <v>0.54</v>
      </c>
      <c r="CJ99" s="560">
        <v>40</v>
      </c>
      <c r="CK99" s="560">
        <v>5</v>
      </c>
      <c r="CL99" s="560">
        <v>1</v>
      </c>
      <c r="CM99" s="562">
        <v>1584</v>
      </c>
      <c r="CN99" s="562">
        <v>160</v>
      </c>
      <c r="CO99" s="562">
        <v>30.609376350000002</v>
      </c>
      <c r="CP99" s="562">
        <v>0</v>
      </c>
      <c r="CQ99" s="562">
        <v>0</v>
      </c>
      <c r="CR99" s="562" t="s">
        <v>1718</v>
      </c>
      <c r="CS99" s="562">
        <v>0</v>
      </c>
      <c r="CT99" s="562">
        <v>0</v>
      </c>
      <c r="CU99" s="562">
        <v>0.75</v>
      </c>
      <c r="CV99" s="562">
        <v>1</v>
      </c>
      <c r="CW99" s="562">
        <v>1.75</v>
      </c>
      <c r="CX99" s="562">
        <v>2</v>
      </c>
      <c r="CY99" s="562">
        <v>1.5</v>
      </c>
      <c r="CZ99" s="560">
        <v>2181.666667</v>
      </c>
      <c r="DA99" s="560">
        <v>11.80555556</v>
      </c>
      <c r="DB99" s="560" t="s">
        <v>1719</v>
      </c>
      <c r="DC99" s="560">
        <v>50</v>
      </c>
      <c r="DD99" s="560">
        <v>4</v>
      </c>
      <c r="DE99" s="560" t="s">
        <v>1720</v>
      </c>
      <c r="DF99" s="560">
        <v>5</v>
      </c>
      <c r="DG99" s="560">
        <v>0</v>
      </c>
      <c r="DH99" s="560">
        <v>4.5</v>
      </c>
      <c r="DI99" s="560">
        <v>4.5</v>
      </c>
      <c r="DJ99" s="560">
        <v>0</v>
      </c>
      <c r="DK99" s="560">
        <v>0</v>
      </c>
      <c r="DL99" s="560">
        <v>0</v>
      </c>
      <c r="DM99" s="560">
        <v>0</v>
      </c>
      <c r="DN99" s="560">
        <v>0</v>
      </c>
      <c r="DO99" s="560">
        <v>0</v>
      </c>
    </row>
    <row r="100" spans="1:119">
      <c r="A100" s="560" t="s">
        <v>814</v>
      </c>
      <c r="B100" s="560" t="s">
        <v>1713</v>
      </c>
      <c r="C100" s="560" t="s">
        <v>764</v>
      </c>
      <c r="D100" s="560">
        <v>3</v>
      </c>
      <c r="E100" s="560">
        <v>484.56612999999999</v>
      </c>
      <c r="F100" s="560">
        <v>58.659314999999999</v>
      </c>
      <c r="G100" s="560">
        <v>4974.4274999999998</v>
      </c>
      <c r="H100" s="560">
        <v>139.9665</v>
      </c>
      <c r="I100" s="560">
        <v>0.968943</v>
      </c>
      <c r="J100" s="560">
        <v>0.28729100000000002</v>
      </c>
      <c r="K100" s="560">
        <v>0.309699</v>
      </c>
      <c r="L100" s="560">
        <v>0.474574</v>
      </c>
      <c r="M100" s="560">
        <v>10861.948256</v>
      </c>
      <c r="N100" s="560">
        <v>13477.263252999999</v>
      </c>
      <c r="O100" s="560">
        <v>3749.2211790000001</v>
      </c>
      <c r="P100" s="560">
        <v>143.70703800000001</v>
      </c>
      <c r="Q100" s="560">
        <v>323.29857299999998</v>
      </c>
      <c r="R100" s="560">
        <v>1413.2680700000001</v>
      </c>
      <c r="S100" s="560">
        <v>1310.8397600000001</v>
      </c>
      <c r="T100" s="560">
        <v>1690.842903</v>
      </c>
      <c r="U100" s="560">
        <v>398.34715699999998</v>
      </c>
      <c r="V100" s="560">
        <v>40.770041999999997</v>
      </c>
      <c r="W100" s="560">
        <v>10.377689</v>
      </c>
      <c r="X100" s="560">
        <v>0</v>
      </c>
      <c r="Y100" s="560">
        <v>39.173439999999999</v>
      </c>
      <c r="Z100" s="560">
        <v>171.24285900000001</v>
      </c>
      <c r="AA100" s="560">
        <v>40656.734763</v>
      </c>
      <c r="AB100" s="560">
        <v>50597.908432999997</v>
      </c>
      <c r="AC100" s="560">
        <v>29253.776956999998</v>
      </c>
      <c r="AD100" s="560">
        <v>21498.903168000001</v>
      </c>
      <c r="AE100" s="560">
        <v>780.52759700000001</v>
      </c>
      <c r="AF100" s="560">
        <v>15392.156999999999</v>
      </c>
      <c r="AG100" s="560">
        <v>19208.936202000001</v>
      </c>
      <c r="AH100" s="560">
        <v>4656.9330550000004</v>
      </c>
      <c r="AI100" s="560">
        <v>3.75</v>
      </c>
      <c r="AJ100" s="560">
        <v>750.151476</v>
      </c>
      <c r="AK100" s="560">
        <v>0</v>
      </c>
      <c r="AL100" s="560">
        <v>200.75</v>
      </c>
      <c r="AM100" s="560">
        <v>0</v>
      </c>
      <c r="AN100" s="560">
        <v>0</v>
      </c>
      <c r="AO100" s="560">
        <v>0</v>
      </c>
      <c r="AP100" s="560">
        <v>0</v>
      </c>
      <c r="AQ100" s="560" t="s">
        <v>814</v>
      </c>
      <c r="AR100" s="560" t="s">
        <v>1714</v>
      </c>
      <c r="AS100" s="560">
        <v>0</v>
      </c>
      <c r="AT100" s="560">
        <v>0</v>
      </c>
      <c r="AU100" s="560">
        <v>0</v>
      </c>
      <c r="AV100" s="560">
        <v>69</v>
      </c>
      <c r="AW100" s="560">
        <v>64</v>
      </c>
      <c r="AX100" s="560">
        <v>74</v>
      </c>
      <c r="AY100" s="560">
        <v>78</v>
      </c>
      <c r="AZ100" s="560">
        <v>1</v>
      </c>
      <c r="BA100" s="560">
        <v>2268</v>
      </c>
      <c r="BB100" s="560">
        <v>0</v>
      </c>
      <c r="BC100" s="560">
        <v>0.5</v>
      </c>
      <c r="BD100" s="560">
        <v>0</v>
      </c>
      <c r="BE100" s="560" t="s">
        <v>1798</v>
      </c>
      <c r="BF100" s="560">
        <v>3</v>
      </c>
      <c r="BG100" s="560">
        <v>17.399999999999999</v>
      </c>
      <c r="BH100" s="560">
        <v>1</v>
      </c>
      <c r="BI100" s="560">
        <v>2</v>
      </c>
      <c r="BJ100" s="560">
        <v>35</v>
      </c>
      <c r="BK100" s="560">
        <v>0</v>
      </c>
      <c r="BL100" s="560" t="s">
        <v>1716</v>
      </c>
      <c r="BM100" s="560">
        <v>0.06</v>
      </c>
      <c r="BN100" s="560">
        <v>300</v>
      </c>
      <c r="BO100" s="560">
        <v>4.5</v>
      </c>
      <c r="BP100" s="560" t="s">
        <v>1747</v>
      </c>
      <c r="BQ100" s="560">
        <v>0.03</v>
      </c>
      <c r="BR100" s="560">
        <v>80</v>
      </c>
      <c r="BS100" s="560">
        <v>4.9000000000000004</v>
      </c>
      <c r="BT100" s="560">
        <v>2200</v>
      </c>
      <c r="BU100" s="560">
        <v>18700</v>
      </c>
      <c r="BV100" s="560">
        <v>200</v>
      </c>
      <c r="BW100" s="560">
        <v>26.8</v>
      </c>
      <c r="BX100" s="560">
        <v>2210</v>
      </c>
      <c r="BY100" s="560">
        <v>11.4</v>
      </c>
      <c r="BZ100" s="560">
        <v>1784</v>
      </c>
      <c r="CA100" s="560">
        <v>35</v>
      </c>
      <c r="CB100" s="560">
        <v>0.85</v>
      </c>
      <c r="CC100" s="560">
        <v>91</v>
      </c>
      <c r="CD100" s="560">
        <v>91</v>
      </c>
      <c r="CE100" s="560">
        <v>91</v>
      </c>
      <c r="CF100" s="560">
        <v>91</v>
      </c>
      <c r="CG100" s="560">
        <v>0.29299999999999998</v>
      </c>
      <c r="CH100" s="560">
        <v>0.3</v>
      </c>
      <c r="CI100" s="560">
        <v>0.54</v>
      </c>
      <c r="CJ100" s="560">
        <v>40</v>
      </c>
      <c r="CK100" s="560">
        <v>5</v>
      </c>
      <c r="CL100" s="560">
        <v>1</v>
      </c>
      <c r="CM100" s="562">
        <v>1584</v>
      </c>
      <c r="CN100" s="562">
        <v>160</v>
      </c>
      <c r="CO100" s="562">
        <v>26.8</v>
      </c>
      <c r="CP100" s="562">
        <v>0</v>
      </c>
      <c r="CQ100" s="562">
        <v>0</v>
      </c>
      <c r="CR100" s="562" t="s">
        <v>1718</v>
      </c>
      <c r="CS100" s="562">
        <v>0</v>
      </c>
      <c r="CT100" s="562">
        <v>0</v>
      </c>
      <c r="CU100" s="562">
        <v>0.75</v>
      </c>
      <c r="CV100" s="562">
        <v>1</v>
      </c>
      <c r="CW100" s="562">
        <v>1.75</v>
      </c>
      <c r="CX100" s="562">
        <v>2</v>
      </c>
      <c r="CY100" s="562">
        <v>1.5</v>
      </c>
      <c r="CZ100" s="560">
        <v>2181.666667</v>
      </c>
      <c r="DA100" s="560">
        <v>11.80555556</v>
      </c>
      <c r="DB100" s="560" t="s">
        <v>1719</v>
      </c>
      <c r="DC100" s="560">
        <v>50</v>
      </c>
      <c r="DD100" s="560">
        <v>4</v>
      </c>
      <c r="DE100" s="560" t="s">
        <v>1720</v>
      </c>
      <c r="DF100" s="560">
        <v>5</v>
      </c>
      <c r="DG100" s="560">
        <v>0</v>
      </c>
      <c r="DH100" s="560">
        <v>4.5</v>
      </c>
      <c r="DI100" s="560">
        <v>4.5</v>
      </c>
      <c r="DJ100" s="560">
        <v>0</v>
      </c>
      <c r="DK100" s="560">
        <v>0</v>
      </c>
      <c r="DL100" s="560">
        <v>0</v>
      </c>
      <c r="DM100" s="560">
        <v>0</v>
      </c>
      <c r="DN100" s="560">
        <v>0</v>
      </c>
      <c r="DO100" s="560">
        <v>0</v>
      </c>
    </row>
    <row r="101" spans="1:119">
      <c r="A101" s="560" t="s">
        <v>816</v>
      </c>
      <c r="B101" s="560" t="s">
        <v>1713</v>
      </c>
      <c r="C101" s="560" t="s">
        <v>767</v>
      </c>
      <c r="D101" s="560">
        <v>3</v>
      </c>
      <c r="E101" s="560">
        <v>484.56612999999999</v>
      </c>
      <c r="F101" s="560">
        <v>58.659314999999999</v>
      </c>
      <c r="G101" s="560">
        <v>4974.4274999999998</v>
      </c>
      <c r="H101" s="560">
        <v>391.60199999999998</v>
      </c>
      <c r="I101" s="560">
        <v>0.968943</v>
      </c>
      <c r="J101" s="560">
        <v>0.28729100000000002</v>
      </c>
      <c r="K101" s="560">
        <v>0.309699</v>
      </c>
      <c r="L101" s="560">
        <v>0.474574</v>
      </c>
      <c r="M101" s="560">
        <v>10861.948256</v>
      </c>
      <c r="N101" s="560">
        <v>13477.263252999999</v>
      </c>
      <c r="O101" s="560">
        <v>3749.2211790000001</v>
      </c>
      <c r="P101" s="560">
        <v>143.70703800000001</v>
      </c>
      <c r="Q101" s="560">
        <v>323.29857299999998</v>
      </c>
      <c r="R101" s="560">
        <v>1413.2680700000001</v>
      </c>
      <c r="S101" s="560">
        <v>2462.240816</v>
      </c>
      <c r="T101" s="560">
        <v>3052.5871339999999</v>
      </c>
      <c r="U101" s="560">
        <v>715.893642</v>
      </c>
      <c r="V101" s="560">
        <v>38.264479999999999</v>
      </c>
      <c r="W101" s="560">
        <v>5.5667429999999998</v>
      </c>
      <c r="X101" s="560">
        <v>0</v>
      </c>
      <c r="Y101" s="560">
        <v>71.530586999999997</v>
      </c>
      <c r="Z101" s="560">
        <v>312.68896000000001</v>
      </c>
      <c r="AA101" s="560">
        <v>40656.734763</v>
      </c>
      <c r="AB101" s="560">
        <v>50597.908432999997</v>
      </c>
      <c r="AC101" s="560">
        <v>29253.776956999998</v>
      </c>
      <c r="AD101" s="560">
        <v>21498.903168000001</v>
      </c>
      <c r="AE101" s="560">
        <v>780.52759700000001</v>
      </c>
      <c r="AF101" s="560">
        <v>19645.645417</v>
      </c>
      <c r="AG101" s="560">
        <v>26306.90727</v>
      </c>
      <c r="AH101" s="560">
        <v>6088.1038719999997</v>
      </c>
      <c r="AI101" s="560">
        <v>3.75</v>
      </c>
      <c r="AJ101" s="560">
        <v>750.151476</v>
      </c>
      <c r="AK101" s="560">
        <v>0</v>
      </c>
      <c r="AL101" s="560">
        <v>200.75</v>
      </c>
      <c r="AM101" s="560">
        <v>0</v>
      </c>
      <c r="AN101" s="560">
        <v>0</v>
      </c>
      <c r="AO101" s="560">
        <v>0</v>
      </c>
      <c r="AP101" s="560">
        <v>0</v>
      </c>
      <c r="AQ101" s="560" t="s">
        <v>816</v>
      </c>
      <c r="AR101" s="560" t="s">
        <v>1722</v>
      </c>
      <c r="AS101" s="560">
        <v>0</v>
      </c>
      <c r="AT101" s="560">
        <v>0</v>
      </c>
      <c r="AU101" s="560">
        <v>0</v>
      </c>
      <c r="AV101" s="560">
        <v>69</v>
      </c>
      <c r="AW101" s="560">
        <v>64</v>
      </c>
      <c r="AX101" s="560">
        <v>74</v>
      </c>
      <c r="AY101" s="560">
        <v>78</v>
      </c>
      <c r="AZ101" s="560">
        <v>1</v>
      </c>
      <c r="BA101" s="560">
        <v>2268</v>
      </c>
      <c r="BB101" s="560">
        <v>0</v>
      </c>
      <c r="BC101" s="560">
        <v>0.5</v>
      </c>
      <c r="BD101" s="560">
        <v>0</v>
      </c>
      <c r="BE101" s="560" t="s">
        <v>1798</v>
      </c>
      <c r="BF101" s="560">
        <v>3</v>
      </c>
      <c r="BG101" s="560">
        <v>17.399999999999999</v>
      </c>
      <c r="BH101" s="560">
        <v>1</v>
      </c>
      <c r="BI101" s="560">
        <v>2</v>
      </c>
      <c r="BJ101" s="560">
        <v>35</v>
      </c>
      <c r="BK101" s="560">
        <v>0</v>
      </c>
      <c r="BL101" s="560" t="s">
        <v>1716</v>
      </c>
      <c r="BM101" s="560">
        <v>0.06</v>
      </c>
      <c r="BN101" s="560">
        <v>300</v>
      </c>
      <c r="BO101" s="560">
        <v>4.5</v>
      </c>
      <c r="BP101" s="560" t="s">
        <v>1747</v>
      </c>
      <c r="BQ101" s="560">
        <v>0.03</v>
      </c>
      <c r="BR101" s="560">
        <v>80</v>
      </c>
      <c r="BS101" s="560">
        <v>4.9000000000000004</v>
      </c>
      <c r="BT101" s="560">
        <v>2200</v>
      </c>
      <c r="BU101" s="560">
        <v>18700</v>
      </c>
      <c r="BV101" s="560">
        <v>200</v>
      </c>
      <c r="BW101" s="560">
        <v>26.8</v>
      </c>
      <c r="BX101" s="560">
        <v>2210</v>
      </c>
      <c r="BY101" s="560">
        <v>11.4</v>
      </c>
      <c r="BZ101" s="560">
        <v>1784</v>
      </c>
      <c r="CA101" s="560">
        <v>35</v>
      </c>
      <c r="CB101" s="560">
        <v>0.85</v>
      </c>
      <c r="CC101" s="560">
        <v>91</v>
      </c>
      <c r="CD101" s="560">
        <v>91</v>
      </c>
      <c r="CE101" s="560">
        <v>91</v>
      </c>
      <c r="CF101" s="560">
        <v>91</v>
      </c>
      <c r="CG101" s="560">
        <v>0.29299999999999998</v>
      </c>
      <c r="CH101" s="560">
        <v>0.3</v>
      </c>
      <c r="CI101" s="560">
        <v>0.54</v>
      </c>
      <c r="CJ101" s="560">
        <v>40</v>
      </c>
      <c r="CK101" s="560">
        <v>5</v>
      </c>
      <c r="CL101" s="560">
        <v>1</v>
      </c>
      <c r="CM101" s="562">
        <v>1584</v>
      </c>
      <c r="CN101" s="562">
        <v>160</v>
      </c>
      <c r="CO101" s="562">
        <v>26.8</v>
      </c>
      <c r="CP101" s="562">
        <v>0</v>
      </c>
      <c r="CQ101" s="562">
        <v>0</v>
      </c>
      <c r="CR101" s="562" t="s">
        <v>1718</v>
      </c>
      <c r="CS101" s="562">
        <v>0</v>
      </c>
      <c r="CT101" s="562">
        <v>0</v>
      </c>
      <c r="CU101" s="562">
        <v>0.75</v>
      </c>
      <c r="CV101" s="562">
        <v>1</v>
      </c>
      <c r="CW101" s="562">
        <v>1.75</v>
      </c>
      <c r="CX101" s="562">
        <v>2</v>
      </c>
      <c r="CY101" s="562">
        <v>1.5</v>
      </c>
      <c r="CZ101" s="560">
        <v>2181.666667</v>
      </c>
      <c r="DA101" s="560">
        <v>11.80555556</v>
      </c>
      <c r="DB101" s="560" t="s">
        <v>1719</v>
      </c>
      <c r="DC101" s="560">
        <v>50</v>
      </c>
      <c r="DD101" s="560">
        <v>4</v>
      </c>
      <c r="DE101" s="560" t="s">
        <v>1720</v>
      </c>
      <c r="DF101" s="560">
        <v>5</v>
      </c>
      <c r="DG101" s="560">
        <v>0</v>
      </c>
      <c r="DH101" s="560">
        <v>4.5</v>
      </c>
      <c r="DI101" s="560">
        <v>4.5</v>
      </c>
      <c r="DJ101" s="560">
        <v>0</v>
      </c>
      <c r="DK101" s="560">
        <v>0</v>
      </c>
      <c r="DL101" s="560">
        <v>0</v>
      </c>
      <c r="DM101" s="560">
        <v>0</v>
      </c>
      <c r="DN101" s="560">
        <v>0</v>
      </c>
      <c r="DO101" s="560">
        <v>0</v>
      </c>
    </row>
    <row r="102" spans="1:119">
      <c r="A102" s="560" t="s">
        <v>818</v>
      </c>
      <c r="B102" s="560" t="s">
        <v>1713</v>
      </c>
      <c r="C102" s="560" t="s">
        <v>770</v>
      </c>
      <c r="D102" s="560">
        <v>3</v>
      </c>
      <c r="E102" s="560">
        <v>484.56612999999999</v>
      </c>
      <c r="F102" s="560">
        <v>58.659314999999999</v>
      </c>
      <c r="G102" s="560">
        <v>4974.4274999999998</v>
      </c>
      <c r="H102" s="560">
        <v>755.94</v>
      </c>
      <c r="I102" s="560">
        <v>0.968943</v>
      </c>
      <c r="J102" s="560">
        <v>0.28729100000000002</v>
      </c>
      <c r="K102" s="560">
        <v>0.309699</v>
      </c>
      <c r="L102" s="560">
        <v>0.474574</v>
      </c>
      <c r="M102" s="560">
        <v>10861.948256</v>
      </c>
      <c r="N102" s="560">
        <v>13477.263252999999</v>
      </c>
      <c r="O102" s="560">
        <v>3749.2211790000001</v>
      </c>
      <c r="P102" s="560">
        <v>143.70703800000001</v>
      </c>
      <c r="Q102" s="560">
        <v>323.29857299999998</v>
      </c>
      <c r="R102" s="560">
        <v>1413.2680700000001</v>
      </c>
      <c r="S102" s="560">
        <v>3861.3436959999999</v>
      </c>
      <c r="T102" s="560">
        <v>4675.128721</v>
      </c>
      <c r="U102" s="560">
        <v>1093.609475</v>
      </c>
      <c r="V102" s="560">
        <v>19.861844999999999</v>
      </c>
      <c r="W102" s="560">
        <v>1.816173</v>
      </c>
      <c r="X102" s="560">
        <v>0</v>
      </c>
      <c r="Y102" s="560">
        <v>110.82335999999999</v>
      </c>
      <c r="Z102" s="560">
        <v>484.45347400000003</v>
      </c>
      <c r="AA102" s="560">
        <v>40656.734763</v>
      </c>
      <c r="AB102" s="560">
        <v>50597.908432999997</v>
      </c>
      <c r="AC102" s="560">
        <v>29253.776956999998</v>
      </c>
      <c r="AD102" s="560">
        <v>21498.903168000001</v>
      </c>
      <c r="AE102" s="560">
        <v>780.52759700000001</v>
      </c>
      <c r="AF102" s="560">
        <v>20162.305683999999</v>
      </c>
      <c r="AG102" s="560">
        <v>26024.456443999999</v>
      </c>
      <c r="AH102" s="560">
        <v>6105.3477640000001</v>
      </c>
      <c r="AI102" s="560">
        <v>3.75</v>
      </c>
      <c r="AJ102" s="560">
        <v>750.151476</v>
      </c>
      <c r="AK102" s="560">
        <v>0</v>
      </c>
      <c r="AL102" s="560">
        <v>200.75</v>
      </c>
      <c r="AM102" s="560">
        <v>0</v>
      </c>
      <c r="AN102" s="560">
        <v>0</v>
      </c>
      <c r="AO102" s="560">
        <v>0</v>
      </c>
      <c r="AP102" s="560">
        <v>0</v>
      </c>
      <c r="AQ102" s="560" t="s">
        <v>818</v>
      </c>
      <c r="AR102" s="560" t="s">
        <v>1724</v>
      </c>
      <c r="AS102" s="560">
        <v>0</v>
      </c>
      <c r="AT102" s="560">
        <v>0</v>
      </c>
      <c r="AU102" s="560">
        <v>0</v>
      </c>
      <c r="AV102" s="560">
        <v>69</v>
      </c>
      <c r="AW102" s="560">
        <v>64</v>
      </c>
      <c r="AX102" s="560">
        <v>74</v>
      </c>
      <c r="AY102" s="560">
        <v>78</v>
      </c>
      <c r="AZ102" s="560">
        <v>1</v>
      </c>
      <c r="BA102" s="560">
        <v>2268</v>
      </c>
      <c r="BB102" s="560">
        <v>0</v>
      </c>
      <c r="BC102" s="560">
        <v>0.5</v>
      </c>
      <c r="BD102" s="560">
        <v>0</v>
      </c>
      <c r="BE102" s="560" t="s">
        <v>1798</v>
      </c>
      <c r="BF102" s="560">
        <v>3</v>
      </c>
      <c r="BG102" s="560">
        <v>17.399999999999999</v>
      </c>
      <c r="BH102" s="560">
        <v>1</v>
      </c>
      <c r="BI102" s="560">
        <v>2</v>
      </c>
      <c r="BJ102" s="560">
        <v>35</v>
      </c>
      <c r="BK102" s="560">
        <v>0</v>
      </c>
      <c r="BL102" s="560" t="s">
        <v>1716</v>
      </c>
      <c r="BM102" s="560">
        <v>0.06</v>
      </c>
      <c r="BN102" s="560">
        <v>300</v>
      </c>
      <c r="BO102" s="560">
        <v>4.5</v>
      </c>
      <c r="BP102" s="560" t="s">
        <v>1747</v>
      </c>
      <c r="BQ102" s="560">
        <v>0.03</v>
      </c>
      <c r="BR102" s="560">
        <v>80</v>
      </c>
      <c r="BS102" s="560">
        <v>4.9000000000000004</v>
      </c>
      <c r="BT102" s="560">
        <v>2200</v>
      </c>
      <c r="BU102" s="560">
        <v>18700</v>
      </c>
      <c r="BV102" s="560">
        <v>200</v>
      </c>
      <c r="BW102" s="560">
        <v>26.8</v>
      </c>
      <c r="BX102" s="560">
        <v>2210</v>
      </c>
      <c r="BY102" s="560">
        <v>11.4</v>
      </c>
      <c r="BZ102" s="560">
        <v>1784</v>
      </c>
      <c r="CA102" s="560">
        <v>35</v>
      </c>
      <c r="CB102" s="560">
        <v>0.85</v>
      </c>
      <c r="CC102" s="560">
        <v>91</v>
      </c>
      <c r="CD102" s="560">
        <v>91</v>
      </c>
      <c r="CE102" s="560">
        <v>91</v>
      </c>
      <c r="CF102" s="560">
        <v>91</v>
      </c>
      <c r="CG102" s="560">
        <v>0.29299999999999998</v>
      </c>
      <c r="CH102" s="560">
        <v>0.3</v>
      </c>
      <c r="CI102" s="560">
        <v>0.54</v>
      </c>
      <c r="CJ102" s="560">
        <v>40</v>
      </c>
      <c r="CK102" s="560">
        <v>5</v>
      </c>
      <c r="CL102" s="560">
        <v>1</v>
      </c>
      <c r="CM102" s="562">
        <v>1584</v>
      </c>
      <c r="CN102" s="562">
        <v>160</v>
      </c>
      <c r="CO102" s="562">
        <v>26.8</v>
      </c>
      <c r="CP102" s="562">
        <v>0</v>
      </c>
      <c r="CQ102" s="562">
        <v>0</v>
      </c>
      <c r="CR102" s="562" t="s">
        <v>1718</v>
      </c>
      <c r="CS102" s="562">
        <v>0</v>
      </c>
      <c r="CT102" s="562">
        <v>0</v>
      </c>
      <c r="CU102" s="562">
        <v>0.75</v>
      </c>
      <c r="CV102" s="562">
        <v>1</v>
      </c>
      <c r="CW102" s="562">
        <v>1.75</v>
      </c>
      <c r="CX102" s="562">
        <v>2</v>
      </c>
      <c r="CY102" s="562">
        <v>1.5</v>
      </c>
      <c r="CZ102" s="560">
        <v>2181.666667</v>
      </c>
      <c r="DA102" s="560">
        <v>11.80555556</v>
      </c>
      <c r="DB102" s="560" t="s">
        <v>1719</v>
      </c>
      <c r="DC102" s="560">
        <v>50</v>
      </c>
      <c r="DD102" s="560">
        <v>4</v>
      </c>
      <c r="DE102" s="560" t="s">
        <v>1720</v>
      </c>
      <c r="DF102" s="560">
        <v>5</v>
      </c>
      <c r="DG102" s="560">
        <v>0</v>
      </c>
      <c r="DH102" s="560">
        <v>4.5</v>
      </c>
      <c r="DI102" s="560">
        <v>4.5</v>
      </c>
      <c r="DJ102" s="560">
        <v>0</v>
      </c>
      <c r="DK102" s="560">
        <v>0</v>
      </c>
      <c r="DL102" s="560">
        <v>0</v>
      </c>
      <c r="DM102" s="560">
        <v>0</v>
      </c>
      <c r="DN102" s="560">
        <v>0</v>
      </c>
      <c r="DO102" s="560">
        <v>0</v>
      </c>
    </row>
    <row r="103" spans="1:119">
      <c r="A103" s="560" t="s">
        <v>820</v>
      </c>
      <c r="B103" s="560" t="s">
        <v>1713</v>
      </c>
      <c r="C103" s="560" t="s">
        <v>779</v>
      </c>
      <c r="D103" s="560">
        <v>3</v>
      </c>
      <c r="E103" s="560">
        <v>425.73406999999997</v>
      </c>
      <c r="F103" s="560">
        <v>56.576731000000002</v>
      </c>
      <c r="G103" s="560">
        <v>6644.9655000000002</v>
      </c>
      <c r="H103" s="560">
        <v>139.9665</v>
      </c>
      <c r="I103" s="560">
        <v>0.91800700000000002</v>
      </c>
      <c r="J103" s="560">
        <v>0.31722299999999998</v>
      </c>
      <c r="K103" s="560">
        <v>0.34981200000000001</v>
      </c>
      <c r="L103" s="560">
        <v>0.52137999999999995</v>
      </c>
      <c r="M103" s="560">
        <v>12786.208425999999</v>
      </c>
      <c r="N103" s="560">
        <v>16046.144547</v>
      </c>
      <c r="O103" s="560">
        <v>4648.8032309999999</v>
      </c>
      <c r="P103" s="560">
        <v>514.40059900000006</v>
      </c>
      <c r="Q103" s="560">
        <v>375.38906900000001</v>
      </c>
      <c r="R103" s="560">
        <v>1969.171893</v>
      </c>
      <c r="S103" s="560">
        <v>1357.7904000000001</v>
      </c>
      <c r="T103" s="560">
        <v>1740.904184</v>
      </c>
      <c r="U103" s="560">
        <v>408.95325100000002</v>
      </c>
      <c r="V103" s="560">
        <v>41.588030000000003</v>
      </c>
      <c r="W103" s="560">
        <v>10.271023</v>
      </c>
      <c r="X103" s="560">
        <v>0</v>
      </c>
      <c r="Y103" s="560">
        <v>40.338152000000001</v>
      </c>
      <c r="Z103" s="560">
        <v>211.60113799999999</v>
      </c>
      <c r="AA103" s="560">
        <v>42719.997860000003</v>
      </c>
      <c r="AB103" s="560">
        <v>52556.230679</v>
      </c>
      <c r="AC103" s="560">
        <v>33386.920443000003</v>
      </c>
      <c r="AD103" s="560">
        <v>26871.919039</v>
      </c>
      <c r="AE103" s="560">
        <v>650.43966399999999</v>
      </c>
      <c r="AF103" s="560">
        <v>14017.235360999999</v>
      </c>
      <c r="AG103" s="560">
        <v>17434.991201000001</v>
      </c>
      <c r="AH103" s="560">
        <v>4205.9201810000004</v>
      </c>
      <c r="AI103" s="560">
        <v>14.25</v>
      </c>
      <c r="AJ103" s="560">
        <v>874.27339900000004</v>
      </c>
      <c r="AK103" s="560">
        <v>0</v>
      </c>
      <c r="AL103" s="560">
        <v>200.75</v>
      </c>
      <c r="AM103" s="560">
        <v>0</v>
      </c>
      <c r="AN103" s="560">
        <v>0</v>
      </c>
      <c r="AO103" s="560">
        <v>0</v>
      </c>
      <c r="AP103" s="560">
        <v>0</v>
      </c>
      <c r="AQ103" s="560" t="s">
        <v>820</v>
      </c>
      <c r="AR103" s="560" t="s">
        <v>1729</v>
      </c>
      <c r="AS103" s="560">
        <v>0</v>
      </c>
      <c r="AT103" s="560">
        <v>0</v>
      </c>
      <c r="AU103" s="560">
        <v>0</v>
      </c>
      <c r="AV103" s="560">
        <v>69</v>
      </c>
      <c r="AW103" s="560">
        <v>64</v>
      </c>
      <c r="AX103" s="560">
        <v>74</v>
      </c>
      <c r="AY103" s="560">
        <v>78</v>
      </c>
      <c r="AZ103" s="560">
        <v>1</v>
      </c>
      <c r="BA103" s="560">
        <v>2268</v>
      </c>
      <c r="BB103" s="560">
        <v>0</v>
      </c>
      <c r="BC103" s="560">
        <v>0.5</v>
      </c>
      <c r="BD103" s="560">
        <v>0</v>
      </c>
      <c r="BE103" s="560" t="s">
        <v>1798</v>
      </c>
      <c r="BF103" s="560">
        <v>2.5</v>
      </c>
      <c r="BG103" s="560">
        <v>17.399999999999999</v>
      </c>
      <c r="BH103" s="560">
        <v>1</v>
      </c>
      <c r="BI103" s="560">
        <v>2</v>
      </c>
      <c r="BJ103" s="560">
        <v>35</v>
      </c>
      <c r="BK103" s="560">
        <v>0</v>
      </c>
      <c r="BL103" s="560" t="s">
        <v>1716</v>
      </c>
      <c r="BM103" s="560">
        <v>0.06</v>
      </c>
      <c r="BN103" s="560">
        <v>300</v>
      </c>
      <c r="BO103" s="560">
        <v>6</v>
      </c>
      <c r="BP103" s="560" t="s">
        <v>1747</v>
      </c>
      <c r="BQ103" s="560">
        <v>0.03</v>
      </c>
      <c r="BR103" s="560">
        <v>80</v>
      </c>
      <c r="BS103" s="560">
        <v>6</v>
      </c>
      <c r="BT103" s="560">
        <v>2200</v>
      </c>
      <c r="BU103" s="560">
        <v>18700</v>
      </c>
      <c r="BV103" s="560">
        <v>200</v>
      </c>
      <c r="BW103" s="560">
        <v>30.609376350000002</v>
      </c>
      <c r="BX103" s="560">
        <v>2210</v>
      </c>
      <c r="BY103" s="560">
        <v>17.543859650000002</v>
      </c>
      <c r="BZ103" s="560">
        <v>1784</v>
      </c>
      <c r="CA103" s="560">
        <v>37.664196859999997</v>
      </c>
      <c r="CB103" s="560">
        <v>0.85</v>
      </c>
      <c r="CC103" s="560">
        <v>91</v>
      </c>
      <c r="CD103" s="560">
        <v>91</v>
      </c>
      <c r="CE103" s="560">
        <v>91</v>
      </c>
      <c r="CF103" s="560">
        <v>91</v>
      </c>
      <c r="CG103" s="560">
        <v>0.29299999999999998</v>
      </c>
      <c r="CH103" s="560">
        <v>0.3</v>
      </c>
      <c r="CI103" s="560">
        <v>0.54</v>
      </c>
      <c r="CJ103" s="560">
        <v>40</v>
      </c>
      <c r="CK103" s="560">
        <v>5</v>
      </c>
      <c r="CL103" s="560">
        <v>1</v>
      </c>
      <c r="CM103" s="562">
        <v>1584</v>
      </c>
      <c r="CN103" s="562">
        <v>160</v>
      </c>
      <c r="CO103" s="562">
        <v>30.609376350000002</v>
      </c>
      <c r="CP103" s="562">
        <v>0</v>
      </c>
      <c r="CQ103" s="562">
        <v>0</v>
      </c>
      <c r="CR103" s="562" t="s">
        <v>1718</v>
      </c>
      <c r="CS103" s="562">
        <v>0</v>
      </c>
      <c r="CT103" s="562">
        <v>0</v>
      </c>
      <c r="CU103" s="562">
        <v>0.75</v>
      </c>
      <c r="CV103" s="562">
        <v>1</v>
      </c>
      <c r="CW103" s="562">
        <v>1.75</v>
      </c>
      <c r="CX103" s="562">
        <v>2</v>
      </c>
      <c r="CY103" s="562">
        <v>1.5</v>
      </c>
      <c r="CZ103" s="560">
        <v>2181.666667</v>
      </c>
      <c r="DA103" s="560">
        <v>11.80555556</v>
      </c>
      <c r="DB103" s="560" t="s">
        <v>1719</v>
      </c>
      <c r="DC103" s="560">
        <v>50</v>
      </c>
      <c r="DD103" s="560">
        <v>4</v>
      </c>
      <c r="DE103" s="560" t="s">
        <v>1720</v>
      </c>
      <c r="DF103" s="560">
        <v>5</v>
      </c>
      <c r="DG103" s="560">
        <v>0</v>
      </c>
      <c r="DH103" s="560">
        <v>4.5</v>
      </c>
      <c r="DI103" s="560">
        <v>4.5</v>
      </c>
      <c r="DJ103" s="560">
        <v>0</v>
      </c>
      <c r="DK103" s="560">
        <v>0</v>
      </c>
      <c r="DL103" s="560">
        <v>0</v>
      </c>
      <c r="DM103" s="560">
        <v>0</v>
      </c>
      <c r="DN103" s="560">
        <v>0</v>
      </c>
      <c r="DO103" s="560">
        <v>0</v>
      </c>
    </row>
    <row r="104" spans="1:119">
      <c r="A104" s="560" t="s">
        <v>821</v>
      </c>
      <c r="B104" s="560" t="s">
        <v>1713</v>
      </c>
      <c r="C104" s="560" t="s">
        <v>782</v>
      </c>
      <c r="D104" s="560">
        <v>3</v>
      </c>
      <c r="E104" s="560">
        <v>425.73406999999997</v>
      </c>
      <c r="F104" s="560">
        <v>56.576731000000002</v>
      </c>
      <c r="G104" s="560">
        <v>6644.9655000000002</v>
      </c>
      <c r="H104" s="560">
        <v>391.60199999999998</v>
      </c>
      <c r="I104" s="560">
        <v>0.91800700000000002</v>
      </c>
      <c r="J104" s="560">
        <v>0.31722299999999998</v>
      </c>
      <c r="K104" s="560">
        <v>0.34981200000000001</v>
      </c>
      <c r="L104" s="560">
        <v>0.52137999999999995</v>
      </c>
      <c r="M104" s="560">
        <v>12786.208425999999</v>
      </c>
      <c r="N104" s="560">
        <v>16046.144547</v>
      </c>
      <c r="O104" s="560">
        <v>4648.8032309999999</v>
      </c>
      <c r="P104" s="560">
        <v>514.40059900000006</v>
      </c>
      <c r="Q104" s="560">
        <v>375.38906900000001</v>
      </c>
      <c r="R104" s="560">
        <v>1969.171893</v>
      </c>
      <c r="S104" s="560">
        <v>2433.971168</v>
      </c>
      <c r="T104" s="560">
        <v>3000.6958370000002</v>
      </c>
      <c r="U104" s="560">
        <v>701.82783700000005</v>
      </c>
      <c r="V104" s="560">
        <v>37.729832000000002</v>
      </c>
      <c r="W104" s="560">
        <v>5.5532459999999997</v>
      </c>
      <c r="X104" s="560">
        <v>0</v>
      </c>
      <c r="Y104" s="560">
        <v>70.344628</v>
      </c>
      <c r="Z104" s="560">
        <v>369.00558599999999</v>
      </c>
      <c r="AA104" s="560">
        <v>42719.997860000003</v>
      </c>
      <c r="AB104" s="560">
        <v>52556.230679</v>
      </c>
      <c r="AC104" s="560">
        <v>33386.920443000003</v>
      </c>
      <c r="AD104" s="560">
        <v>26871.919039</v>
      </c>
      <c r="AE104" s="560">
        <v>650.43966399999999</v>
      </c>
      <c r="AF104" s="560">
        <v>17792.603682000001</v>
      </c>
      <c r="AG104" s="560">
        <v>23583.555646000001</v>
      </c>
      <c r="AH104" s="560">
        <v>5442.7450790000003</v>
      </c>
      <c r="AI104" s="560">
        <v>14.25</v>
      </c>
      <c r="AJ104" s="560">
        <v>874.27339900000004</v>
      </c>
      <c r="AK104" s="560">
        <v>0</v>
      </c>
      <c r="AL104" s="560">
        <v>200.75</v>
      </c>
      <c r="AM104" s="560">
        <v>0</v>
      </c>
      <c r="AN104" s="560">
        <v>0</v>
      </c>
      <c r="AO104" s="560">
        <v>0</v>
      </c>
      <c r="AP104" s="560">
        <v>0</v>
      </c>
      <c r="AQ104" s="560" t="s">
        <v>821</v>
      </c>
      <c r="AR104" s="560" t="s">
        <v>1731</v>
      </c>
      <c r="AS104" s="560">
        <v>0</v>
      </c>
      <c r="AT104" s="560">
        <v>0</v>
      </c>
      <c r="AU104" s="560">
        <v>0</v>
      </c>
      <c r="AV104" s="560">
        <v>69</v>
      </c>
      <c r="AW104" s="560">
        <v>64</v>
      </c>
      <c r="AX104" s="560">
        <v>74</v>
      </c>
      <c r="AY104" s="560">
        <v>78</v>
      </c>
      <c r="AZ104" s="560">
        <v>1</v>
      </c>
      <c r="BA104" s="560">
        <v>2268</v>
      </c>
      <c r="BB104" s="560">
        <v>0</v>
      </c>
      <c r="BC104" s="560">
        <v>0.5</v>
      </c>
      <c r="BD104" s="560">
        <v>0</v>
      </c>
      <c r="BE104" s="560" t="s">
        <v>1798</v>
      </c>
      <c r="BF104" s="560">
        <v>2.5</v>
      </c>
      <c r="BG104" s="560">
        <v>17.399999999999999</v>
      </c>
      <c r="BH104" s="560">
        <v>1</v>
      </c>
      <c r="BI104" s="560">
        <v>2</v>
      </c>
      <c r="BJ104" s="560">
        <v>35</v>
      </c>
      <c r="BK104" s="560">
        <v>0</v>
      </c>
      <c r="BL104" s="560" t="s">
        <v>1716</v>
      </c>
      <c r="BM104" s="560">
        <v>0.06</v>
      </c>
      <c r="BN104" s="560">
        <v>300</v>
      </c>
      <c r="BO104" s="560">
        <v>6</v>
      </c>
      <c r="BP104" s="560" t="s">
        <v>1747</v>
      </c>
      <c r="BQ104" s="560">
        <v>0.03</v>
      </c>
      <c r="BR104" s="560">
        <v>80</v>
      </c>
      <c r="BS104" s="560">
        <v>6</v>
      </c>
      <c r="BT104" s="560">
        <v>2200</v>
      </c>
      <c r="BU104" s="560">
        <v>18700</v>
      </c>
      <c r="BV104" s="560">
        <v>200</v>
      </c>
      <c r="BW104" s="560">
        <v>30.609376350000002</v>
      </c>
      <c r="BX104" s="560">
        <v>2210</v>
      </c>
      <c r="BY104" s="560">
        <v>17.543859650000002</v>
      </c>
      <c r="BZ104" s="560">
        <v>1784</v>
      </c>
      <c r="CA104" s="560">
        <v>37.664196859999997</v>
      </c>
      <c r="CB104" s="560">
        <v>0.85</v>
      </c>
      <c r="CC104" s="560">
        <v>91</v>
      </c>
      <c r="CD104" s="560">
        <v>91</v>
      </c>
      <c r="CE104" s="560">
        <v>91</v>
      </c>
      <c r="CF104" s="560">
        <v>91</v>
      </c>
      <c r="CG104" s="560">
        <v>0.29299999999999998</v>
      </c>
      <c r="CH104" s="560">
        <v>0.3</v>
      </c>
      <c r="CI104" s="560">
        <v>0.54</v>
      </c>
      <c r="CJ104" s="560">
        <v>40</v>
      </c>
      <c r="CK104" s="560">
        <v>5</v>
      </c>
      <c r="CL104" s="560">
        <v>1</v>
      </c>
      <c r="CM104" s="562">
        <v>1584</v>
      </c>
      <c r="CN104" s="562">
        <v>160</v>
      </c>
      <c r="CO104" s="562">
        <v>30.609376350000002</v>
      </c>
      <c r="CP104" s="562">
        <v>0</v>
      </c>
      <c r="CQ104" s="562">
        <v>0</v>
      </c>
      <c r="CR104" s="562" t="s">
        <v>1718</v>
      </c>
      <c r="CS104" s="562">
        <v>0</v>
      </c>
      <c r="CT104" s="562">
        <v>0</v>
      </c>
      <c r="CU104" s="562">
        <v>0.75</v>
      </c>
      <c r="CV104" s="562">
        <v>1</v>
      </c>
      <c r="CW104" s="562">
        <v>1.75</v>
      </c>
      <c r="CX104" s="562">
        <v>2</v>
      </c>
      <c r="CY104" s="562">
        <v>1.5</v>
      </c>
      <c r="CZ104" s="560">
        <v>2181.666667</v>
      </c>
      <c r="DA104" s="560">
        <v>11.80555556</v>
      </c>
      <c r="DB104" s="560" t="s">
        <v>1719</v>
      </c>
      <c r="DC104" s="560">
        <v>50</v>
      </c>
      <c r="DD104" s="560">
        <v>4</v>
      </c>
      <c r="DE104" s="560" t="s">
        <v>1720</v>
      </c>
      <c r="DF104" s="560">
        <v>5</v>
      </c>
      <c r="DG104" s="560">
        <v>0</v>
      </c>
      <c r="DH104" s="560">
        <v>4.5</v>
      </c>
      <c r="DI104" s="560">
        <v>4.5</v>
      </c>
      <c r="DJ104" s="560">
        <v>0</v>
      </c>
      <c r="DK104" s="560">
        <v>0</v>
      </c>
      <c r="DL104" s="560">
        <v>0</v>
      </c>
      <c r="DM104" s="560">
        <v>0</v>
      </c>
      <c r="DN104" s="560">
        <v>0</v>
      </c>
      <c r="DO104" s="560">
        <v>0</v>
      </c>
    </row>
    <row r="105" spans="1:119">
      <c r="A105" s="560" t="s">
        <v>822</v>
      </c>
      <c r="B105" s="560" t="s">
        <v>1713</v>
      </c>
      <c r="C105" s="560" t="s">
        <v>785</v>
      </c>
      <c r="D105" s="560">
        <v>3</v>
      </c>
      <c r="E105" s="560">
        <v>425.73406999999997</v>
      </c>
      <c r="F105" s="560">
        <v>56.576731000000002</v>
      </c>
      <c r="G105" s="560">
        <v>6644.9655000000002</v>
      </c>
      <c r="H105" s="560">
        <v>755.94</v>
      </c>
      <c r="I105" s="560">
        <v>0.91800700000000002</v>
      </c>
      <c r="J105" s="560">
        <v>0.31722299999999998</v>
      </c>
      <c r="K105" s="560">
        <v>0.34981200000000001</v>
      </c>
      <c r="L105" s="560">
        <v>0.52137999999999995</v>
      </c>
      <c r="M105" s="560">
        <v>12786.208425999999</v>
      </c>
      <c r="N105" s="560">
        <v>16046.144547</v>
      </c>
      <c r="O105" s="560">
        <v>4648.8032309999999</v>
      </c>
      <c r="P105" s="560">
        <v>514.40059900000006</v>
      </c>
      <c r="Q105" s="560">
        <v>375.38906900000001</v>
      </c>
      <c r="R105" s="560">
        <v>1969.171893</v>
      </c>
      <c r="S105" s="560">
        <v>3736.9932039999999</v>
      </c>
      <c r="T105" s="560">
        <v>4493.4373489999998</v>
      </c>
      <c r="U105" s="560">
        <v>1048.330596</v>
      </c>
      <c r="V105" s="560">
        <v>18.841059000000001</v>
      </c>
      <c r="W105" s="560">
        <v>1.7972440000000001</v>
      </c>
      <c r="X105" s="560">
        <v>0</v>
      </c>
      <c r="Y105" s="560">
        <v>106.59552100000001</v>
      </c>
      <c r="Z105" s="560">
        <v>559.16626299999996</v>
      </c>
      <c r="AA105" s="560">
        <v>42719.997860000003</v>
      </c>
      <c r="AB105" s="560">
        <v>52556.230679</v>
      </c>
      <c r="AC105" s="560">
        <v>33386.920443000003</v>
      </c>
      <c r="AD105" s="560">
        <v>26871.919039</v>
      </c>
      <c r="AE105" s="560">
        <v>650.43966399999999</v>
      </c>
      <c r="AF105" s="560">
        <v>18246.575421000001</v>
      </c>
      <c r="AG105" s="560">
        <v>23341.947886999998</v>
      </c>
      <c r="AH105" s="560">
        <v>5486.7145909999999</v>
      </c>
      <c r="AI105" s="560">
        <v>14.25</v>
      </c>
      <c r="AJ105" s="560">
        <v>874.27339900000004</v>
      </c>
      <c r="AK105" s="560">
        <v>0</v>
      </c>
      <c r="AL105" s="560">
        <v>200.75</v>
      </c>
      <c r="AM105" s="560">
        <v>0</v>
      </c>
      <c r="AN105" s="560">
        <v>0</v>
      </c>
      <c r="AO105" s="560">
        <v>0</v>
      </c>
      <c r="AP105" s="560">
        <v>0</v>
      </c>
      <c r="AQ105" s="560" t="s">
        <v>822</v>
      </c>
      <c r="AR105" s="560" t="s">
        <v>1733</v>
      </c>
      <c r="AS105" s="560">
        <v>0</v>
      </c>
      <c r="AT105" s="560">
        <v>0</v>
      </c>
      <c r="AU105" s="560">
        <v>0</v>
      </c>
      <c r="AV105" s="560">
        <v>69</v>
      </c>
      <c r="AW105" s="560">
        <v>64</v>
      </c>
      <c r="AX105" s="560">
        <v>74</v>
      </c>
      <c r="AY105" s="560">
        <v>78</v>
      </c>
      <c r="AZ105" s="560">
        <v>1</v>
      </c>
      <c r="BA105" s="560">
        <v>2268</v>
      </c>
      <c r="BB105" s="560">
        <v>0</v>
      </c>
      <c r="BC105" s="560">
        <v>0.5</v>
      </c>
      <c r="BD105" s="560">
        <v>0</v>
      </c>
      <c r="BE105" s="560" t="s">
        <v>1798</v>
      </c>
      <c r="BF105" s="560">
        <v>2.5</v>
      </c>
      <c r="BG105" s="560">
        <v>17.399999999999999</v>
      </c>
      <c r="BH105" s="560">
        <v>1</v>
      </c>
      <c r="BI105" s="560">
        <v>2</v>
      </c>
      <c r="BJ105" s="560">
        <v>35</v>
      </c>
      <c r="BK105" s="560">
        <v>0</v>
      </c>
      <c r="BL105" s="560" t="s">
        <v>1716</v>
      </c>
      <c r="BM105" s="560">
        <v>0.06</v>
      </c>
      <c r="BN105" s="560">
        <v>300</v>
      </c>
      <c r="BO105" s="560">
        <v>6</v>
      </c>
      <c r="BP105" s="560" t="s">
        <v>1747</v>
      </c>
      <c r="BQ105" s="560">
        <v>0.03</v>
      </c>
      <c r="BR105" s="560">
        <v>80</v>
      </c>
      <c r="BS105" s="560">
        <v>6</v>
      </c>
      <c r="BT105" s="560">
        <v>2200</v>
      </c>
      <c r="BU105" s="560">
        <v>18700</v>
      </c>
      <c r="BV105" s="560">
        <v>200</v>
      </c>
      <c r="BW105" s="560">
        <v>30.609376350000002</v>
      </c>
      <c r="BX105" s="560">
        <v>2210</v>
      </c>
      <c r="BY105" s="560">
        <v>17.543859650000002</v>
      </c>
      <c r="BZ105" s="560">
        <v>1784</v>
      </c>
      <c r="CA105" s="560">
        <v>37.664196859999997</v>
      </c>
      <c r="CB105" s="560">
        <v>0.85</v>
      </c>
      <c r="CC105" s="560">
        <v>91</v>
      </c>
      <c r="CD105" s="560">
        <v>91</v>
      </c>
      <c r="CE105" s="560">
        <v>91</v>
      </c>
      <c r="CF105" s="560">
        <v>91</v>
      </c>
      <c r="CG105" s="560">
        <v>0.29299999999999998</v>
      </c>
      <c r="CH105" s="560">
        <v>0.3</v>
      </c>
      <c r="CI105" s="560">
        <v>0.54</v>
      </c>
      <c r="CJ105" s="560">
        <v>40</v>
      </c>
      <c r="CK105" s="560">
        <v>5</v>
      </c>
      <c r="CL105" s="560">
        <v>1</v>
      </c>
      <c r="CM105" s="562">
        <v>1584</v>
      </c>
      <c r="CN105" s="562">
        <v>160</v>
      </c>
      <c r="CO105" s="562">
        <v>30.609376350000002</v>
      </c>
      <c r="CP105" s="562">
        <v>0</v>
      </c>
      <c r="CQ105" s="562">
        <v>0</v>
      </c>
      <c r="CR105" s="562" t="s">
        <v>1718</v>
      </c>
      <c r="CS105" s="562">
        <v>0</v>
      </c>
      <c r="CT105" s="562">
        <v>0</v>
      </c>
      <c r="CU105" s="562">
        <v>0.75</v>
      </c>
      <c r="CV105" s="562">
        <v>1</v>
      </c>
      <c r="CW105" s="562">
        <v>1.75</v>
      </c>
      <c r="CX105" s="562">
        <v>2</v>
      </c>
      <c r="CY105" s="562">
        <v>1.5</v>
      </c>
      <c r="CZ105" s="560">
        <v>2181.666667</v>
      </c>
      <c r="DA105" s="560">
        <v>11.80555556</v>
      </c>
      <c r="DB105" s="560" t="s">
        <v>1719</v>
      </c>
      <c r="DC105" s="560">
        <v>50</v>
      </c>
      <c r="DD105" s="560">
        <v>4</v>
      </c>
      <c r="DE105" s="560" t="s">
        <v>1720</v>
      </c>
      <c r="DF105" s="560">
        <v>5</v>
      </c>
      <c r="DG105" s="560">
        <v>0</v>
      </c>
      <c r="DH105" s="560">
        <v>4.5</v>
      </c>
      <c r="DI105" s="560">
        <v>4.5</v>
      </c>
      <c r="DJ105" s="560">
        <v>0</v>
      </c>
      <c r="DK105" s="560">
        <v>0</v>
      </c>
      <c r="DL105" s="560">
        <v>0</v>
      </c>
      <c r="DM105" s="560">
        <v>0</v>
      </c>
      <c r="DN105" s="560">
        <v>0</v>
      </c>
      <c r="DO105" s="560">
        <v>0</v>
      </c>
    </row>
    <row r="106" spans="1:119">
      <c r="A106" s="560" t="s">
        <v>823</v>
      </c>
      <c r="B106" s="560" t="s">
        <v>1713</v>
      </c>
      <c r="C106" s="560" t="s">
        <v>779</v>
      </c>
      <c r="D106" s="560">
        <v>3</v>
      </c>
      <c r="E106" s="560">
        <v>491.69026400000001</v>
      </c>
      <c r="F106" s="560">
        <v>57.553418999999998</v>
      </c>
      <c r="G106" s="560">
        <v>6644.9655000000002</v>
      </c>
      <c r="H106" s="560">
        <v>139.9665</v>
      </c>
      <c r="I106" s="560">
        <v>0.91800700000000002</v>
      </c>
      <c r="J106" s="560">
        <v>0.324042</v>
      </c>
      <c r="K106" s="560">
        <v>0.34980800000000001</v>
      </c>
      <c r="L106" s="560">
        <v>0.54503000000000001</v>
      </c>
      <c r="M106" s="560">
        <v>15389.451083</v>
      </c>
      <c r="N106" s="560">
        <v>19468.861795000001</v>
      </c>
      <c r="O106" s="560">
        <v>5497.6839840000002</v>
      </c>
      <c r="P106" s="560">
        <v>425.54052300000001</v>
      </c>
      <c r="Q106" s="560">
        <v>459.617255</v>
      </c>
      <c r="R106" s="560">
        <v>2009.1718470000001</v>
      </c>
      <c r="S106" s="560">
        <v>1310.8397600000001</v>
      </c>
      <c r="T106" s="560">
        <v>1690.842903</v>
      </c>
      <c r="U106" s="560">
        <v>398.34715699999998</v>
      </c>
      <c r="V106" s="560">
        <v>40.770041999999997</v>
      </c>
      <c r="W106" s="560">
        <v>10.377689</v>
      </c>
      <c r="X106" s="560">
        <v>0</v>
      </c>
      <c r="Y106" s="560">
        <v>39.173439999999999</v>
      </c>
      <c r="Z106" s="560">
        <v>171.24285900000001</v>
      </c>
      <c r="AA106" s="560">
        <v>46059.508927000003</v>
      </c>
      <c r="AB106" s="560">
        <v>57648.059084</v>
      </c>
      <c r="AC106" s="560">
        <v>34658.973069</v>
      </c>
      <c r="AD106" s="560">
        <v>26840.760934000002</v>
      </c>
      <c r="AE106" s="560">
        <v>780.52759700000001</v>
      </c>
      <c r="AF106" s="560">
        <v>15392.156999999999</v>
      </c>
      <c r="AG106" s="560">
        <v>19208.936202000001</v>
      </c>
      <c r="AH106" s="560">
        <v>4656.9330550000004</v>
      </c>
      <c r="AI106" s="560">
        <v>4.4000000000000004</v>
      </c>
      <c r="AJ106" s="560">
        <v>1043.041377</v>
      </c>
      <c r="AK106" s="560">
        <v>0</v>
      </c>
      <c r="AL106" s="560">
        <v>200.75</v>
      </c>
      <c r="AM106" s="560">
        <v>0</v>
      </c>
      <c r="AN106" s="560">
        <v>0</v>
      </c>
      <c r="AO106" s="560">
        <v>0</v>
      </c>
      <c r="AP106" s="560">
        <v>0</v>
      </c>
      <c r="AQ106" s="560" t="s">
        <v>823</v>
      </c>
      <c r="AR106" s="560" t="s">
        <v>1729</v>
      </c>
      <c r="AS106" s="560">
        <v>0</v>
      </c>
      <c r="AT106" s="560">
        <v>0</v>
      </c>
      <c r="AU106" s="560">
        <v>0</v>
      </c>
      <c r="AV106" s="560">
        <v>69</v>
      </c>
      <c r="AW106" s="560">
        <v>64</v>
      </c>
      <c r="AX106" s="560">
        <v>74</v>
      </c>
      <c r="AY106" s="560">
        <v>78</v>
      </c>
      <c r="AZ106" s="560">
        <v>1</v>
      </c>
      <c r="BA106" s="560">
        <v>2268</v>
      </c>
      <c r="BB106" s="560">
        <v>0</v>
      </c>
      <c r="BC106" s="560">
        <v>0.5</v>
      </c>
      <c r="BD106" s="560">
        <v>0</v>
      </c>
      <c r="BE106" s="560" t="s">
        <v>1798</v>
      </c>
      <c r="BF106" s="560">
        <v>3</v>
      </c>
      <c r="BG106" s="560">
        <v>17.399999999999999</v>
      </c>
      <c r="BH106" s="560">
        <v>1</v>
      </c>
      <c r="BI106" s="560">
        <v>2</v>
      </c>
      <c r="BJ106" s="560">
        <v>35</v>
      </c>
      <c r="BK106" s="560">
        <v>0</v>
      </c>
      <c r="BL106" s="560" t="s">
        <v>1716</v>
      </c>
      <c r="BM106" s="560">
        <v>0.06</v>
      </c>
      <c r="BN106" s="560">
        <v>300</v>
      </c>
      <c r="BO106" s="560">
        <v>4.5</v>
      </c>
      <c r="BP106" s="560" t="s">
        <v>1747</v>
      </c>
      <c r="BQ106" s="560">
        <v>0.03</v>
      </c>
      <c r="BR106" s="560">
        <v>80</v>
      </c>
      <c r="BS106" s="560">
        <v>4.9000000000000004</v>
      </c>
      <c r="BT106" s="560">
        <v>2200</v>
      </c>
      <c r="BU106" s="560">
        <v>18700</v>
      </c>
      <c r="BV106" s="560">
        <v>200</v>
      </c>
      <c r="BW106" s="560">
        <v>26.8</v>
      </c>
      <c r="BX106" s="560">
        <v>2210</v>
      </c>
      <c r="BY106" s="560">
        <v>11.4</v>
      </c>
      <c r="BZ106" s="560">
        <v>1784</v>
      </c>
      <c r="CA106" s="560">
        <v>35</v>
      </c>
      <c r="CB106" s="560">
        <v>0.85</v>
      </c>
      <c r="CC106" s="560">
        <v>91</v>
      </c>
      <c r="CD106" s="560">
        <v>91</v>
      </c>
      <c r="CE106" s="560">
        <v>91</v>
      </c>
      <c r="CF106" s="560">
        <v>91</v>
      </c>
      <c r="CG106" s="560">
        <v>0.29299999999999998</v>
      </c>
      <c r="CH106" s="560">
        <v>0.3</v>
      </c>
      <c r="CI106" s="560">
        <v>0.54</v>
      </c>
      <c r="CJ106" s="560">
        <v>40</v>
      </c>
      <c r="CK106" s="560">
        <v>5</v>
      </c>
      <c r="CL106" s="560">
        <v>1</v>
      </c>
      <c r="CM106" s="562">
        <v>1584</v>
      </c>
      <c r="CN106" s="562">
        <v>160</v>
      </c>
      <c r="CO106" s="562">
        <v>26.8</v>
      </c>
      <c r="CP106" s="562">
        <v>0</v>
      </c>
      <c r="CQ106" s="562">
        <v>0</v>
      </c>
      <c r="CR106" s="562" t="s">
        <v>1718</v>
      </c>
      <c r="CS106" s="562">
        <v>0</v>
      </c>
      <c r="CT106" s="562">
        <v>0</v>
      </c>
      <c r="CU106" s="562">
        <v>0.75</v>
      </c>
      <c r="CV106" s="562">
        <v>1</v>
      </c>
      <c r="CW106" s="562">
        <v>1.75</v>
      </c>
      <c r="CX106" s="562">
        <v>2</v>
      </c>
      <c r="CY106" s="562">
        <v>1.5</v>
      </c>
      <c r="CZ106" s="560">
        <v>2181.666667</v>
      </c>
      <c r="DA106" s="560">
        <v>11.80555556</v>
      </c>
      <c r="DB106" s="560" t="s">
        <v>1719</v>
      </c>
      <c r="DC106" s="560">
        <v>50</v>
      </c>
      <c r="DD106" s="560">
        <v>4</v>
      </c>
      <c r="DE106" s="560" t="s">
        <v>1720</v>
      </c>
      <c r="DF106" s="560">
        <v>5</v>
      </c>
      <c r="DG106" s="560">
        <v>0</v>
      </c>
      <c r="DH106" s="560">
        <v>4.5</v>
      </c>
      <c r="DI106" s="560">
        <v>4.5</v>
      </c>
      <c r="DJ106" s="560">
        <v>0</v>
      </c>
      <c r="DK106" s="560">
        <v>0</v>
      </c>
      <c r="DL106" s="560">
        <v>0</v>
      </c>
      <c r="DM106" s="560">
        <v>0</v>
      </c>
      <c r="DN106" s="560">
        <v>0</v>
      </c>
      <c r="DO106" s="560">
        <v>0</v>
      </c>
    </row>
    <row r="107" spans="1:119">
      <c r="A107" s="560" t="s">
        <v>824</v>
      </c>
      <c r="B107" s="560" t="s">
        <v>1713</v>
      </c>
      <c r="C107" s="560" t="s">
        <v>782</v>
      </c>
      <c r="D107" s="560">
        <v>3</v>
      </c>
      <c r="E107" s="560">
        <v>491.69026400000001</v>
      </c>
      <c r="F107" s="560">
        <v>57.553418999999998</v>
      </c>
      <c r="G107" s="560">
        <v>6644.9655000000002</v>
      </c>
      <c r="H107" s="560">
        <v>391.60199999999998</v>
      </c>
      <c r="I107" s="560">
        <v>0.91800700000000002</v>
      </c>
      <c r="J107" s="560">
        <v>0.324042</v>
      </c>
      <c r="K107" s="560">
        <v>0.34980800000000001</v>
      </c>
      <c r="L107" s="560">
        <v>0.54503000000000001</v>
      </c>
      <c r="M107" s="560">
        <v>15389.451083</v>
      </c>
      <c r="N107" s="560">
        <v>19468.861795000001</v>
      </c>
      <c r="O107" s="560">
        <v>5497.6839840000002</v>
      </c>
      <c r="P107" s="560">
        <v>425.54052300000001</v>
      </c>
      <c r="Q107" s="560">
        <v>459.617255</v>
      </c>
      <c r="R107" s="560">
        <v>2009.1718470000001</v>
      </c>
      <c r="S107" s="560">
        <v>2462.240816</v>
      </c>
      <c r="T107" s="560">
        <v>3052.5871339999999</v>
      </c>
      <c r="U107" s="560">
        <v>715.893642</v>
      </c>
      <c r="V107" s="560">
        <v>38.264479999999999</v>
      </c>
      <c r="W107" s="560">
        <v>5.5667429999999998</v>
      </c>
      <c r="X107" s="560">
        <v>0</v>
      </c>
      <c r="Y107" s="560">
        <v>71.530586999999997</v>
      </c>
      <c r="Z107" s="560">
        <v>312.68896000000001</v>
      </c>
      <c r="AA107" s="560">
        <v>46059.508927000003</v>
      </c>
      <c r="AB107" s="560">
        <v>57648.059084</v>
      </c>
      <c r="AC107" s="560">
        <v>34658.973069</v>
      </c>
      <c r="AD107" s="560">
        <v>26840.760934000002</v>
      </c>
      <c r="AE107" s="560">
        <v>780.52759700000001</v>
      </c>
      <c r="AF107" s="560">
        <v>19645.645417</v>
      </c>
      <c r="AG107" s="560">
        <v>26306.90727</v>
      </c>
      <c r="AH107" s="560">
        <v>6088.1038719999997</v>
      </c>
      <c r="AI107" s="560">
        <v>4.4000000000000004</v>
      </c>
      <c r="AJ107" s="560">
        <v>1043.041377</v>
      </c>
      <c r="AK107" s="560">
        <v>0</v>
      </c>
      <c r="AL107" s="560">
        <v>200.75</v>
      </c>
      <c r="AM107" s="560">
        <v>0</v>
      </c>
      <c r="AN107" s="560">
        <v>0</v>
      </c>
      <c r="AO107" s="560">
        <v>0</v>
      </c>
      <c r="AP107" s="560">
        <v>0</v>
      </c>
      <c r="AQ107" s="560" t="s">
        <v>824</v>
      </c>
      <c r="AR107" s="560" t="s">
        <v>1731</v>
      </c>
      <c r="AS107" s="560">
        <v>0</v>
      </c>
      <c r="AT107" s="560">
        <v>0</v>
      </c>
      <c r="AU107" s="560">
        <v>0</v>
      </c>
      <c r="AV107" s="560">
        <v>69</v>
      </c>
      <c r="AW107" s="560">
        <v>64</v>
      </c>
      <c r="AX107" s="560">
        <v>74</v>
      </c>
      <c r="AY107" s="560">
        <v>78</v>
      </c>
      <c r="AZ107" s="560">
        <v>1</v>
      </c>
      <c r="BA107" s="560">
        <v>2268</v>
      </c>
      <c r="BB107" s="560">
        <v>0</v>
      </c>
      <c r="BC107" s="560">
        <v>0.5</v>
      </c>
      <c r="BD107" s="560">
        <v>0</v>
      </c>
      <c r="BE107" s="560" t="s">
        <v>1798</v>
      </c>
      <c r="BF107" s="560">
        <v>3</v>
      </c>
      <c r="BG107" s="560">
        <v>17.399999999999999</v>
      </c>
      <c r="BH107" s="560">
        <v>1</v>
      </c>
      <c r="BI107" s="560">
        <v>2</v>
      </c>
      <c r="BJ107" s="560">
        <v>35</v>
      </c>
      <c r="BK107" s="560">
        <v>0</v>
      </c>
      <c r="BL107" s="560" t="s">
        <v>1716</v>
      </c>
      <c r="BM107" s="560">
        <v>0.06</v>
      </c>
      <c r="BN107" s="560">
        <v>300</v>
      </c>
      <c r="BO107" s="560">
        <v>4.5</v>
      </c>
      <c r="BP107" s="560" t="s">
        <v>1747</v>
      </c>
      <c r="BQ107" s="560">
        <v>0.03</v>
      </c>
      <c r="BR107" s="560">
        <v>80</v>
      </c>
      <c r="BS107" s="560">
        <v>4.9000000000000004</v>
      </c>
      <c r="BT107" s="560">
        <v>2200</v>
      </c>
      <c r="BU107" s="560">
        <v>18700</v>
      </c>
      <c r="BV107" s="560">
        <v>200</v>
      </c>
      <c r="BW107" s="560">
        <v>26.8</v>
      </c>
      <c r="BX107" s="560">
        <v>2210</v>
      </c>
      <c r="BY107" s="560">
        <v>11.4</v>
      </c>
      <c r="BZ107" s="560">
        <v>1784</v>
      </c>
      <c r="CA107" s="560">
        <v>35</v>
      </c>
      <c r="CB107" s="560">
        <v>0.85</v>
      </c>
      <c r="CC107" s="560">
        <v>91</v>
      </c>
      <c r="CD107" s="560">
        <v>91</v>
      </c>
      <c r="CE107" s="560">
        <v>91</v>
      </c>
      <c r="CF107" s="560">
        <v>91</v>
      </c>
      <c r="CG107" s="560">
        <v>0.29299999999999998</v>
      </c>
      <c r="CH107" s="560">
        <v>0.3</v>
      </c>
      <c r="CI107" s="560">
        <v>0.54</v>
      </c>
      <c r="CJ107" s="560">
        <v>40</v>
      </c>
      <c r="CK107" s="560">
        <v>5</v>
      </c>
      <c r="CL107" s="560">
        <v>1</v>
      </c>
      <c r="CM107" s="562">
        <v>1584</v>
      </c>
      <c r="CN107" s="562">
        <v>160</v>
      </c>
      <c r="CO107" s="562">
        <v>26.8</v>
      </c>
      <c r="CP107" s="562">
        <v>0</v>
      </c>
      <c r="CQ107" s="562">
        <v>0</v>
      </c>
      <c r="CR107" s="562" t="s">
        <v>1718</v>
      </c>
      <c r="CS107" s="562">
        <v>0</v>
      </c>
      <c r="CT107" s="562">
        <v>0</v>
      </c>
      <c r="CU107" s="562">
        <v>0.75</v>
      </c>
      <c r="CV107" s="562">
        <v>1</v>
      </c>
      <c r="CW107" s="562">
        <v>1.75</v>
      </c>
      <c r="CX107" s="562">
        <v>2</v>
      </c>
      <c r="CY107" s="562">
        <v>1.5</v>
      </c>
      <c r="CZ107" s="560">
        <v>2181.666667</v>
      </c>
      <c r="DA107" s="560">
        <v>11.80555556</v>
      </c>
      <c r="DB107" s="560" t="s">
        <v>1719</v>
      </c>
      <c r="DC107" s="560">
        <v>50</v>
      </c>
      <c r="DD107" s="560">
        <v>4</v>
      </c>
      <c r="DE107" s="560" t="s">
        <v>1720</v>
      </c>
      <c r="DF107" s="560">
        <v>5</v>
      </c>
      <c r="DG107" s="560">
        <v>0</v>
      </c>
      <c r="DH107" s="560">
        <v>4.5</v>
      </c>
      <c r="DI107" s="560">
        <v>4.5</v>
      </c>
      <c r="DJ107" s="560">
        <v>0</v>
      </c>
      <c r="DK107" s="560">
        <v>0</v>
      </c>
      <c r="DL107" s="560">
        <v>0</v>
      </c>
      <c r="DM107" s="560">
        <v>0</v>
      </c>
      <c r="DN107" s="560">
        <v>0</v>
      </c>
      <c r="DO107" s="560">
        <v>0</v>
      </c>
    </row>
    <row r="108" spans="1:119">
      <c r="A108" s="560" t="s">
        <v>825</v>
      </c>
      <c r="B108" s="560" t="s">
        <v>1713</v>
      </c>
      <c r="C108" s="560" t="s">
        <v>785</v>
      </c>
      <c r="D108" s="560">
        <v>3</v>
      </c>
      <c r="E108" s="560">
        <v>491.69026400000001</v>
      </c>
      <c r="F108" s="560">
        <v>57.553418999999998</v>
      </c>
      <c r="G108" s="560">
        <v>6644.9655000000002</v>
      </c>
      <c r="H108" s="560">
        <v>755.94</v>
      </c>
      <c r="I108" s="560">
        <v>0.91800700000000002</v>
      </c>
      <c r="J108" s="560">
        <v>0.324042</v>
      </c>
      <c r="K108" s="560">
        <v>0.34980800000000001</v>
      </c>
      <c r="L108" s="560">
        <v>0.54503000000000001</v>
      </c>
      <c r="M108" s="560">
        <v>15389.451083</v>
      </c>
      <c r="N108" s="560">
        <v>19468.861795000001</v>
      </c>
      <c r="O108" s="560">
        <v>5497.6839840000002</v>
      </c>
      <c r="P108" s="560">
        <v>425.54052300000001</v>
      </c>
      <c r="Q108" s="560">
        <v>459.617255</v>
      </c>
      <c r="R108" s="560">
        <v>2009.1718470000001</v>
      </c>
      <c r="S108" s="560">
        <v>3861.3436959999999</v>
      </c>
      <c r="T108" s="560">
        <v>4675.128721</v>
      </c>
      <c r="U108" s="560">
        <v>1093.609475</v>
      </c>
      <c r="V108" s="560">
        <v>19.861844999999999</v>
      </c>
      <c r="W108" s="560">
        <v>1.816173</v>
      </c>
      <c r="X108" s="560">
        <v>0</v>
      </c>
      <c r="Y108" s="560">
        <v>110.82335999999999</v>
      </c>
      <c r="Z108" s="560">
        <v>484.45347400000003</v>
      </c>
      <c r="AA108" s="560">
        <v>46059.508927000003</v>
      </c>
      <c r="AB108" s="560">
        <v>57648.059084</v>
      </c>
      <c r="AC108" s="560">
        <v>34658.973069</v>
      </c>
      <c r="AD108" s="560">
        <v>26840.760934000002</v>
      </c>
      <c r="AE108" s="560">
        <v>780.52759700000001</v>
      </c>
      <c r="AF108" s="560">
        <v>20162.305683999999</v>
      </c>
      <c r="AG108" s="560">
        <v>26024.456443999999</v>
      </c>
      <c r="AH108" s="560">
        <v>6105.3477640000001</v>
      </c>
      <c r="AI108" s="560">
        <v>4.4000000000000004</v>
      </c>
      <c r="AJ108" s="560">
        <v>1043.041377</v>
      </c>
      <c r="AK108" s="560">
        <v>0</v>
      </c>
      <c r="AL108" s="560">
        <v>200.75</v>
      </c>
      <c r="AM108" s="560">
        <v>0</v>
      </c>
      <c r="AN108" s="560">
        <v>0</v>
      </c>
      <c r="AO108" s="560">
        <v>0</v>
      </c>
      <c r="AP108" s="560">
        <v>0</v>
      </c>
      <c r="AQ108" s="560" t="s">
        <v>825</v>
      </c>
      <c r="AR108" s="560" t="s">
        <v>1733</v>
      </c>
      <c r="AS108" s="560">
        <v>0</v>
      </c>
      <c r="AT108" s="560">
        <v>0</v>
      </c>
      <c r="AU108" s="560">
        <v>0</v>
      </c>
      <c r="AV108" s="560">
        <v>69</v>
      </c>
      <c r="AW108" s="560">
        <v>64</v>
      </c>
      <c r="AX108" s="560">
        <v>74</v>
      </c>
      <c r="AY108" s="560">
        <v>78</v>
      </c>
      <c r="AZ108" s="560">
        <v>1</v>
      </c>
      <c r="BA108" s="560">
        <v>2268</v>
      </c>
      <c r="BB108" s="560">
        <v>0</v>
      </c>
      <c r="BC108" s="560">
        <v>0.5</v>
      </c>
      <c r="BD108" s="560">
        <v>0</v>
      </c>
      <c r="BE108" s="560" t="s">
        <v>1798</v>
      </c>
      <c r="BF108" s="560">
        <v>3</v>
      </c>
      <c r="BG108" s="560">
        <v>17.399999999999999</v>
      </c>
      <c r="BH108" s="560">
        <v>1</v>
      </c>
      <c r="BI108" s="560">
        <v>2</v>
      </c>
      <c r="BJ108" s="560">
        <v>35</v>
      </c>
      <c r="BK108" s="560">
        <v>0</v>
      </c>
      <c r="BL108" s="560" t="s">
        <v>1716</v>
      </c>
      <c r="BM108" s="560">
        <v>0.06</v>
      </c>
      <c r="BN108" s="560">
        <v>300</v>
      </c>
      <c r="BO108" s="560">
        <v>4.5</v>
      </c>
      <c r="BP108" s="560" t="s">
        <v>1747</v>
      </c>
      <c r="BQ108" s="560">
        <v>0.03</v>
      </c>
      <c r="BR108" s="560">
        <v>80</v>
      </c>
      <c r="BS108" s="560">
        <v>4.9000000000000004</v>
      </c>
      <c r="BT108" s="560">
        <v>2200</v>
      </c>
      <c r="BU108" s="560">
        <v>18700</v>
      </c>
      <c r="BV108" s="560">
        <v>200</v>
      </c>
      <c r="BW108" s="560">
        <v>26.8</v>
      </c>
      <c r="BX108" s="560">
        <v>2210</v>
      </c>
      <c r="BY108" s="560">
        <v>11.4</v>
      </c>
      <c r="BZ108" s="560">
        <v>1784</v>
      </c>
      <c r="CA108" s="560">
        <v>35</v>
      </c>
      <c r="CB108" s="560">
        <v>0.85</v>
      </c>
      <c r="CC108" s="560">
        <v>91</v>
      </c>
      <c r="CD108" s="560">
        <v>91</v>
      </c>
      <c r="CE108" s="560">
        <v>91</v>
      </c>
      <c r="CF108" s="560">
        <v>91</v>
      </c>
      <c r="CG108" s="560">
        <v>0.29299999999999998</v>
      </c>
      <c r="CH108" s="560">
        <v>0.3</v>
      </c>
      <c r="CI108" s="560">
        <v>0.54</v>
      </c>
      <c r="CJ108" s="560">
        <v>40</v>
      </c>
      <c r="CK108" s="560">
        <v>5</v>
      </c>
      <c r="CL108" s="560">
        <v>1</v>
      </c>
      <c r="CM108" s="562">
        <v>1584</v>
      </c>
      <c r="CN108" s="562">
        <v>160</v>
      </c>
      <c r="CO108" s="562">
        <v>26.8</v>
      </c>
      <c r="CP108" s="562">
        <v>0</v>
      </c>
      <c r="CQ108" s="562">
        <v>0</v>
      </c>
      <c r="CR108" s="562" t="s">
        <v>1718</v>
      </c>
      <c r="CS108" s="562">
        <v>0</v>
      </c>
      <c r="CT108" s="562">
        <v>0</v>
      </c>
      <c r="CU108" s="562">
        <v>0.75</v>
      </c>
      <c r="CV108" s="562">
        <v>1</v>
      </c>
      <c r="CW108" s="562">
        <v>1.75</v>
      </c>
      <c r="CX108" s="562">
        <v>2</v>
      </c>
      <c r="CY108" s="562">
        <v>1.5</v>
      </c>
      <c r="CZ108" s="560">
        <v>2181.666667</v>
      </c>
      <c r="DA108" s="560">
        <v>11.80555556</v>
      </c>
      <c r="DB108" s="560" t="s">
        <v>1719</v>
      </c>
      <c r="DC108" s="560">
        <v>50</v>
      </c>
      <c r="DD108" s="560">
        <v>4</v>
      </c>
      <c r="DE108" s="560" t="s">
        <v>1720</v>
      </c>
      <c r="DF108" s="560">
        <v>5</v>
      </c>
      <c r="DG108" s="560">
        <v>0</v>
      </c>
      <c r="DH108" s="560">
        <v>4.5</v>
      </c>
      <c r="DI108" s="560">
        <v>4.5</v>
      </c>
      <c r="DJ108" s="560">
        <v>0</v>
      </c>
      <c r="DK108" s="560">
        <v>0</v>
      </c>
      <c r="DL108" s="560">
        <v>0</v>
      </c>
      <c r="DM108" s="560">
        <v>0</v>
      </c>
      <c r="DN108" s="560">
        <v>0</v>
      </c>
      <c r="DO108" s="560">
        <v>0</v>
      </c>
    </row>
    <row r="109" spans="1:119">
      <c r="A109" s="560" t="s">
        <v>826</v>
      </c>
      <c r="B109" s="560" t="s">
        <v>1713</v>
      </c>
      <c r="C109" s="560" t="s">
        <v>794</v>
      </c>
      <c r="D109" s="560">
        <v>3</v>
      </c>
      <c r="E109" s="560">
        <v>421.99188099999998</v>
      </c>
      <c r="F109" s="560">
        <v>56.061470999999997</v>
      </c>
      <c r="G109" s="560">
        <v>7927.5</v>
      </c>
      <c r="H109" s="560">
        <v>139.9665</v>
      </c>
      <c r="I109" s="560">
        <v>0.90101900000000001</v>
      </c>
      <c r="J109" s="560">
        <v>0.31539800000000001</v>
      </c>
      <c r="K109" s="560">
        <v>0.34428799999999998</v>
      </c>
      <c r="L109" s="560">
        <v>0.53643300000000005</v>
      </c>
      <c r="M109" s="560">
        <v>15638.800826999999</v>
      </c>
      <c r="N109" s="560">
        <v>19821.409605000001</v>
      </c>
      <c r="O109" s="560">
        <v>5913.0154400000001</v>
      </c>
      <c r="P109" s="560">
        <v>938.77411900000004</v>
      </c>
      <c r="Q109" s="560">
        <v>453.870813</v>
      </c>
      <c r="R109" s="560">
        <v>2380.8622089999999</v>
      </c>
      <c r="S109" s="560">
        <v>1357.7904000000001</v>
      </c>
      <c r="T109" s="560">
        <v>1740.904184</v>
      </c>
      <c r="U109" s="560">
        <v>408.95325100000002</v>
      </c>
      <c r="V109" s="560">
        <v>41.588030000000003</v>
      </c>
      <c r="W109" s="560">
        <v>10.271023</v>
      </c>
      <c r="X109" s="560">
        <v>0</v>
      </c>
      <c r="Y109" s="560">
        <v>40.338152000000001</v>
      </c>
      <c r="Z109" s="560">
        <v>211.60113799999999</v>
      </c>
      <c r="AA109" s="560">
        <v>45248.120849999999</v>
      </c>
      <c r="AB109" s="560">
        <v>55660.543607</v>
      </c>
      <c r="AC109" s="560">
        <v>39580.629237000001</v>
      </c>
      <c r="AD109" s="560">
        <v>33194.731177000001</v>
      </c>
      <c r="AE109" s="560">
        <v>650.43966399999999</v>
      </c>
      <c r="AF109" s="560">
        <v>14017.235360999999</v>
      </c>
      <c r="AG109" s="560">
        <v>17434.991201000001</v>
      </c>
      <c r="AH109" s="560">
        <v>4205.9201810000004</v>
      </c>
      <c r="AI109" s="560">
        <v>12</v>
      </c>
      <c r="AJ109" s="560">
        <v>985.91646500000002</v>
      </c>
      <c r="AK109" s="560">
        <v>0</v>
      </c>
      <c r="AL109" s="560">
        <v>200.75</v>
      </c>
      <c r="AM109" s="560">
        <v>0</v>
      </c>
      <c r="AN109" s="560">
        <v>0</v>
      </c>
      <c r="AO109" s="560">
        <v>0</v>
      </c>
      <c r="AP109" s="560">
        <v>0</v>
      </c>
      <c r="AQ109" s="560" t="s">
        <v>826</v>
      </c>
      <c r="AR109" s="560" t="s">
        <v>1738</v>
      </c>
      <c r="AS109" s="560">
        <v>0</v>
      </c>
      <c r="AT109" s="560">
        <v>0</v>
      </c>
      <c r="AU109" s="560">
        <v>0</v>
      </c>
      <c r="AV109" s="560">
        <v>69</v>
      </c>
      <c r="AW109" s="560">
        <v>64</v>
      </c>
      <c r="AX109" s="560">
        <v>74</v>
      </c>
      <c r="AY109" s="560">
        <v>78</v>
      </c>
      <c r="AZ109" s="560">
        <v>1</v>
      </c>
      <c r="BA109" s="560">
        <v>2268</v>
      </c>
      <c r="BB109" s="560">
        <v>0</v>
      </c>
      <c r="BC109" s="560">
        <v>0.5</v>
      </c>
      <c r="BD109" s="560">
        <v>0</v>
      </c>
      <c r="BE109" s="560" t="s">
        <v>1798</v>
      </c>
      <c r="BF109" s="560">
        <v>2.5</v>
      </c>
      <c r="BG109" s="560">
        <v>17.399999999999999</v>
      </c>
      <c r="BH109" s="560">
        <v>1</v>
      </c>
      <c r="BI109" s="560">
        <v>2</v>
      </c>
      <c r="BJ109" s="560">
        <v>35</v>
      </c>
      <c r="BK109" s="560">
        <v>0</v>
      </c>
      <c r="BL109" s="560" t="s">
        <v>1716</v>
      </c>
      <c r="BM109" s="560">
        <v>0.06</v>
      </c>
      <c r="BN109" s="560">
        <v>300</v>
      </c>
      <c r="BO109" s="560">
        <v>6</v>
      </c>
      <c r="BP109" s="560" t="s">
        <v>1747</v>
      </c>
      <c r="BQ109" s="560">
        <v>0.03</v>
      </c>
      <c r="BR109" s="560">
        <v>80</v>
      </c>
      <c r="BS109" s="560">
        <v>6</v>
      </c>
      <c r="BT109" s="560">
        <v>2200</v>
      </c>
      <c r="BU109" s="560">
        <v>18700</v>
      </c>
      <c r="BV109" s="560">
        <v>200</v>
      </c>
      <c r="BW109" s="560">
        <v>30.609376350000002</v>
      </c>
      <c r="BX109" s="560">
        <v>2210</v>
      </c>
      <c r="BY109" s="560">
        <v>17.543859650000002</v>
      </c>
      <c r="BZ109" s="560">
        <v>1784</v>
      </c>
      <c r="CA109" s="560">
        <v>37.664196859999997</v>
      </c>
      <c r="CB109" s="560">
        <v>0.85</v>
      </c>
      <c r="CC109" s="560">
        <v>91</v>
      </c>
      <c r="CD109" s="560">
        <v>91</v>
      </c>
      <c r="CE109" s="560">
        <v>91</v>
      </c>
      <c r="CF109" s="560">
        <v>91</v>
      </c>
      <c r="CG109" s="560">
        <v>0.29299999999999998</v>
      </c>
      <c r="CH109" s="560">
        <v>0.3</v>
      </c>
      <c r="CI109" s="560">
        <v>0.54</v>
      </c>
      <c r="CJ109" s="560">
        <v>40</v>
      </c>
      <c r="CK109" s="560">
        <v>5</v>
      </c>
      <c r="CL109" s="560">
        <v>1</v>
      </c>
      <c r="CM109" s="562">
        <v>1584</v>
      </c>
      <c r="CN109" s="562">
        <v>160</v>
      </c>
      <c r="CO109" s="562">
        <v>30.609376350000002</v>
      </c>
      <c r="CP109" s="562">
        <v>0</v>
      </c>
      <c r="CQ109" s="562">
        <v>0</v>
      </c>
      <c r="CR109" s="562" t="s">
        <v>1718</v>
      </c>
      <c r="CS109" s="562">
        <v>0</v>
      </c>
      <c r="CT109" s="562">
        <v>0</v>
      </c>
      <c r="CU109" s="562">
        <v>0.75</v>
      </c>
      <c r="CV109" s="562">
        <v>1</v>
      </c>
      <c r="CW109" s="562">
        <v>1.75</v>
      </c>
      <c r="CX109" s="562">
        <v>2</v>
      </c>
      <c r="CY109" s="562">
        <v>1.5</v>
      </c>
      <c r="CZ109" s="560">
        <v>2181.666667</v>
      </c>
      <c r="DA109" s="560">
        <v>11.80555556</v>
      </c>
      <c r="DB109" s="560" t="s">
        <v>1719</v>
      </c>
      <c r="DC109" s="560">
        <v>50</v>
      </c>
      <c r="DD109" s="560">
        <v>4</v>
      </c>
      <c r="DE109" s="560" t="s">
        <v>1720</v>
      </c>
      <c r="DF109" s="560">
        <v>5</v>
      </c>
      <c r="DG109" s="560">
        <v>0</v>
      </c>
      <c r="DH109" s="560">
        <v>4.5</v>
      </c>
      <c r="DI109" s="560">
        <v>4.5</v>
      </c>
      <c r="DJ109" s="560">
        <v>0</v>
      </c>
      <c r="DK109" s="560">
        <v>0</v>
      </c>
      <c r="DL109" s="560">
        <v>0</v>
      </c>
      <c r="DM109" s="560">
        <v>0</v>
      </c>
      <c r="DN109" s="560">
        <v>0</v>
      </c>
      <c r="DO109" s="560">
        <v>0</v>
      </c>
    </row>
    <row r="110" spans="1:119">
      <c r="A110" s="560" t="s">
        <v>827</v>
      </c>
      <c r="B110" s="560" t="s">
        <v>1713</v>
      </c>
      <c r="C110" s="560" t="s">
        <v>797</v>
      </c>
      <c r="D110" s="560">
        <v>3</v>
      </c>
      <c r="E110" s="560">
        <v>421.99188099999998</v>
      </c>
      <c r="F110" s="560">
        <v>56.061470999999997</v>
      </c>
      <c r="G110" s="560">
        <v>7927.5</v>
      </c>
      <c r="H110" s="560">
        <v>391.60199999999998</v>
      </c>
      <c r="I110" s="560">
        <v>0.90101900000000001</v>
      </c>
      <c r="J110" s="560">
        <v>0.31539800000000001</v>
      </c>
      <c r="K110" s="560">
        <v>0.34428799999999998</v>
      </c>
      <c r="L110" s="560">
        <v>0.53643300000000005</v>
      </c>
      <c r="M110" s="560">
        <v>15638.800826999999</v>
      </c>
      <c r="N110" s="560">
        <v>19821.409605000001</v>
      </c>
      <c r="O110" s="560">
        <v>5913.0154400000001</v>
      </c>
      <c r="P110" s="560">
        <v>938.77411900000004</v>
      </c>
      <c r="Q110" s="560">
        <v>453.870813</v>
      </c>
      <c r="R110" s="560">
        <v>2380.8622089999999</v>
      </c>
      <c r="S110" s="560">
        <v>2433.971168</v>
      </c>
      <c r="T110" s="560">
        <v>3000.6958370000002</v>
      </c>
      <c r="U110" s="560">
        <v>701.82783700000005</v>
      </c>
      <c r="V110" s="560">
        <v>37.729832000000002</v>
      </c>
      <c r="W110" s="560">
        <v>5.5532459999999997</v>
      </c>
      <c r="X110" s="560">
        <v>0</v>
      </c>
      <c r="Y110" s="560">
        <v>70.344628</v>
      </c>
      <c r="Z110" s="560">
        <v>369.00558599999999</v>
      </c>
      <c r="AA110" s="560">
        <v>45248.120849999999</v>
      </c>
      <c r="AB110" s="560">
        <v>55660.543607</v>
      </c>
      <c r="AC110" s="560">
        <v>39580.629237000001</v>
      </c>
      <c r="AD110" s="560">
        <v>33194.731177000001</v>
      </c>
      <c r="AE110" s="560">
        <v>650.43966399999999</v>
      </c>
      <c r="AF110" s="560">
        <v>17792.603682000001</v>
      </c>
      <c r="AG110" s="560">
        <v>23583.555646000001</v>
      </c>
      <c r="AH110" s="560">
        <v>5442.7450790000003</v>
      </c>
      <c r="AI110" s="560">
        <v>12</v>
      </c>
      <c r="AJ110" s="560">
        <v>985.91646500000002</v>
      </c>
      <c r="AK110" s="560">
        <v>0</v>
      </c>
      <c r="AL110" s="560">
        <v>200.75</v>
      </c>
      <c r="AM110" s="560">
        <v>0</v>
      </c>
      <c r="AN110" s="560">
        <v>0</v>
      </c>
      <c r="AO110" s="560">
        <v>0</v>
      </c>
      <c r="AP110" s="560">
        <v>0</v>
      </c>
      <c r="AQ110" s="560" t="s">
        <v>827</v>
      </c>
      <c r="AR110" s="560" t="s">
        <v>1740</v>
      </c>
      <c r="AS110" s="560">
        <v>0</v>
      </c>
      <c r="AT110" s="560">
        <v>0</v>
      </c>
      <c r="AU110" s="560">
        <v>0</v>
      </c>
      <c r="AV110" s="560">
        <v>69</v>
      </c>
      <c r="AW110" s="560">
        <v>64</v>
      </c>
      <c r="AX110" s="560">
        <v>74</v>
      </c>
      <c r="AY110" s="560">
        <v>78</v>
      </c>
      <c r="AZ110" s="560">
        <v>1</v>
      </c>
      <c r="BA110" s="560">
        <v>2268</v>
      </c>
      <c r="BB110" s="560">
        <v>0</v>
      </c>
      <c r="BC110" s="560">
        <v>0.5</v>
      </c>
      <c r="BD110" s="560">
        <v>0</v>
      </c>
      <c r="BE110" s="560" t="s">
        <v>1798</v>
      </c>
      <c r="BF110" s="560">
        <v>2.5</v>
      </c>
      <c r="BG110" s="560">
        <v>17.399999999999999</v>
      </c>
      <c r="BH110" s="560">
        <v>1</v>
      </c>
      <c r="BI110" s="560">
        <v>2</v>
      </c>
      <c r="BJ110" s="560">
        <v>35</v>
      </c>
      <c r="BK110" s="560">
        <v>0</v>
      </c>
      <c r="BL110" s="560" t="s">
        <v>1716</v>
      </c>
      <c r="BM110" s="560">
        <v>0.06</v>
      </c>
      <c r="BN110" s="560">
        <v>300</v>
      </c>
      <c r="BO110" s="560">
        <v>6</v>
      </c>
      <c r="BP110" s="560" t="s">
        <v>1747</v>
      </c>
      <c r="BQ110" s="560">
        <v>0.03</v>
      </c>
      <c r="BR110" s="560">
        <v>80</v>
      </c>
      <c r="BS110" s="560">
        <v>6</v>
      </c>
      <c r="BT110" s="560">
        <v>2200</v>
      </c>
      <c r="BU110" s="560">
        <v>18700</v>
      </c>
      <c r="BV110" s="560">
        <v>200</v>
      </c>
      <c r="BW110" s="560">
        <v>30.609376350000002</v>
      </c>
      <c r="BX110" s="560">
        <v>2210</v>
      </c>
      <c r="BY110" s="560">
        <v>17.543859650000002</v>
      </c>
      <c r="BZ110" s="560">
        <v>1784</v>
      </c>
      <c r="CA110" s="560">
        <v>37.664196859999997</v>
      </c>
      <c r="CB110" s="560">
        <v>0.85</v>
      </c>
      <c r="CC110" s="560">
        <v>91</v>
      </c>
      <c r="CD110" s="560">
        <v>91</v>
      </c>
      <c r="CE110" s="560">
        <v>91</v>
      </c>
      <c r="CF110" s="560">
        <v>91</v>
      </c>
      <c r="CG110" s="560">
        <v>0.29299999999999998</v>
      </c>
      <c r="CH110" s="560">
        <v>0.3</v>
      </c>
      <c r="CI110" s="560">
        <v>0.54</v>
      </c>
      <c r="CJ110" s="560">
        <v>40</v>
      </c>
      <c r="CK110" s="560">
        <v>5</v>
      </c>
      <c r="CL110" s="560">
        <v>1</v>
      </c>
      <c r="CM110" s="562">
        <v>1584</v>
      </c>
      <c r="CN110" s="562">
        <v>160</v>
      </c>
      <c r="CO110" s="562">
        <v>30.609376350000002</v>
      </c>
      <c r="CP110" s="562">
        <v>0</v>
      </c>
      <c r="CQ110" s="562">
        <v>0</v>
      </c>
      <c r="CR110" s="562" t="s">
        <v>1718</v>
      </c>
      <c r="CS110" s="562">
        <v>0</v>
      </c>
      <c r="CT110" s="562">
        <v>0</v>
      </c>
      <c r="CU110" s="562">
        <v>0.75</v>
      </c>
      <c r="CV110" s="562">
        <v>1</v>
      </c>
      <c r="CW110" s="562">
        <v>1.75</v>
      </c>
      <c r="CX110" s="562">
        <v>2</v>
      </c>
      <c r="CY110" s="562">
        <v>1.5</v>
      </c>
      <c r="CZ110" s="560">
        <v>2181.666667</v>
      </c>
      <c r="DA110" s="560">
        <v>11.80555556</v>
      </c>
      <c r="DB110" s="560" t="s">
        <v>1719</v>
      </c>
      <c r="DC110" s="560">
        <v>50</v>
      </c>
      <c r="DD110" s="560">
        <v>4</v>
      </c>
      <c r="DE110" s="560" t="s">
        <v>1720</v>
      </c>
      <c r="DF110" s="560">
        <v>5</v>
      </c>
      <c r="DG110" s="560">
        <v>0</v>
      </c>
      <c r="DH110" s="560">
        <v>4.5</v>
      </c>
      <c r="DI110" s="560">
        <v>4.5</v>
      </c>
      <c r="DJ110" s="560">
        <v>0</v>
      </c>
      <c r="DK110" s="560">
        <v>0</v>
      </c>
      <c r="DL110" s="560">
        <v>0</v>
      </c>
      <c r="DM110" s="560">
        <v>0</v>
      </c>
      <c r="DN110" s="560">
        <v>0</v>
      </c>
      <c r="DO110" s="560">
        <v>0</v>
      </c>
    </row>
    <row r="111" spans="1:119">
      <c r="A111" s="560" t="s">
        <v>828</v>
      </c>
      <c r="B111" s="560" t="s">
        <v>1713</v>
      </c>
      <c r="C111" s="560" t="s">
        <v>800</v>
      </c>
      <c r="D111" s="560">
        <v>3</v>
      </c>
      <c r="E111" s="560">
        <v>421.99188099999998</v>
      </c>
      <c r="F111" s="560">
        <v>56.061470999999997</v>
      </c>
      <c r="G111" s="560">
        <v>7927.5</v>
      </c>
      <c r="H111" s="560">
        <v>755.94</v>
      </c>
      <c r="I111" s="560">
        <v>0.90101900000000001</v>
      </c>
      <c r="J111" s="560">
        <v>0.31539800000000001</v>
      </c>
      <c r="K111" s="560">
        <v>0.34428799999999998</v>
      </c>
      <c r="L111" s="560">
        <v>0.53643300000000005</v>
      </c>
      <c r="M111" s="560">
        <v>15638.800826999999</v>
      </c>
      <c r="N111" s="560">
        <v>19821.409605000001</v>
      </c>
      <c r="O111" s="560">
        <v>5913.0154400000001</v>
      </c>
      <c r="P111" s="560">
        <v>938.77411900000004</v>
      </c>
      <c r="Q111" s="560">
        <v>453.870813</v>
      </c>
      <c r="R111" s="560">
        <v>2380.8622089999999</v>
      </c>
      <c r="S111" s="560">
        <v>3736.9932039999999</v>
      </c>
      <c r="T111" s="560">
        <v>4493.4373489999998</v>
      </c>
      <c r="U111" s="560">
        <v>1048.330596</v>
      </c>
      <c r="V111" s="560">
        <v>18.841059000000001</v>
      </c>
      <c r="W111" s="560">
        <v>1.7972440000000001</v>
      </c>
      <c r="X111" s="560">
        <v>0</v>
      </c>
      <c r="Y111" s="560">
        <v>106.59552100000001</v>
      </c>
      <c r="Z111" s="560">
        <v>559.16626299999996</v>
      </c>
      <c r="AA111" s="560">
        <v>45248.120849999999</v>
      </c>
      <c r="AB111" s="560">
        <v>55660.543607</v>
      </c>
      <c r="AC111" s="560">
        <v>39580.629237000001</v>
      </c>
      <c r="AD111" s="560">
        <v>33194.731177000001</v>
      </c>
      <c r="AE111" s="560">
        <v>650.43966399999999</v>
      </c>
      <c r="AF111" s="560">
        <v>18246.575421000001</v>
      </c>
      <c r="AG111" s="560">
        <v>23341.947886999998</v>
      </c>
      <c r="AH111" s="560">
        <v>5486.7145909999999</v>
      </c>
      <c r="AI111" s="560">
        <v>12</v>
      </c>
      <c r="AJ111" s="560">
        <v>985.91646500000002</v>
      </c>
      <c r="AK111" s="560">
        <v>0</v>
      </c>
      <c r="AL111" s="560">
        <v>200.75</v>
      </c>
      <c r="AM111" s="560">
        <v>0</v>
      </c>
      <c r="AN111" s="560">
        <v>0</v>
      </c>
      <c r="AO111" s="560">
        <v>0</v>
      </c>
      <c r="AP111" s="560">
        <v>0</v>
      </c>
      <c r="AQ111" s="560" t="s">
        <v>828</v>
      </c>
      <c r="AR111" s="560" t="s">
        <v>1742</v>
      </c>
      <c r="AS111" s="560">
        <v>0</v>
      </c>
      <c r="AT111" s="560">
        <v>0</v>
      </c>
      <c r="AU111" s="560">
        <v>0</v>
      </c>
      <c r="AV111" s="560">
        <v>69</v>
      </c>
      <c r="AW111" s="560">
        <v>64</v>
      </c>
      <c r="AX111" s="560">
        <v>74</v>
      </c>
      <c r="AY111" s="560">
        <v>78</v>
      </c>
      <c r="AZ111" s="560">
        <v>1</v>
      </c>
      <c r="BA111" s="560">
        <v>2268</v>
      </c>
      <c r="BB111" s="560">
        <v>0</v>
      </c>
      <c r="BC111" s="560">
        <v>0.5</v>
      </c>
      <c r="BD111" s="560">
        <v>0</v>
      </c>
      <c r="BE111" s="560" t="s">
        <v>1798</v>
      </c>
      <c r="BF111" s="560">
        <v>2.5</v>
      </c>
      <c r="BG111" s="560">
        <v>17.399999999999999</v>
      </c>
      <c r="BH111" s="560">
        <v>1</v>
      </c>
      <c r="BI111" s="560">
        <v>2</v>
      </c>
      <c r="BJ111" s="560">
        <v>35</v>
      </c>
      <c r="BK111" s="560">
        <v>0</v>
      </c>
      <c r="BL111" s="560" t="s">
        <v>1716</v>
      </c>
      <c r="BM111" s="560">
        <v>0.06</v>
      </c>
      <c r="BN111" s="560">
        <v>300</v>
      </c>
      <c r="BO111" s="560">
        <v>6</v>
      </c>
      <c r="BP111" s="560" t="s">
        <v>1747</v>
      </c>
      <c r="BQ111" s="560">
        <v>0.03</v>
      </c>
      <c r="BR111" s="560">
        <v>80</v>
      </c>
      <c r="BS111" s="560">
        <v>6</v>
      </c>
      <c r="BT111" s="560">
        <v>2200</v>
      </c>
      <c r="BU111" s="560">
        <v>18700</v>
      </c>
      <c r="BV111" s="560">
        <v>200</v>
      </c>
      <c r="BW111" s="560">
        <v>30.609376350000002</v>
      </c>
      <c r="BX111" s="560">
        <v>2210</v>
      </c>
      <c r="BY111" s="560">
        <v>17.543859650000002</v>
      </c>
      <c r="BZ111" s="560">
        <v>1784</v>
      </c>
      <c r="CA111" s="560">
        <v>37.664196859999997</v>
      </c>
      <c r="CB111" s="560">
        <v>0.85</v>
      </c>
      <c r="CC111" s="560">
        <v>91</v>
      </c>
      <c r="CD111" s="560">
        <v>91</v>
      </c>
      <c r="CE111" s="560">
        <v>91</v>
      </c>
      <c r="CF111" s="560">
        <v>91</v>
      </c>
      <c r="CG111" s="560">
        <v>0.29299999999999998</v>
      </c>
      <c r="CH111" s="560">
        <v>0.3</v>
      </c>
      <c r="CI111" s="560">
        <v>0.54</v>
      </c>
      <c r="CJ111" s="560">
        <v>40</v>
      </c>
      <c r="CK111" s="560">
        <v>5</v>
      </c>
      <c r="CL111" s="560">
        <v>1</v>
      </c>
      <c r="CM111" s="562">
        <v>1584</v>
      </c>
      <c r="CN111" s="562">
        <v>160</v>
      </c>
      <c r="CO111" s="562">
        <v>30.609376350000002</v>
      </c>
      <c r="CP111" s="562">
        <v>0</v>
      </c>
      <c r="CQ111" s="562">
        <v>0</v>
      </c>
      <c r="CR111" s="562" t="s">
        <v>1718</v>
      </c>
      <c r="CS111" s="562">
        <v>0</v>
      </c>
      <c r="CT111" s="562">
        <v>0</v>
      </c>
      <c r="CU111" s="562">
        <v>0.75</v>
      </c>
      <c r="CV111" s="562">
        <v>1</v>
      </c>
      <c r="CW111" s="562">
        <v>1.75</v>
      </c>
      <c r="CX111" s="562">
        <v>2</v>
      </c>
      <c r="CY111" s="562">
        <v>1.5</v>
      </c>
      <c r="CZ111" s="560">
        <v>2181.666667</v>
      </c>
      <c r="DA111" s="560">
        <v>11.80555556</v>
      </c>
      <c r="DB111" s="560" t="s">
        <v>1719</v>
      </c>
      <c r="DC111" s="560">
        <v>50</v>
      </c>
      <c r="DD111" s="560">
        <v>4</v>
      </c>
      <c r="DE111" s="560" t="s">
        <v>1720</v>
      </c>
      <c r="DF111" s="560">
        <v>5</v>
      </c>
      <c r="DG111" s="560">
        <v>0</v>
      </c>
      <c r="DH111" s="560">
        <v>4.5</v>
      </c>
      <c r="DI111" s="560">
        <v>4.5</v>
      </c>
      <c r="DJ111" s="560">
        <v>0</v>
      </c>
      <c r="DK111" s="560">
        <v>0</v>
      </c>
      <c r="DL111" s="560">
        <v>0</v>
      </c>
      <c r="DM111" s="560">
        <v>0</v>
      </c>
      <c r="DN111" s="560">
        <v>0</v>
      </c>
      <c r="DO111" s="560">
        <v>0</v>
      </c>
    </row>
    <row r="112" spans="1:119">
      <c r="A112" s="560" t="s">
        <v>829</v>
      </c>
      <c r="B112" s="560" t="s">
        <v>1713</v>
      </c>
      <c r="C112" s="560" t="s">
        <v>794</v>
      </c>
      <c r="D112" s="560">
        <v>3</v>
      </c>
      <c r="E112" s="560">
        <v>488.52372100000002</v>
      </c>
      <c r="F112" s="560">
        <v>56.964730000000003</v>
      </c>
      <c r="G112" s="560">
        <v>7927.5</v>
      </c>
      <c r="H112" s="560">
        <v>139.9665</v>
      </c>
      <c r="I112" s="560">
        <v>0.90101900000000001</v>
      </c>
      <c r="J112" s="560">
        <v>0.32359500000000002</v>
      </c>
      <c r="K112" s="560">
        <v>0.34622000000000003</v>
      </c>
      <c r="L112" s="560">
        <v>0.55998999999999999</v>
      </c>
      <c r="M112" s="560">
        <v>18726.477686999999</v>
      </c>
      <c r="N112" s="560">
        <v>23946.989366000002</v>
      </c>
      <c r="O112" s="560">
        <v>6920.1845219999996</v>
      </c>
      <c r="P112" s="560">
        <v>827.247974</v>
      </c>
      <c r="Q112" s="560">
        <v>555.021342</v>
      </c>
      <c r="R112" s="560">
        <v>2426.2214789999998</v>
      </c>
      <c r="S112" s="560">
        <v>1310.8397600000001</v>
      </c>
      <c r="T112" s="560">
        <v>1690.842903</v>
      </c>
      <c r="U112" s="560">
        <v>398.34715699999998</v>
      </c>
      <c r="V112" s="560">
        <v>40.770041999999997</v>
      </c>
      <c r="W112" s="560">
        <v>10.377689</v>
      </c>
      <c r="X112" s="560">
        <v>0</v>
      </c>
      <c r="Y112" s="560">
        <v>39.173439999999999</v>
      </c>
      <c r="Z112" s="560">
        <v>171.24285900000001</v>
      </c>
      <c r="AA112" s="560">
        <v>48812.316862</v>
      </c>
      <c r="AB112" s="560">
        <v>61125.173669000003</v>
      </c>
      <c r="AC112" s="560">
        <v>41892.482494999997</v>
      </c>
      <c r="AD112" s="560">
        <v>34226.836198999998</v>
      </c>
      <c r="AE112" s="560">
        <v>780.52759700000001</v>
      </c>
      <c r="AF112" s="560">
        <v>15392.156999999999</v>
      </c>
      <c r="AG112" s="560">
        <v>19208.936202000001</v>
      </c>
      <c r="AH112" s="560">
        <v>4656.9330550000004</v>
      </c>
      <c r="AI112" s="560">
        <v>3</v>
      </c>
      <c r="AJ112" s="560">
        <v>1185.434332</v>
      </c>
      <c r="AK112" s="560">
        <v>0</v>
      </c>
      <c r="AL112" s="560">
        <v>200.75</v>
      </c>
      <c r="AM112" s="560">
        <v>0</v>
      </c>
      <c r="AN112" s="560">
        <v>0</v>
      </c>
      <c r="AO112" s="560">
        <v>0</v>
      </c>
      <c r="AP112" s="560">
        <v>0</v>
      </c>
      <c r="AQ112" s="560" t="s">
        <v>829</v>
      </c>
      <c r="AR112" s="560" t="s">
        <v>1738</v>
      </c>
      <c r="AS112" s="560">
        <v>0</v>
      </c>
      <c r="AT112" s="560">
        <v>0</v>
      </c>
      <c r="AU112" s="560">
        <v>0</v>
      </c>
      <c r="AV112" s="560">
        <v>69</v>
      </c>
      <c r="AW112" s="560">
        <v>64</v>
      </c>
      <c r="AX112" s="560">
        <v>74</v>
      </c>
      <c r="AY112" s="560">
        <v>78</v>
      </c>
      <c r="AZ112" s="560">
        <v>1</v>
      </c>
      <c r="BA112" s="560">
        <v>2268</v>
      </c>
      <c r="BB112" s="560">
        <v>0</v>
      </c>
      <c r="BC112" s="560">
        <v>0.5</v>
      </c>
      <c r="BD112" s="560">
        <v>0</v>
      </c>
      <c r="BE112" s="560" t="s">
        <v>1798</v>
      </c>
      <c r="BF112" s="560">
        <v>3</v>
      </c>
      <c r="BG112" s="560">
        <v>17.399999999999999</v>
      </c>
      <c r="BH112" s="560">
        <v>1</v>
      </c>
      <c r="BI112" s="560">
        <v>2</v>
      </c>
      <c r="BJ112" s="560">
        <v>35</v>
      </c>
      <c r="BK112" s="560">
        <v>0</v>
      </c>
      <c r="BL112" s="560" t="s">
        <v>1716</v>
      </c>
      <c r="BM112" s="560">
        <v>0.06</v>
      </c>
      <c r="BN112" s="560">
        <v>300</v>
      </c>
      <c r="BO112" s="560">
        <v>4.5</v>
      </c>
      <c r="BP112" s="560" t="s">
        <v>1747</v>
      </c>
      <c r="BQ112" s="560">
        <v>0.03</v>
      </c>
      <c r="BR112" s="560">
        <v>80</v>
      </c>
      <c r="BS112" s="560">
        <v>4.9000000000000004</v>
      </c>
      <c r="BT112" s="560">
        <v>2200</v>
      </c>
      <c r="BU112" s="560">
        <v>18700</v>
      </c>
      <c r="BV112" s="560">
        <v>200</v>
      </c>
      <c r="BW112" s="560">
        <v>26.8</v>
      </c>
      <c r="BX112" s="560">
        <v>2210</v>
      </c>
      <c r="BY112" s="560">
        <v>11.4</v>
      </c>
      <c r="BZ112" s="560">
        <v>1784</v>
      </c>
      <c r="CA112" s="560">
        <v>35</v>
      </c>
      <c r="CB112" s="560">
        <v>0.85</v>
      </c>
      <c r="CC112" s="560">
        <v>91</v>
      </c>
      <c r="CD112" s="560">
        <v>91</v>
      </c>
      <c r="CE112" s="560">
        <v>91</v>
      </c>
      <c r="CF112" s="560">
        <v>91</v>
      </c>
      <c r="CG112" s="560">
        <v>0.29299999999999998</v>
      </c>
      <c r="CH112" s="560">
        <v>0.3</v>
      </c>
      <c r="CI112" s="560">
        <v>0.54</v>
      </c>
      <c r="CJ112" s="560">
        <v>40</v>
      </c>
      <c r="CK112" s="560">
        <v>5</v>
      </c>
      <c r="CL112" s="560">
        <v>1</v>
      </c>
      <c r="CM112" s="562">
        <v>1584</v>
      </c>
      <c r="CN112" s="562">
        <v>160</v>
      </c>
      <c r="CO112" s="562">
        <v>26.8</v>
      </c>
      <c r="CP112" s="562">
        <v>0</v>
      </c>
      <c r="CQ112" s="562">
        <v>0</v>
      </c>
      <c r="CR112" s="562" t="s">
        <v>1718</v>
      </c>
      <c r="CS112" s="562">
        <v>0</v>
      </c>
      <c r="CT112" s="562">
        <v>0</v>
      </c>
      <c r="CU112" s="562">
        <v>0.75</v>
      </c>
      <c r="CV112" s="562">
        <v>1</v>
      </c>
      <c r="CW112" s="562">
        <v>1.75</v>
      </c>
      <c r="CX112" s="562">
        <v>2</v>
      </c>
      <c r="CY112" s="562">
        <v>1.5</v>
      </c>
      <c r="CZ112" s="560">
        <v>2181.666667</v>
      </c>
      <c r="DA112" s="560">
        <v>11.80555556</v>
      </c>
      <c r="DB112" s="560" t="s">
        <v>1719</v>
      </c>
      <c r="DC112" s="560">
        <v>50</v>
      </c>
      <c r="DD112" s="560">
        <v>4</v>
      </c>
      <c r="DE112" s="560" t="s">
        <v>1720</v>
      </c>
      <c r="DF112" s="560">
        <v>5</v>
      </c>
      <c r="DG112" s="560">
        <v>0</v>
      </c>
      <c r="DH112" s="560">
        <v>4.5</v>
      </c>
      <c r="DI112" s="560">
        <v>4.5</v>
      </c>
      <c r="DJ112" s="560">
        <v>0</v>
      </c>
      <c r="DK112" s="560">
        <v>0</v>
      </c>
      <c r="DL112" s="560">
        <v>0</v>
      </c>
      <c r="DM112" s="560">
        <v>0</v>
      </c>
      <c r="DN112" s="560">
        <v>0</v>
      </c>
      <c r="DO112" s="560">
        <v>0</v>
      </c>
    </row>
    <row r="113" spans="1:119">
      <c r="A113" s="560" t="s">
        <v>830</v>
      </c>
      <c r="B113" s="560" t="s">
        <v>1713</v>
      </c>
      <c r="C113" s="560" t="s">
        <v>797</v>
      </c>
      <c r="D113" s="560">
        <v>3</v>
      </c>
      <c r="E113" s="560">
        <v>488.52372100000002</v>
      </c>
      <c r="F113" s="560">
        <v>56.964730000000003</v>
      </c>
      <c r="G113" s="560">
        <v>7927.5</v>
      </c>
      <c r="H113" s="560">
        <v>391.60199999999998</v>
      </c>
      <c r="I113" s="560">
        <v>0.90101900000000001</v>
      </c>
      <c r="J113" s="560">
        <v>0.32359500000000002</v>
      </c>
      <c r="K113" s="560">
        <v>0.34622000000000003</v>
      </c>
      <c r="L113" s="560">
        <v>0.55998999999999999</v>
      </c>
      <c r="M113" s="560">
        <v>18726.477686999999</v>
      </c>
      <c r="N113" s="560">
        <v>23946.989366000002</v>
      </c>
      <c r="O113" s="560">
        <v>6920.1845219999996</v>
      </c>
      <c r="P113" s="560">
        <v>827.247974</v>
      </c>
      <c r="Q113" s="560">
        <v>555.021342</v>
      </c>
      <c r="R113" s="560">
        <v>2426.2214789999998</v>
      </c>
      <c r="S113" s="560">
        <v>2462.240816</v>
      </c>
      <c r="T113" s="560">
        <v>3052.5871339999999</v>
      </c>
      <c r="U113" s="560">
        <v>715.893642</v>
      </c>
      <c r="V113" s="560">
        <v>38.264479999999999</v>
      </c>
      <c r="W113" s="560">
        <v>5.5667429999999998</v>
      </c>
      <c r="X113" s="560">
        <v>0</v>
      </c>
      <c r="Y113" s="560">
        <v>71.530586999999997</v>
      </c>
      <c r="Z113" s="560">
        <v>312.68896000000001</v>
      </c>
      <c r="AA113" s="560">
        <v>48812.316862</v>
      </c>
      <c r="AB113" s="560">
        <v>61125.173669000003</v>
      </c>
      <c r="AC113" s="560">
        <v>41892.482494999997</v>
      </c>
      <c r="AD113" s="560">
        <v>34226.836198999998</v>
      </c>
      <c r="AE113" s="560">
        <v>780.52759700000001</v>
      </c>
      <c r="AF113" s="560">
        <v>19645.645417</v>
      </c>
      <c r="AG113" s="560">
        <v>26306.90727</v>
      </c>
      <c r="AH113" s="560">
        <v>6088.1038719999997</v>
      </c>
      <c r="AI113" s="560">
        <v>3</v>
      </c>
      <c r="AJ113" s="560">
        <v>1185.434332</v>
      </c>
      <c r="AK113" s="560">
        <v>0</v>
      </c>
      <c r="AL113" s="560">
        <v>200.75</v>
      </c>
      <c r="AM113" s="560">
        <v>0</v>
      </c>
      <c r="AN113" s="560">
        <v>0</v>
      </c>
      <c r="AO113" s="560">
        <v>0</v>
      </c>
      <c r="AP113" s="560">
        <v>0</v>
      </c>
      <c r="AQ113" s="560" t="s">
        <v>830</v>
      </c>
      <c r="AR113" s="560" t="s">
        <v>1740</v>
      </c>
      <c r="AS113" s="560">
        <v>0</v>
      </c>
      <c r="AT113" s="560">
        <v>0</v>
      </c>
      <c r="AU113" s="560">
        <v>0</v>
      </c>
      <c r="AV113" s="560">
        <v>69</v>
      </c>
      <c r="AW113" s="560">
        <v>64</v>
      </c>
      <c r="AX113" s="560">
        <v>74</v>
      </c>
      <c r="AY113" s="560">
        <v>78</v>
      </c>
      <c r="AZ113" s="560">
        <v>1</v>
      </c>
      <c r="BA113" s="560">
        <v>2268</v>
      </c>
      <c r="BB113" s="560">
        <v>0</v>
      </c>
      <c r="BC113" s="560">
        <v>0.5</v>
      </c>
      <c r="BD113" s="560">
        <v>0</v>
      </c>
      <c r="BE113" s="560" t="s">
        <v>1798</v>
      </c>
      <c r="BF113" s="560">
        <v>3</v>
      </c>
      <c r="BG113" s="560">
        <v>17.399999999999999</v>
      </c>
      <c r="BH113" s="560">
        <v>1</v>
      </c>
      <c r="BI113" s="560">
        <v>2</v>
      </c>
      <c r="BJ113" s="560">
        <v>35</v>
      </c>
      <c r="BK113" s="560">
        <v>0</v>
      </c>
      <c r="BL113" s="560" t="s">
        <v>1716</v>
      </c>
      <c r="BM113" s="560">
        <v>0.06</v>
      </c>
      <c r="BN113" s="560">
        <v>300</v>
      </c>
      <c r="BO113" s="560">
        <v>4.5</v>
      </c>
      <c r="BP113" s="560" t="s">
        <v>1747</v>
      </c>
      <c r="BQ113" s="560">
        <v>0.03</v>
      </c>
      <c r="BR113" s="560">
        <v>80</v>
      </c>
      <c r="BS113" s="560">
        <v>4.9000000000000004</v>
      </c>
      <c r="BT113" s="560">
        <v>2200</v>
      </c>
      <c r="BU113" s="560">
        <v>18700</v>
      </c>
      <c r="BV113" s="560">
        <v>200</v>
      </c>
      <c r="BW113" s="560">
        <v>26.8</v>
      </c>
      <c r="BX113" s="560">
        <v>2210</v>
      </c>
      <c r="BY113" s="560">
        <v>11.4</v>
      </c>
      <c r="BZ113" s="560">
        <v>1784</v>
      </c>
      <c r="CA113" s="560">
        <v>35</v>
      </c>
      <c r="CB113" s="560">
        <v>0.85</v>
      </c>
      <c r="CC113" s="560">
        <v>91</v>
      </c>
      <c r="CD113" s="560">
        <v>91</v>
      </c>
      <c r="CE113" s="560">
        <v>91</v>
      </c>
      <c r="CF113" s="560">
        <v>91</v>
      </c>
      <c r="CG113" s="560">
        <v>0.29299999999999998</v>
      </c>
      <c r="CH113" s="560">
        <v>0.3</v>
      </c>
      <c r="CI113" s="560">
        <v>0.54</v>
      </c>
      <c r="CJ113" s="560">
        <v>40</v>
      </c>
      <c r="CK113" s="560">
        <v>5</v>
      </c>
      <c r="CL113" s="560">
        <v>1</v>
      </c>
      <c r="CM113" s="562">
        <v>1584</v>
      </c>
      <c r="CN113" s="562">
        <v>160</v>
      </c>
      <c r="CO113" s="562">
        <v>26.8</v>
      </c>
      <c r="CP113" s="562">
        <v>0</v>
      </c>
      <c r="CQ113" s="562">
        <v>0</v>
      </c>
      <c r="CR113" s="562" t="s">
        <v>1718</v>
      </c>
      <c r="CS113" s="562">
        <v>0</v>
      </c>
      <c r="CT113" s="562">
        <v>0</v>
      </c>
      <c r="CU113" s="562">
        <v>0.75</v>
      </c>
      <c r="CV113" s="562">
        <v>1</v>
      </c>
      <c r="CW113" s="562">
        <v>1.75</v>
      </c>
      <c r="CX113" s="562">
        <v>2</v>
      </c>
      <c r="CY113" s="562">
        <v>1.5</v>
      </c>
      <c r="CZ113" s="560">
        <v>2181.666667</v>
      </c>
      <c r="DA113" s="560">
        <v>11.80555556</v>
      </c>
      <c r="DB113" s="560" t="s">
        <v>1719</v>
      </c>
      <c r="DC113" s="560">
        <v>50</v>
      </c>
      <c r="DD113" s="560">
        <v>4</v>
      </c>
      <c r="DE113" s="560" t="s">
        <v>1720</v>
      </c>
      <c r="DF113" s="560">
        <v>5</v>
      </c>
      <c r="DG113" s="560">
        <v>0</v>
      </c>
      <c r="DH113" s="560">
        <v>4.5</v>
      </c>
      <c r="DI113" s="560">
        <v>4.5</v>
      </c>
      <c r="DJ113" s="560">
        <v>0</v>
      </c>
      <c r="DK113" s="560">
        <v>0</v>
      </c>
      <c r="DL113" s="560">
        <v>0</v>
      </c>
      <c r="DM113" s="560">
        <v>0</v>
      </c>
      <c r="DN113" s="560">
        <v>0</v>
      </c>
      <c r="DO113" s="560">
        <v>0</v>
      </c>
    </row>
    <row r="114" spans="1:119">
      <c r="A114" s="560" t="s">
        <v>831</v>
      </c>
      <c r="B114" s="560" t="s">
        <v>1713</v>
      </c>
      <c r="C114" s="560" t="s">
        <v>800</v>
      </c>
      <c r="D114" s="560">
        <v>3</v>
      </c>
      <c r="E114" s="560">
        <v>488.52372100000002</v>
      </c>
      <c r="F114" s="560">
        <v>56.964730000000003</v>
      </c>
      <c r="G114" s="560">
        <v>7927.5</v>
      </c>
      <c r="H114" s="560">
        <v>755.94</v>
      </c>
      <c r="I114" s="560">
        <v>0.90101900000000001</v>
      </c>
      <c r="J114" s="560">
        <v>0.32359500000000002</v>
      </c>
      <c r="K114" s="560">
        <v>0.34622000000000003</v>
      </c>
      <c r="L114" s="560">
        <v>0.55998999999999999</v>
      </c>
      <c r="M114" s="560">
        <v>18726.477686999999</v>
      </c>
      <c r="N114" s="560">
        <v>23946.989366000002</v>
      </c>
      <c r="O114" s="560">
        <v>6920.1845219999996</v>
      </c>
      <c r="P114" s="560">
        <v>827.247974</v>
      </c>
      <c r="Q114" s="560">
        <v>555.021342</v>
      </c>
      <c r="R114" s="560">
        <v>2426.2214789999998</v>
      </c>
      <c r="S114" s="560">
        <v>3861.3436959999999</v>
      </c>
      <c r="T114" s="560">
        <v>4675.128721</v>
      </c>
      <c r="U114" s="560">
        <v>1093.609475</v>
      </c>
      <c r="V114" s="560">
        <v>19.861844999999999</v>
      </c>
      <c r="W114" s="560">
        <v>1.816173</v>
      </c>
      <c r="X114" s="560">
        <v>0</v>
      </c>
      <c r="Y114" s="560">
        <v>110.82335999999999</v>
      </c>
      <c r="Z114" s="560">
        <v>484.45347400000003</v>
      </c>
      <c r="AA114" s="560">
        <v>48812.316862</v>
      </c>
      <c r="AB114" s="560">
        <v>61125.173669000003</v>
      </c>
      <c r="AC114" s="560">
        <v>41892.482494999997</v>
      </c>
      <c r="AD114" s="560">
        <v>34226.836198999998</v>
      </c>
      <c r="AE114" s="560">
        <v>780.52759700000001</v>
      </c>
      <c r="AF114" s="560">
        <v>20162.305683999999</v>
      </c>
      <c r="AG114" s="560">
        <v>26024.456443999999</v>
      </c>
      <c r="AH114" s="560">
        <v>6105.3477640000001</v>
      </c>
      <c r="AI114" s="560">
        <v>3</v>
      </c>
      <c r="AJ114" s="560">
        <v>1185.434332</v>
      </c>
      <c r="AK114" s="560">
        <v>0</v>
      </c>
      <c r="AL114" s="560">
        <v>200.75</v>
      </c>
      <c r="AM114" s="560">
        <v>0</v>
      </c>
      <c r="AN114" s="560">
        <v>0</v>
      </c>
      <c r="AO114" s="560">
        <v>0</v>
      </c>
      <c r="AP114" s="560">
        <v>0</v>
      </c>
      <c r="AQ114" s="560" t="s">
        <v>831</v>
      </c>
      <c r="AR114" s="560" t="s">
        <v>1742</v>
      </c>
      <c r="AS114" s="560">
        <v>0</v>
      </c>
      <c r="AT114" s="560">
        <v>0</v>
      </c>
      <c r="AU114" s="560">
        <v>0</v>
      </c>
      <c r="AV114" s="560">
        <v>69</v>
      </c>
      <c r="AW114" s="560">
        <v>64</v>
      </c>
      <c r="AX114" s="560">
        <v>74</v>
      </c>
      <c r="AY114" s="560">
        <v>78</v>
      </c>
      <c r="AZ114" s="560">
        <v>1</v>
      </c>
      <c r="BA114" s="560">
        <v>2268</v>
      </c>
      <c r="BB114" s="560">
        <v>0</v>
      </c>
      <c r="BC114" s="560">
        <v>0.5</v>
      </c>
      <c r="BD114" s="560">
        <v>0</v>
      </c>
      <c r="BE114" s="560" t="s">
        <v>1798</v>
      </c>
      <c r="BF114" s="560">
        <v>3</v>
      </c>
      <c r="BG114" s="560">
        <v>17.399999999999999</v>
      </c>
      <c r="BH114" s="560">
        <v>1</v>
      </c>
      <c r="BI114" s="560">
        <v>2</v>
      </c>
      <c r="BJ114" s="560">
        <v>35</v>
      </c>
      <c r="BK114" s="560">
        <v>0</v>
      </c>
      <c r="BL114" s="560" t="s">
        <v>1716</v>
      </c>
      <c r="BM114" s="560">
        <v>0.06</v>
      </c>
      <c r="BN114" s="560">
        <v>300</v>
      </c>
      <c r="BO114" s="560">
        <v>4.5</v>
      </c>
      <c r="BP114" s="560" t="s">
        <v>1747</v>
      </c>
      <c r="BQ114" s="560">
        <v>0.03</v>
      </c>
      <c r="BR114" s="560">
        <v>80</v>
      </c>
      <c r="BS114" s="560">
        <v>4.9000000000000004</v>
      </c>
      <c r="BT114" s="560">
        <v>2200</v>
      </c>
      <c r="BU114" s="560">
        <v>18700</v>
      </c>
      <c r="BV114" s="560">
        <v>200</v>
      </c>
      <c r="BW114" s="560">
        <v>26.8</v>
      </c>
      <c r="BX114" s="560">
        <v>2210</v>
      </c>
      <c r="BY114" s="560">
        <v>11.4</v>
      </c>
      <c r="BZ114" s="560">
        <v>1784</v>
      </c>
      <c r="CA114" s="560">
        <v>35</v>
      </c>
      <c r="CB114" s="560">
        <v>0.85</v>
      </c>
      <c r="CC114" s="560">
        <v>91</v>
      </c>
      <c r="CD114" s="560">
        <v>91</v>
      </c>
      <c r="CE114" s="560">
        <v>91</v>
      </c>
      <c r="CF114" s="560">
        <v>91</v>
      </c>
      <c r="CG114" s="560">
        <v>0.29299999999999998</v>
      </c>
      <c r="CH114" s="560">
        <v>0.3</v>
      </c>
      <c r="CI114" s="560">
        <v>0.54</v>
      </c>
      <c r="CJ114" s="560">
        <v>40</v>
      </c>
      <c r="CK114" s="560">
        <v>5</v>
      </c>
      <c r="CL114" s="560">
        <v>1</v>
      </c>
      <c r="CM114" s="562">
        <v>1584</v>
      </c>
      <c r="CN114" s="562">
        <v>160</v>
      </c>
      <c r="CO114" s="562">
        <v>26.8</v>
      </c>
      <c r="CP114" s="562">
        <v>0</v>
      </c>
      <c r="CQ114" s="562">
        <v>0</v>
      </c>
      <c r="CR114" s="562" t="s">
        <v>1718</v>
      </c>
      <c r="CS114" s="562">
        <v>0</v>
      </c>
      <c r="CT114" s="562">
        <v>0</v>
      </c>
      <c r="CU114" s="562">
        <v>0.75</v>
      </c>
      <c r="CV114" s="562">
        <v>1</v>
      </c>
      <c r="CW114" s="562">
        <v>1.75</v>
      </c>
      <c r="CX114" s="562">
        <v>2</v>
      </c>
      <c r="CY114" s="562">
        <v>1.5</v>
      </c>
      <c r="CZ114" s="560">
        <v>2181.666667</v>
      </c>
      <c r="DA114" s="560">
        <v>11.80555556</v>
      </c>
      <c r="DB114" s="560" t="s">
        <v>1719</v>
      </c>
      <c r="DC114" s="560">
        <v>50</v>
      </c>
      <c r="DD114" s="560">
        <v>4</v>
      </c>
      <c r="DE114" s="560" t="s">
        <v>1720</v>
      </c>
      <c r="DF114" s="560">
        <v>5</v>
      </c>
      <c r="DG114" s="560">
        <v>0</v>
      </c>
      <c r="DH114" s="560">
        <v>4.5</v>
      </c>
      <c r="DI114" s="560">
        <v>4.5</v>
      </c>
      <c r="DJ114" s="560">
        <v>0</v>
      </c>
      <c r="DK114" s="560">
        <v>0</v>
      </c>
      <c r="DL114" s="560">
        <v>0</v>
      </c>
      <c r="DM114" s="560">
        <v>0</v>
      </c>
      <c r="DN114" s="560">
        <v>0</v>
      </c>
      <c r="DO114" s="560">
        <v>0</v>
      </c>
    </row>
    <row r="115" spans="1:119">
      <c r="A115" s="560" t="s">
        <v>832</v>
      </c>
      <c r="B115" s="560" t="s">
        <v>1713</v>
      </c>
      <c r="C115" s="560" t="s">
        <v>764</v>
      </c>
      <c r="D115" s="560">
        <v>3</v>
      </c>
      <c r="E115" s="560">
        <v>439.51049399999999</v>
      </c>
      <c r="F115" s="560">
        <v>58.188456000000002</v>
      </c>
      <c r="G115" s="560">
        <v>4974.4274999999998</v>
      </c>
      <c r="H115" s="560">
        <v>139.9665</v>
      </c>
      <c r="I115" s="560">
        <v>0.968943</v>
      </c>
      <c r="J115" s="560">
        <v>0.25931399999999999</v>
      </c>
      <c r="K115" s="560">
        <v>0.27782699999999999</v>
      </c>
      <c r="L115" s="560">
        <v>0.375054</v>
      </c>
      <c r="M115" s="560">
        <v>9438.4897309999997</v>
      </c>
      <c r="N115" s="560">
        <v>9583.0847699999995</v>
      </c>
      <c r="O115" s="560">
        <v>2680.3216969999999</v>
      </c>
      <c r="P115" s="560">
        <v>43.31427</v>
      </c>
      <c r="Q115" s="560">
        <v>233.52958899999999</v>
      </c>
      <c r="R115" s="560">
        <v>1225.022091</v>
      </c>
      <c r="S115" s="560">
        <v>887.16152299999999</v>
      </c>
      <c r="T115" s="560">
        <v>1053.9825679999999</v>
      </c>
      <c r="U115" s="560">
        <v>254.22847300000001</v>
      </c>
      <c r="V115" s="560">
        <v>35.495122000000002</v>
      </c>
      <c r="W115" s="560">
        <v>14.074040999999999</v>
      </c>
      <c r="X115" s="560">
        <v>0</v>
      </c>
      <c r="Y115" s="560">
        <v>24.521165</v>
      </c>
      <c r="Z115" s="560">
        <v>128.63024799999999</v>
      </c>
      <c r="AA115" s="560">
        <v>36197.908409000003</v>
      </c>
      <c r="AB115" s="560">
        <v>36875.651982000003</v>
      </c>
      <c r="AC115" s="560">
        <v>19298.333388999999</v>
      </c>
      <c r="AD115" s="560">
        <v>12771.000325999999</v>
      </c>
      <c r="AE115" s="560">
        <v>650.43966399999999</v>
      </c>
      <c r="AF115" s="560">
        <v>12739.612761</v>
      </c>
      <c r="AG115" s="560">
        <v>13710.578315999999</v>
      </c>
      <c r="AH115" s="560">
        <v>3362.1677989999998</v>
      </c>
      <c r="AI115" s="560">
        <v>0</v>
      </c>
      <c r="AJ115" s="560">
        <v>534.733113</v>
      </c>
      <c r="AK115" s="560">
        <v>0</v>
      </c>
      <c r="AL115" s="560">
        <v>200.75</v>
      </c>
      <c r="AM115" s="560">
        <v>0</v>
      </c>
      <c r="AN115" s="560">
        <v>0</v>
      </c>
      <c r="AO115" s="560">
        <v>0</v>
      </c>
      <c r="AP115" s="560">
        <v>0</v>
      </c>
      <c r="AQ115" s="560" t="s">
        <v>832</v>
      </c>
      <c r="AR115" s="560" t="s">
        <v>1714</v>
      </c>
      <c r="AS115" s="560">
        <v>0</v>
      </c>
      <c r="AT115" s="560">
        <v>0</v>
      </c>
      <c r="AU115" s="560">
        <v>0</v>
      </c>
      <c r="AV115" s="560">
        <v>69</v>
      </c>
      <c r="AW115" s="560">
        <v>64</v>
      </c>
      <c r="AX115" s="560">
        <v>74</v>
      </c>
      <c r="AY115" s="560">
        <v>78</v>
      </c>
      <c r="AZ115" s="560">
        <v>1</v>
      </c>
      <c r="BA115" s="560">
        <v>2522</v>
      </c>
      <c r="BB115" s="560">
        <v>0</v>
      </c>
      <c r="BC115" s="560">
        <v>0.5</v>
      </c>
      <c r="BD115" s="560">
        <v>0</v>
      </c>
      <c r="BE115" s="560" t="s">
        <v>1798</v>
      </c>
      <c r="BF115" s="560">
        <v>2.5</v>
      </c>
      <c r="BG115" s="560">
        <v>17.399999999999999</v>
      </c>
      <c r="BH115" s="560">
        <v>1</v>
      </c>
      <c r="BI115" s="560">
        <v>2</v>
      </c>
      <c r="BJ115" s="560">
        <v>35</v>
      </c>
      <c r="BK115" s="560">
        <v>0</v>
      </c>
      <c r="BL115" s="560" t="s">
        <v>1747</v>
      </c>
      <c r="BM115" s="560">
        <v>3.0000000000000001E-3</v>
      </c>
      <c r="BN115" s="560">
        <v>15</v>
      </c>
      <c r="BO115" s="560">
        <v>6</v>
      </c>
      <c r="BP115" s="560" t="s">
        <v>1747</v>
      </c>
      <c r="BQ115" s="560">
        <v>5.0000000000000001E-3</v>
      </c>
      <c r="BR115" s="560">
        <v>40</v>
      </c>
      <c r="BS115" s="560">
        <v>6</v>
      </c>
      <c r="BT115" s="560">
        <v>2688</v>
      </c>
      <c r="BU115" s="560">
        <v>22848</v>
      </c>
      <c r="BV115" s="560">
        <v>0</v>
      </c>
      <c r="BW115" s="560">
        <v>30.609376350000002</v>
      </c>
      <c r="BX115" s="560">
        <v>1480</v>
      </c>
      <c r="BY115" s="560">
        <v>17.543859650000002</v>
      </c>
      <c r="BZ115" s="560">
        <v>1344</v>
      </c>
      <c r="CA115" s="560">
        <v>37.664196859999997</v>
      </c>
      <c r="CB115" s="560">
        <v>0.85</v>
      </c>
      <c r="CC115" s="560">
        <v>94</v>
      </c>
      <c r="CD115" s="560">
        <v>94</v>
      </c>
      <c r="CE115" s="560">
        <v>94</v>
      </c>
      <c r="CF115" s="560">
        <v>94</v>
      </c>
      <c r="CG115" s="560">
        <v>0.29299999999999998</v>
      </c>
      <c r="CH115" s="560">
        <v>0.3</v>
      </c>
      <c r="CI115" s="560">
        <v>0.54</v>
      </c>
      <c r="CJ115" s="560">
        <v>40</v>
      </c>
      <c r="CK115" s="560">
        <v>5</v>
      </c>
      <c r="CL115" s="560">
        <v>4</v>
      </c>
      <c r="CM115" s="562">
        <v>1344</v>
      </c>
      <c r="CN115" s="562">
        <v>148</v>
      </c>
      <c r="CO115" s="562">
        <v>30.609376350000002</v>
      </c>
      <c r="CP115" s="562">
        <v>0</v>
      </c>
      <c r="CQ115" s="562">
        <v>0</v>
      </c>
      <c r="CR115" s="562" t="s">
        <v>1718</v>
      </c>
      <c r="CS115" s="562">
        <v>0</v>
      </c>
      <c r="CT115" s="562">
        <v>0</v>
      </c>
      <c r="CU115" s="562">
        <v>0.75</v>
      </c>
      <c r="CV115" s="562">
        <v>0.5</v>
      </c>
      <c r="CW115" s="562">
        <v>17.856999999999999</v>
      </c>
      <c r="CX115" s="562">
        <v>6.5</v>
      </c>
      <c r="CY115" s="562">
        <v>17.856999999999999</v>
      </c>
      <c r="CZ115" s="560">
        <v>2665.6</v>
      </c>
      <c r="DA115" s="560">
        <v>17</v>
      </c>
      <c r="DB115" s="560" t="s">
        <v>1719</v>
      </c>
      <c r="DC115" s="560">
        <v>50</v>
      </c>
      <c r="DD115" s="560">
        <v>4</v>
      </c>
      <c r="DE115" s="560" t="s">
        <v>1720</v>
      </c>
      <c r="DF115" s="560">
        <v>5</v>
      </c>
      <c r="DG115" s="560">
        <v>0</v>
      </c>
      <c r="DH115" s="560">
        <v>4.5</v>
      </c>
      <c r="DI115" s="560">
        <v>4.5</v>
      </c>
      <c r="DJ115" s="560">
        <v>0</v>
      </c>
      <c r="DK115" s="560">
        <v>0</v>
      </c>
      <c r="DL115" s="560">
        <v>0</v>
      </c>
      <c r="DM115" s="560">
        <v>0</v>
      </c>
      <c r="DN115" s="560">
        <v>0</v>
      </c>
      <c r="DO115" s="560">
        <v>0</v>
      </c>
    </row>
    <row r="116" spans="1:119">
      <c r="A116" s="560" t="s">
        <v>833</v>
      </c>
      <c r="B116" s="560" t="s">
        <v>1713</v>
      </c>
      <c r="C116" s="560" t="s">
        <v>767</v>
      </c>
      <c r="D116" s="560">
        <v>3</v>
      </c>
      <c r="E116" s="560">
        <v>439.51049399999999</v>
      </c>
      <c r="F116" s="560">
        <v>58.188456000000002</v>
      </c>
      <c r="G116" s="560">
        <v>4974.4274999999998</v>
      </c>
      <c r="H116" s="560">
        <v>391.60199999999998</v>
      </c>
      <c r="I116" s="560">
        <v>0.968943</v>
      </c>
      <c r="J116" s="560">
        <v>0.25931399999999999</v>
      </c>
      <c r="K116" s="560">
        <v>0.27782699999999999</v>
      </c>
      <c r="L116" s="560">
        <v>0.375054</v>
      </c>
      <c r="M116" s="560">
        <v>9438.4897309999997</v>
      </c>
      <c r="N116" s="560">
        <v>9583.0847699999995</v>
      </c>
      <c r="O116" s="560">
        <v>2680.3216969999999</v>
      </c>
      <c r="P116" s="560">
        <v>43.31427</v>
      </c>
      <c r="Q116" s="560">
        <v>233.52958899999999</v>
      </c>
      <c r="R116" s="560">
        <v>1225.022091</v>
      </c>
      <c r="S116" s="560">
        <v>1789.150866</v>
      </c>
      <c r="T116" s="560">
        <v>1977.6203129999999</v>
      </c>
      <c r="U116" s="560">
        <v>475.210576</v>
      </c>
      <c r="V116" s="560">
        <v>35.169778999999998</v>
      </c>
      <c r="W116" s="560">
        <v>7.4627800000000004</v>
      </c>
      <c r="X116" s="560">
        <v>0</v>
      </c>
      <c r="Y116" s="560">
        <v>46.750093</v>
      </c>
      <c r="Z116" s="560">
        <v>245.23614599999999</v>
      </c>
      <c r="AA116" s="560">
        <v>36197.908409000003</v>
      </c>
      <c r="AB116" s="560">
        <v>36875.651982000003</v>
      </c>
      <c r="AC116" s="560">
        <v>19298.333388999999</v>
      </c>
      <c r="AD116" s="560">
        <v>12771.000325999999</v>
      </c>
      <c r="AE116" s="560">
        <v>650.43966399999999</v>
      </c>
      <c r="AF116" s="560">
        <v>17251.739173000002</v>
      </c>
      <c r="AG116" s="560">
        <v>18665.266070000001</v>
      </c>
      <c r="AH116" s="560">
        <v>4518.8453980000004</v>
      </c>
      <c r="AI116" s="560">
        <v>0</v>
      </c>
      <c r="AJ116" s="560">
        <v>534.733113</v>
      </c>
      <c r="AK116" s="560">
        <v>0</v>
      </c>
      <c r="AL116" s="560">
        <v>200.75</v>
      </c>
      <c r="AM116" s="560">
        <v>0</v>
      </c>
      <c r="AN116" s="560">
        <v>0</v>
      </c>
      <c r="AO116" s="560">
        <v>0</v>
      </c>
      <c r="AP116" s="560">
        <v>0</v>
      </c>
      <c r="AQ116" s="560" t="s">
        <v>833</v>
      </c>
      <c r="AR116" s="560" t="s">
        <v>1722</v>
      </c>
      <c r="AS116" s="560">
        <v>0</v>
      </c>
      <c r="AT116" s="560">
        <v>0</v>
      </c>
      <c r="AU116" s="560">
        <v>0</v>
      </c>
      <c r="AV116" s="560">
        <v>69</v>
      </c>
      <c r="AW116" s="560">
        <v>64</v>
      </c>
      <c r="AX116" s="560">
        <v>74</v>
      </c>
      <c r="AY116" s="560">
        <v>78</v>
      </c>
      <c r="AZ116" s="560">
        <v>1</v>
      </c>
      <c r="BA116" s="560">
        <v>2522</v>
      </c>
      <c r="BB116" s="560">
        <v>0</v>
      </c>
      <c r="BC116" s="560">
        <v>0.5</v>
      </c>
      <c r="BD116" s="560">
        <v>0</v>
      </c>
      <c r="BE116" s="560" t="s">
        <v>1798</v>
      </c>
      <c r="BF116" s="560">
        <v>2.5</v>
      </c>
      <c r="BG116" s="560">
        <v>17.399999999999999</v>
      </c>
      <c r="BH116" s="560">
        <v>1</v>
      </c>
      <c r="BI116" s="560">
        <v>2</v>
      </c>
      <c r="BJ116" s="560">
        <v>35</v>
      </c>
      <c r="BK116" s="560">
        <v>0</v>
      </c>
      <c r="BL116" s="560" t="s">
        <v>1747</v>
      </c>
      <c r="BM116" s="560">
        <v>3.0000000000000001E-3</v>
      </c>
      <c r="BN116" s="560">
        <v>15</v>
      </c>
      <c r="BO116" s="560">
        <v>6</v>
      </c>
      <c r="BP116" s="560" t="s">
        <v>1747</v>
      </c>
      <c r="BQ116" s="560">
        <v>5.0000000000000001E-3</v>
      </c>
      <c r="BR116" s="560">
        <v>40</v>
      </c>
      <c r="BS116" s="560">
        <v>6</v>
      </c>
      <c r="BT116" s="560">
        <v>2688</v>
      </c>
      <c r="BU116" s="560">
        <v>22848</v>
      </c>
      <c r="BV116" s="560">
        <v>0</v>
      </c>
      <c r="BW116" s="560">
        <v>30.609376350000002</v>
      </c>
      <c r="BX116" s="560">
        <v>1480</v>
      </c>
      <c r="BY116" s="560">
        <v>17.543859650000002</v>
      </c>
      <c r="BZ116" s="560">
        <v>1344</v>
      </c>
      <c r="CA116" s="560">
        <v>37.664196859999997</v>
      </c>
      <c r="CB116" s="560">
        <v>0.85</v>
      </c>
      <c r="CC116" s="560">
        <v>94</v>
      </c>
      <c r="CD116" s="560">
        <v>94</v>
      </c>
      <c r="CE116" s="560">
        <v>94</v>
      </c>
      <c r="CF116" s="560">
        <v>94</v>
      </c>
      <c r="CG116" s="560">
        <v>0.29299999999999998</v>
      </c>
      <c r="CH116" s="560">
        <v>0.3</v>
      </c>
      <c r="CI116" s="560">
        <v>0.54</v>
      </c>
      <c r="CJ116" s="560">
        <v>40</v>
      </c>
      <c r="CK116" s="560">
        <v>5</v>
      </c>
      <c r="CL116" s="560">
        <v>4</v>
      </c>
      <c r="CM116" s="562">
        <v>1344</v>
      </c>
      <c r="CN116" s="562">
        <v>148</v>
      </c>
      <c r="CO116" s="562">
        <v>30.609376350000002</v>
      </c>
      <c r="CP116" s="562">
        <v>0</v>
      </c>
      <c r="CQ116" s="562">
        <v>0</v>
      </c>
      <c r="CR116" s="562" t="s">
        <v>1718</v>
      </c>
      <c r="CS116" s="562">
        <v>0</v>
      </c>
      <c r="CT116" s="562">
        <v>0</v>
      </c>
      <c r="CU116" s="562">
        <v>0.75</v>
      </c>
      <c r="CV116" s="562">
        <v>0.5</v>
      </c>
      <c r="CW116" s="562">
        <v>17.856999999999999</v>
      </c>
      <c r="CX116" s="562">
        <v>6.5</v>
      </c>
      <c r="CY116" s="562">
        <v>17.856999999999999</v>
      </c>
      <c r="CZ116" s="560">
        <v>2665.6</v>
      </c>
      <c r="DA116" s="560">
        <v>17</v>
      </c>
      <c r="DB116" s="560" t="s">
        <v>1719</v>
      </c>
      <c r="DC116" s="560">
        <v>50</v>
      </c>
      <c r="DD116" s="560">
        <v>4</v>
      </c>
      <c r="DE116" s="560" t="s">
        <v>1720</v>
      </c>
      <c r="DF116" s="560">
        <v>5</v>
      </c>
      <c r="DG116" s="560">
        <v>0</v>
      </c>
      <c r="DH116" s="560">
        <v>4.5</v>
      </c>
      <c r="DI116" s="560">
        <v>4.5</v>
      </c>
      <c r="DJ116" s="560">
        <v>0</v>
      </c>
      <c r="DK116" s="560">
        <v>0</v>
      </c>
      <c r="DL116" s="560">
        <v>0</v>
      </c>
      <c r="DM116" s="560">
        <v>0</v>
      </c>
      <c r="DN116" s="560">
        <v>0</v>
      </c>
      <c r="DO116" s="560">
        <v>0</v>
      </c>
    </row>
    <row r="117" spans="1:119">
      <c r="A117" s="560" t="s">
        <v>834</v>
      </c>
      <c r="B117" s="560" t="s">
        <v>1713</v>
      </c>
      <c r="C117" s="560" t="s">
        <v>770</v>
      </c>
      <c r="D117" s="560">
        <v>3</v>
      </c>
      <c r="E117" s="560">
        <v>439.51049399999999</v>
      </c>
      <c r="F117" s="560">
        <v>58.188456000000002</v>
      </c>
      <c r="G117" s="560">
        <v>4974.4274999999998</v>
      </c>
      <c r="H117" s="560">
        <v>755.94</v>
      </c>
      <c r="I117" s="560">
        <v>0.968943</v>
      </c>
      <c r="J117" s="560">
        <v>0.25931399999999999</v>
      </c>
      <c r="K117" s="560">
        <v>0.27782699999999999</v>
      </c>
      <c r="L117" s="560">
        <v>0.375054</v>
      </c>
      <c r="M117" s="560">
        <v>9438.4897309999997</v>
      </c>
      <c r="N117" s="560">
        <v>9583.0847699999995</v>
      </c>
      <c r="O117" s="560">
        <v>2680.3216969999999</v>
      </c>
      <c r="P117" s="560">
        <v>43.31427</v>
      </c>
      <c r="Q117" s="560">
        <v>233.52958899999999</v>
      </c>
      <c r="R117" s="560">
        <v>1225.022091</v>
      </c>
      <c r="S117" s="560">
        <v>3032.3737809999998</v>
      </c>
      <c r="T117" s="560">
        <v>3175.407389</v>
      </c>
      <c r="U117" s="560">
        <v>765.58667300000002</v>
      </c>
      <c r="V117" s="560">
        <v>17.372274000000001</v>
      </c>
      <c r="W117" s="560">
        <v>2.269145</v>
      </c>
      <c r="X117" s="560">
        <v>0</v>
      </c>
      <c r="Y117" s="560">
        <v>76.391006000000004</v>
      </c>
      <c r="Z117" s="560">
        <v>400.72296499999999</v>
      </c>
      <c r="AA117" s="560">
        <v>36197.908409000003</v>
      </c>
      <c r="AB117" s="560">
        <v>36875.651982000003</v>
      </c>
      <c r="AC117" s="560">
        <v>19298.333388999999</v>
      </c>
      <c r="AD117" s="560">
        <v>12771.000325999999</v>
      </c>
      <c r="AE117" s="560">
        <v>650.43966399999999</v>
      </c>
      <c r="AF117" s="560">
        <v>19227.492760000001</v>
      </c>
      <c r="AG117" s="560">
        <v>19868.275678000002</v>
      </c>
      <c r="AH117" s="560">
        <v>5034.0605029999997</v>
      </c>
      <c r="AI117" s="560">
        <v>0</v>
      </c>
      <c r="AJ117" s="560">
        <v>534.733113</v>
      </c>
      <c r="AK117" s="560">
        <v>0</v>
      </c>
      <c r="AL117" s="560">
        <v>200.75</v>
      </c>
      <c r="AM117" s="560">
        <v>0</v>
      </c>
      <c r="AN117" s="560">
        <v>0</v>
      </c>
      <c r="AO117" s="560">
        <v>0</v>
      </c>
      <c r="AP117" s="560">
        <v>0</v>
      </c>
      <c r="AQ117" s="560" t="s">
        <v>834</v>
      </c>
      <c r="AR117" s="560" t="s">
        <v>1724</v>
      </c>
      <c r="AS117" s="560">
        <v>0</v>
      </c>
      <c r="AT117" s="560">
        <v>0</v>
      </c>
      <c r="AU117" s="560">
        <v>0</v>
      </c>
      <c r="AV117" s="560">
        <v>69</v>
      </c>
      <c r="AW117" s="560">
        <v>64</v>
      </c>
      <c r="AX117" s="560">
        <v>74</v>
      </c>
      <c r="AY117" s="560">
        <v>78</v>
      </c>
      <c r="AZ117" s="560">
        <v>1</v>
      </c>
      <c r="BA117" s="560">
        <v>2522</v>
      </c>
      <c r="BB117" s="560">
        <v>0</v>
      </c>
      <c r="BC117" s="560">
        <v>0.5</v>
      </c>
      <c r="BD117" s="560">
        <v>0</v>
      </c>
      <c r="BE117" s="560" t="s">
        <v>1798</v>
      </c>
      <c r="BF117" s="560">
        <v>2.5</v>
      </c>
      <c r="BG117" s="560">
        <v>17.399999999999999</v>
      </c>
      <c r="BH117" s="560">
        <v>1</v>
      </c>
      <c r="BI117" s="560">
        <v>2</v>
      </c>
      <c r="BJ117" s="560">
        <v>35</v>
      </c>
      <c r="BK117" s="560">
        <v>0</v>
      </c>
      <c r="BL117" s="560" t="s">
        <v>1747</v>
      </c>
      <c r="BM117" s="560">
        <v>3.0000000000000001E-3</v>
      </c>
      <c r="BN117" s="560">
        <v>15</v>
      </c>
      <c r="BO117" s="560">
        <v>6</v>
      </c>
      <c r="BP117" s="560" t="s">
        <v>1747</v>
      </c>
      <c r="BQ117" s="560">
        <v>5.0000000000000001E-3</v>
      </c>
      <c r="BR117" s="560">
        <v>40</v>
      </c>
      <c r="BS117" s="560">
        <v>6</v>
      </c>
      <c r="BT117" s="560">
        <v>2688</v>
      </c>
      <c r="BU117" s="560">
        <v>22848</v>
      </c>
      <c r="BV117" s="560">
        <v>0</v>
      </c>
      <c r="BW117" s="560">
        <v>30.609376350000002</v>
      </c>
      <c r="BX117" s="560">
        <v>1480</v>
      </c>
      <c r="BY117" s="560">
        <v>17.543859650000002</v>
      </c>
      <c r="BZ117" s="560">
        <v>1344</v>
      </c>
      <c r="CA117" s="560">
        <v>37.664196859999997</v>
      </c>
      <c r="CB117" s="560">
        <v>0.85</v>
      </c>
      <c r="CC117" s="560">
        <v>94</v>
      </c>
      <c r="CD117" s="560">
        <v>94</v>
      </c>
      <c r="CE117" s="560">
        <v>94</v>
      </c>
      <c r="CF117" s="560">
        <v>94</v>
      </c>
      <c r="CG117" s="560">
        <v>0.29299999999999998</v>
      </c>
      <c r="CH117" s="560">
        <v>0.3</v>
      </c>
      <c r="CI117" s="560">
        <v>0.54</v>
      </c>
      <c r="CJ117" s="560">
        <v>40</v>
      </c>
      <c r="CK117" s="560">
        <v>5</v>
      </c>
      <c r="CL117" s="560">
        <v>4</v>
      </c>
      <c r="CM117" s="562">
        <v>1344</v>
      </c>
      <c r="CN117" s="562">
        <v>148</v>
      </c>
      <c r="CO117" s="562">
        <v>30.609376350000002</v>
      </c>
      <c r="CP117" s="562">
        <v>0</v>
      </c>
      <c r="CQ117" s="562">
        <v>0</v>
      </c>
      <c r="CR117" s="562" t="s">
        <v>1718</v>
      </c>
      <c r="CS117" s="562">
        <v>0</v>
      </c>
      <c r="CT117" s="562">
        <v>0</v>
      </c>
      <c r="CU117" s="562">
        <v>0.75</v>
      </c>
      <c r="CV117" s="562">
        <v>0.5</v>
      </c>
      <c r="CW117" s="562">
        <v>17.856999999999999</v>
      </c>
      <c r="CX117" s="562">
        <v>6.5</v>
      </c>
      <c r="CY117" s="562">
        <v>17.856999999999999</v>
      </c>
      <c r="CZ117" s="560">
        <v>2665.6</v>
      </c>
      <c r="DA117" s="560">
        <v>17</v>
      </c>
      <c r="DB117" s="560" t="s">
        <v>1719</v>
      </c>
      <c r="DC117" s="560">
        <v>50</v>
      </c>
      <c r="DD117" s="560">
        <v>4</v>
      </c>
      <c r="DE117" s="560" t="s">
        <v>1720</v>
      </c>
      <c r="DF117" s="560">
        <v>5</v>
      </c>
      <c r="DG117" s="560">
        <v>0</v>
      </c>
      <c r="DH117" s="560">
        <v>4.5</v>
      </c>
      <c r="DI117" s="560">
        <v>4.5</v>
      </c>
      <c r="DJ117" s="560">
        <v>0</v>
      </c>
      <c r="DK117" s="560">
        <v>0</v>
      </c>
      <c r="DL117" s="560">
        <v>0</v>
      </c>
      <c r="DM117" s="560">
        <v>0</v>
      </c>
      <c r="DN117" s="560">
        <v>0</v>
      </c>
      <c r="DO117" s="560">
        <v>0</v>
      </c>
    </row>
    <row r="118" spans="1:119">
      <c r="A118" s="560" t="s">
        <v>835</v>
      </c>
      <c r="B118" s="560" t="s">
        <v>1713</v>
      </c>
      <c r="C118" s="560" t="s">
        <v>764</v>
      </c>
      <c r="D118" s="560">
        <v>3</v>
      </c>
      <c r="E118" s="560">
        <v>473.93993399999999</v>
      </c>
      <c r="F118" s="560">
        <v>58.545099</v>
      </c>
      <c r="G118" s="560">
        <v>4974.4274999999998</v>
      </c>
      <c r="H118" s="560">
        <v>139.9665</v>
      </c>
      <c r="I118" s="560">
        <v>0.968943</v>
      </c>
      <c r="J118" s="560">
        <v>0.25892799999999999</v>
      </c>
      <c r="K118" s="560">
        <v>0.275862</v>
      </c>
      <c r="L118" s="560">
        <v>0.37550800000000001</v>
      </c>
      <c r="M118" s="560">
        <v>10537.305311</v>
      </c>
      <c r="N118" s="560">
        <v>10722.21819</v>
      </c>
      <c r="O118" s="560">
        <v>2992.9594510000002</v>
      </c>
      <c r="P118" s="560">
        <v>60.718299999999999</v>
      </c>
      <c r="Q118" s="560">
        <v>260.45471500000002</v>
      </c>
      <c r="R118" s="560">
        <v>1366.262755</v>
      </c>
      <c r="S118" s="560">
        <v>891.15635999999995</v>
      </c>
      <c r="T118" s="560">
        <v>1055.33043</v>
      </c>
      <c r="U118" s="560">
        <v>254.07849400000001</v>
      </c>
      <c r="V118" s="560">
        <v>33.983457000000001</v>
      </c>
      <c r="W118" s="560">
        <v>13.522036999999999</v>
      </c>
      <c r="X118" s="560">
        <v>0</v>
      </c>
      <c r="Y118" s="560">
        <v>24.570530999999999</v>
      </c>
      <c r="Z118" s="560">
        <v>128.88920400000001</v>
      </c>
      <c r="AA118" s="560">
        <v>37733.215472999997</v>
      </c>
      <c r="AB118" s="560">
        <v>38512.483977999997</v>
      </c>
      <c r="AC118" s="560">
        <v>20897.806028999999</v>
      </c>
      <c r="AD118" s="560">
        <v>14372.157655999999</v>
      </c>
      <c r="AE118" s="560">
        <v>650.43966399999999</v>
      </c>
      <c r="AF118" s="560">
        <v>13390.046834999999</v>
      </c>
      <c r="AG118" s="560">
        <v>14409.687624</v>
      </c>
      <c r="AH118" s="560">
        <v>3524.9305789999999</v>
      </c>
      <c r="AI118" s="560">
        <v>0</v>
      </c>
      <c r="AJ118" s="560">
        <v>588.94350199999997</v>
      </c>
      <c r="AK118" s="560">
        <v>0</v>
      </c>
      <c r="AL118" s="560">
        <v>200.75</v>
      </c>
      <c r="AM118" s="560">
        <v>0</v>
      </c>
      <c r="AN118" s="560">
        <v>0</v>
      </c>
      <c r="AO118" s="560">
        <v>0</v>
      </c>
      <c r="AP118" s="560">
        <v>0</v>
      </c>
      <c r="AQ118" s="560" t="s">
        <v>835</v>
      </c>
      <c r="AR118" s="560" t="s">
        <v>1714</v>
      </c>
      <c r="AS118" s="560">
        <v>0</v>
      </c>
      <c r="AT118" s="560">
        <v>0</v>
      </c>
      <c r="AU118" s="560">
        <v>0</v>
      </c>
      <c r="AV118" s="560">
        <v>69</v>
      </c>
      <c r="AW118" s="560">
        <v>64</v>
      </c>
      <c r="AX118" s="560">
        <v>74</v>
      </c>
      <c r="AY118" s="560">
        <v>78</v>
      </c>
      <c r="AZ118" s="560">
        <v>1</v>
      </c>
      <c r="BA118" s="560">
        <v>2522</v>
      </c>
      <c r="BB118" s="560">
        <v>0</v>
      </c>
      <c r="BC118" s="560">
        <v>0.5</v>
      </c>
      <c r="BD118" s="560">
        <v>0</v>
      </c>
      <c r="BE118" s="560" t="s">
        <v>1798</v>
      </c>
      <c r="BF118" s="560">
        <v>2.5</v>
      </c>
      <c r="BG118" s="560">
        <v>17.399999999999999</v>
      </c>
      <c r="BH118" s="560">
        <v>1</v>
      </c>
      <c r="BI118" s="560">
        <v>2</v>
      </c>
      <c r="BJ118" s="560">
        <v>35</v>
      </c>
      <c r="BK118" s="560">
        <v>0</v>
      </c>
      <c r="BL118" s="560" t="s">
        <v>1747</v>
      </c>
      <c r="BM118" s="560">
        <v>3.0000000000000001E-3</v>
      </c>
      <c r="BN118" s="560">
        <v>15</v>
      </c>
      <c r="BO118" s="560">
        <v>4.5</v>
      </c>
      <c r="BP118" s="560" t="s">
        <v>1747</v>
      </c>
      <c r="BQ118" s="560">
        <v>5.0000000000000001E-3</v>
      </c>
      <c r="BR118" s="560">
        <v>40</v>
      </c>
      <c r="BS118" s="560">
        <v>4.9000000000000004</v>
      </c>
      <c r="BT118" s="560">
        <v>2688</v>
      </c>
      <c r="BU118" s="560">
        <v>22848</v>
      </c>
      <c r="BV118" s="560">
        <v>0</v>
      </c>
      <c r="BW118" s="560">
        <v>26.8</v>
      </c>
      <c r="BX118" s="560">
        <v>1480</v>
      </c>
      <c r="BY118" s="560">
        <v>11.4</v>
      </c>
      <c r="BZ118" s="560">
        <v>1344</v>
      </c>
      <c r="CA118" s="560">
        <v>35</v>
      </c>
      <c r="CB118" s="560">
        <v>0.85</v>
      </c>
      <c r="CC118" s="560">
        <v>94</v>
      </c>
      <c r="CD118" s="560">
        <v>94</v>
      </c>
      <c r="CE118" s="560">
        <v>94</v>
      </c>
      <c r="CF118" s="560">
        <v>94</v>
      </c>
      <c r="CG118" s="560">
        <v>0.29299999999999998</v>
      </c>
      <c r="CH118" s="560">
        <v>0.3</v>
      </c>
      <c r="CI118" s="560">
        <v>0.54</v>
      </c>
      <c r="CJ118" s="560">
        <v>40</v>
      </c>
      <c r="CK118" s="560">
        <v>5</v>
      </c>
      <c r="CL118" s="560">
        <v>4</v>
      </c>
      <c r="CM118" s="562">
        <v>1344</v>
      </c>
      <c r="CN118" s="562">
        <v>148</v>
      </c>
      <c r="CO118" s="562">
        <v>26.8</v>
      </c>
      <c r="CP118" s="562">
        <v>0</v>
      </c>
      <c r="CQ118" s="562">
        <v>0</v>
      </c>
      <c r="CR118" s="562" t="s">
        <v>1718</v>
      </c>
      <c r="CS118" s="562">
        <v>0</v>
      </c>
      <c r="CT118" s="562">
        <v>0</v>
      </c>
      <c r="CU118" s="562">
        <v>0.75</v>
      </c>
      <c r="CV118" s="562">
        <v>0.5</v>
      </c>
      <c r="CW118" s="562">
        <v>17.856999999999999</v>
      </c>
      <c r="CX118" s="562">
        <v>6.5</v>
      </c>
      <c r="CY118" s="562">
        <v>17.856999999999999</v>
      </c>
      <c r="CZ118" s="560">
        <v>2665.6</v>
      </c>
      <c r="DA118" s="560">
        <v>17</v>
      </c>
      <c r="DB118" s="560" t="s">
        <v>1719</v>
      </c>
      <c r="DC118" s="560">
        <v>50</v>
      </c>
      <c r="DD118" s="560">
        <v>4</v>
      </c>
      <c r="DE118" s="560" t="s">
        <v>1720</v>
      </c>
      <c r="DF118" s="560">
        <v>5</v>
      </c>
      <c r="DG118" s="560">
        <v>0</v>
      </c>
      <c r="DH118" s="560">
        <v>4.5</v>
      </c>
      <c r="DI118" s="560">
        <v>4.5</v>
      </c>
      <c r="DJ118" s="560">
        <v>0</v>
      </c>
      <c r="DK118" s="560">
        <v>0</v>
      </c>
      <c r="DL118" s="560">
        <v>0</v>
      </c>
      <c r="DM118" s="560">
        <v>0</v>
      </c>
      <c r="DN118" s="560">
        <v>0</v>
      </c>
      <c r="DO118" s="560">
        <v>0</v>
      </c>
    </row>
    <row r="119" spans="1:119">
      <c r="A119" s="560" t="s">
        <v>836</v>
      </c>
      <c r="B119" s="560" t="s">
        <v>1713</v>
      </c>
      <c r="C119" s="560" t="s">
        <v>767</v>
      </c>
      <c r="D119" s="560">
        <v>3</v>
      </c>
      <c r="E119" s="560">
        <v>473.93993399999999</v>
      </c>
      <c r="F119" s="560">
        <v>58.545099</v>
      </c>
      <c r="G119" s="560">
        <v>4974.4274999999998</v>
      </c>
      <c r="H119" s="560">
        <v>391.60199999999998</v>
      </c>
      <c r="I119" s="560">
        <v>0.968943</v>
      </c>
      <c r="J119" s="560">
        <v>0.25892799999999999</v>
      </c>
      <c r="K119" s="560">
        <v>0.275862</v>
      </c>
      <c r="L119" s="560">
        <v>0.37550800000000001</v>
      </c>
      <c r="M119" s="560">
        <v>10537.305311</v>
      </c>
      <c r="N119" s="560">
        <v>10722.21819</v>
      </c>
      <c r="O119" s="560">
        <v>2992.9594510000002</v>
      </c>
      <c r="P119" s="560">
        <v>60.718299999999999</v>
      </c>
      <c r="Q119" s="560">
        <v>260.45471500000002</v>
      </c>
      <c r="R119" s="560">
        <v>1366.262755</v>
      </c>
      <c r="S119" s="560">
        <v>1835.0417930000001</v>
      </c>
      <c r="T119" s="560">
        <v>2026.474557</v>
      </c>
      <c r="U119" s="560">
        <v>485.69930900000003</v>
      </c>
      <c r="V119" s="560">
        <v>33.868701999999999</v>
      </c>
      <c r="W119" s="560">
        <v>7.0846090000000004</v>
      </c>
      <c r="X119" s="560">
        <v>0</v>
      </c>
      <c r="Y119" s="560">
        <v>47.924689000000001</v>
      </c>
      <c r="Z119" s="560">
        <v>251.39770300000001</v>
      </c>
      <c r="AA119" s="560">
        <v>37733.215472999997</v>
      </c>
      <c r="AB119" s="560">
        <v>38512.483977999997</v>
      </c>
      <c r="AC119" s="560">
        <v>20897.806028999999</v>
      </c>
      <c r="AD119" s="560">
        <v>14372.157655999999</v>
      </c>
      <c r="AE119" s="560">
        <v>650.43966399999999</v>
      </c>
      <c r="AF119" s="560">
        <v>18069.648939999999</v>
      </c>
      <c r="AG119" s="560">
        <v>19578.685164999999</v>
      </c>
      <c r="AH119" s="560">
        <v>4728.1443760000002</v>
      </c>
      <c r="AI119" s="560">
        <v>0</v>
      </c>
      <c r="AJ119" s="560">
        <v>588.94350199999997</v>
      </c>
      <c r="AK119" s="560">
        <v>0</v>
      </c>
      <c r="AL119" s="560">
        <v>200.75</v>
      </c>
      <c r="AM119" s="560">
        <v>0</v>
      </c>
      <c r="AN119" s="560">
        <v>0</v>
      </c>
      <c r="AO119" s="560">
        <v>0</v>
      </c>
      <c r="AP119" s="560">
        <v>0</v>
      </c>
      <c r="AQ119" s="560" t="s">
        <v>836</v>
      </c>
      <c r="AR119" s="560" t="s">
        <v>1722</v>
      </c>
      <c r="AS119" s="560">
        <v>0</v>
      </c>
      <c r="AT119" s="560">
        <v>0</v>
      </c>
      <c r="AU119" s="560">
        <v>0</v>
      </c>
      <c r="AV119" s="560">
        <v>69</v>
      </c>
      <c r="AW119" s="560">
        <v>64</v>
      </c>
      <c r="AX119" s="560">
        <v>74</v>
      </c>
      <c r="AY119" s="560">
        <v>78</v>
      </c>
      <c r="AZ119" s="560">
        <v>1</v>
      </c>
      <c r="BA119" s="560">
        <v>2522</v>
      </c>
      <c r="BB119" s="560">
        <v>0</v>
      </c>
      <c r="BC119" s="560">
        <v>0.5</v>
      </c>
      <c r="BD119" s="560">
        <v>0</v>
      </c>
      <c r="BE119" s="560" t="s">
        <v>1798</v>
      </c>
      <c r="BF119" s="560">
        <v>2.5</v>
      </c>
      <c r="BG119" s="560">
        <v>17.399999999999999</v>
      </c>
      <c r="BH119" s="560">
        <v>1</v>
      </c>
      <c r="BI119" s="560">
        <v>2</v>
      </c>
      <c r="BJ119" s="560">
        <v>35</v>
      </c>
      <c r="BK119" s="560">
        <v>0</v>
      </c>
      <c r="BL119" s="560" t="s">
        <v>1747</v>
      </c>
      <c r="BM119" s="560">
        <v>3.0000000000000001E-3</v>
      </c>
      <c r="BN119" s="560">
        <v>15</v>
      </c>
      <c r="BO119" s="560">
        <v>4.5</v>
      </c>
      <c r="BP119" s="560" t="s">
        <v>1747</v>
      </c>
      <c r="BQ119" s="560">
        <v>5.0000000000000001E-3</v>
      </c>
      <c r="BR119" s="560">
        <v>40</v>
      </c>
      <c r="BS119" s="560">
        <v>4.9000000000000004</v>
      </c>
      <c r="BT119" s="560">
        <v>2688</v>
      </c>
      <c r="BU119" s="560">
        <v>22848</v>
      </c>
      <c r="BV119" s="560">
        <v>0</v>
      </c>
      <c r="BW119" s="560">
        <v>26.8</v>
      </c>
      <c r="BX119" s="560">
        <v>1480</v>
      </c>
      <c r="BY119" s="560">
        <v>11.4</v>
      </c>
      <c r="BZ119" s="560">
        <v>1344</v>
      </c>
      <c r="CA119" s="560">
        <v>35</v>
      </c>
      <c r="CB119" s="560">
        <v>0.85</v>
      </c>
      <c r="CC119" s="560">
        <v>94</v>
      </c>
      <c r="CD119" s="560">
        <v>94</v>
      </c>
      <c r="CE119" s="560">
        <v>94</v>
      </c>
      <c r="CF119" s="560">
        <v>94</v>
      </c>
      <c r="CG119" s="560">
        <v>0.29299999999999998</v>
      </c>
      <c r="CH119" s="560">
        <v>0.3</v>
      </c>
      <c r="CI119" s="560">
        <v>0.54</v>
      </c>
      <c r="CJ119" s="560">
        <v>40</v>
      </c>
      <c r="CK119" s="560">
        <v>5</v>
      </c>
      <c r="CL119" s="560">
        <v>4</v>
      </c>
      <c r="CM119" s="562">
        <v>1344</v>
      </c>
      <c r="CN119" s="562">
        <v>148</v>
      </c>
      <c r="CO119" s="562">
        <v>26.8</v>
      </c>
      <c r="CP119" s="562">
        <v>0</v>
      </c>
      <c r="CQ119" s="562">
        <v>0</v>
      </c>
      <c r="CR119" s="562" t="s">
        <v>1718</v>
      </c>
      <c r="CS119" s="562">
        <v>0</v>
      </c>
      <c r="CT119" s="562">
        <v>0</v>
      </c>
      <c r="CU119" s="562">
        <v>0.75</v>
      </c>
      <c r="CV119" s="562">
        <v>0.5</v>
      </c>
      <c r="CW119" s="562">
        <v>17.856999999999999</v>
      </c>
      <c r="CX119" s="562">
        <v>6.5</v>
      </c>
      <c r="CY119" s="562">
        <v>17.856999999999999</v>
      </c>
      <c r="CZ119" s="560">
        <v>2665.6</v>
      </c>
      <c r="DA119" s="560">
        <v>17</v>
      </c>
      <c r="DB119" s="560" t="s">
        <v>1719</v>
      </c>
      <c r="DC119" s="560">
        <v>50</v>
      </c>
      <c r="DD119" s="560">
        <v>4</v>
      </c>
      <c r="DE119" s="560" t="s">
        <v>1720</v>
      </c>
      <c r="DF119" s="560">
        <v>5</v>
      </c>
      <c r="DG119" s="560">
        <v>0</v>
      </c>
      <c r="DH119" s="560">
        <v>4.5</v>
      </c>
      <c r="DI119" s="560">
        <v>4.5</v>
      </c>
      <c r="DJ119" s="560">
        <v>0</v>
      </c>
      <c r="DK119" s="560">
        <v>0</v>
      </c>
      <c r="DL119" s="560">
        <v>0</v>
      </c>
      <c r="DM119" s="560">
        <v>0</v>
      </c>
      <c r="DN119" s="560">
        <v>0</v>
      </c>
      <c r="DO119" s="560">
        <v>0</v>
      </c>
    </row>
    <row r="120" spans="1:119">
      <c r="A120" s="560" t="s">
        <v>837</v>
      </c>
      <c r="B120" s="560" t="s">
        <v>1713</v>
      </c>
      <c r="C120" s="560" t="s">
        <v>770</v>
      </c>
      <c r="D120" s="560">
        <v>3</v>
      </c>
      <c r="E120" s="560">
        <v>473.93993399999999</v>
      </c>
      <c r="F120" s="560">
        <v>58.545099</v>
      </c>
      <c r="G120" s="560">
        <v>4974.4274999999998</v>
      </c>
      <c r="H120" s="560">
        <v>755.94</v>
      </c>
      <c r="I120" s="560">
        <v>0.968943</v>
      </c>
      <c r="J120" s="560">
        <v>0.25892799999999999</v>
      </c>
      <c r="K120" s="560">
        <v>0.275862</v>
      </c>
      <c r="L120" s="560">
        <v>0.37550800000000001</v>
      </c>
      <c r="M120" s="560">
        <v>10537.305311</v>
      </c>
      <c r="N120" s="560">
        <v>10722.21819</v>
      </c>
      <c r="O120" s="560">
        <v>2992.9594510000002</v>
      </c>
      <c r="P120" s="560">
        <v>60.718299999999999</v>
      </c>
      <c r="Q120" s="560">
        <v>260.45471500000002</v>
      </c>
      <c r="R120" s="560">
        <v>1366.262755</v>
      </c>
      <c r="S120" s="560">
        <v>3130.308556</v>
      </c>
      <c r="T120" s="560">
        <v>3285.7982430000002</v>
      </c>
      <c r="U120" s="560">
        <v>789.35498199999995</v>
      </c>
      <c r="V120" s="560">
        <v>16.652425000000001</v>
      </c>
      <c r="W120" s="560">
        <v>2.1096240000000002</v>
      </c>
      <c r="X120" s="560">
        <v>0</v>
      </c>
      <c r="Y120" s="560">
        <v>79.026831000000001</v>
      </c>
      <c r="Z120" s="560">
        <v>414.54966899999999</v>
      </c>
      <c r="AA120" s="560">
        <v>37733.215472999997</v>
      </c>
      <c r="AB120" s="560">
        <v>38512.483977999997</v>
      </c>
      <c r="AC120" s="560">
        <v>20897.806028999999</v>
      </c>
      <c r="AD120" s="560">
        <v>14372.157655999999</v>
      </c>
      <c r="AE120" s="560">
        <v>650.43966399999999</v>
      </c>
      <c r="AF120" s="560">
        <v>20210.651377999999</v>
      </c>
      <c r="AG120" s="560">
        <v>20997.731544999999</v>
      </c>
      <c r="AH120" s="560">
        <v>5294.5262350000003</v>
      </c>
      <c r="AI120" s="560">
        <v>0</v>
      </c>
      <c r="AJ120" s="560">
        <v>588.94350199999997</v>
      </c>
      <c r="AK120" s="560">
        <v>0</v>
      </c>
      <c r="AL120" s="560">
        <v>200.75</v>
      </c>
      <c r="AM120" s="560">
        <v>0</v>
      </c>
      <c r="AN120" s="560">
        <v>0</v>
      </c>
      <c r="AO120" s="560">
        <v>0</v>
      </c>
      <c r="AP120" s="560">
        <v>0</v>
      </c>
      <c r="AQ120" s="560" t="s">
        <v>837</v>
      </c>
      <c r="AR120" s="560" t="s">
        <v>1724</v>
      </c>
      <c r="AS120" s="560">
        <v>0</v>
      </c>
      <c r="AT120" s="560">
        <v>0</v>
      </c>
      <c r="AU120" s="560">
        <v>0</v>
      </c>
      <c r="AV120" s="560">
        <v>69</v>
      </c>
      <c r="AW120" s="560">
        <v>64</v>
      </c>
      <c r="AX120" s="560">
        <v>74</v>
      </c>
      <c r="AY120" s="560">
        <v>78</v>
      </c>
      <c r="AZ120" s="560">
        <v>1</v>
      </c>
      <c r="BA120" s="560">
        <v>2522</v>
      </c>
      <c r="BB120" s="560">
        <v>0</v>
      </c>
      <c r="BC120" s="560">
        <v>0.5</v>
      </c>
      <c r="BD120" s="560">
        <v>0</v>
      </c>
      <c r="BE120" s="560" t="s">
        <v>1798</v>
      </c>
      <c r="BF120" s="560">
        <v>2.5</v>
      </c>
      <c r="BG120" s="560">
        <v>17.399999999999999</v>
      </c>
      <c r="BH120" s="560">
        <v>1</v>
      </c>
      <c r="BI120" s="560">
        <v>2</v>
      </c>
      <c r="BJ120" s="560">
        <v>35</v>
      </c>
      <c r="BK120" s="560">
        <v>0</v>
      </c>
      <c r="BL120" s="560" t="s">
        <v>1747</v>
      </c>
      <c r="BM120" s="560">
        <v>3.0000000000000001E-3</v>
      </c>
      <c r="BN120" s="560">
        <v>15</v>
      </c>
      <c r="BO120" s="560">
        <v>4.5</v>
      </c>
      <c r="BP120" s="560" t="s">
        <v>1747</v>
      </c>
      <c r="BQ120" s="560">
        <v>5.0000000000000001E-3</v>
      </c>
      <c r="BR120" s="560">
        <v>40</v>
      </c>
      <c r="BS120" s="560">
        <v>4.9000000000000004</v>
      </c>
      <c r="BT120" s="560">
        <v>2688</v>
      </c>
      <c r="BU120" s="560">
        <v>22848</v>
      </c>
      <c r="BV120" s="560">
        <v>0</v>
      </c>
      <c r="BW120" s="560">
        <v>26.8</v>
      </c>
      <c r="BX120" s="560">
        <v>1480</v>
      </c>
      <c r="BY120" s="560">
        <v>11.4</v>
      </c>
      <c r="BZ120" s="560">
        <v>1344</v>
      </c>
      <c r="CA120" s="560">
        <v>35</v>
      </c>
      <c r="CB120" s="560">
        <v>0.85</v>
      </c>
      <c r="CC120" s="560">
        <v>94</v>
      </c>
      <c r="CD120" s="560">
        <v>94</v>
      </c>
      <c r="CE120" s="560">
        <v>94</v>
      </c>
      <c r="CF120" s="560">
        <v>94</v>
      </c>
      <c r="CG120" s="560">
        <v>0.29299999999999998</v>
      </c>
      <c r="CH120" s="560">
        <v>0.3</v>
      </c>
      <c r="CI120" s="560">
        <v>0.54</v>
      </c>
      <c r="CJ120" s="560">
        <v>40</v>
      </c>
      <c r="CK120" s="560">
        <v>5</v>
      </c>
      <c r="CL120" s="560">
        <v>4</v>
      </c>
      <c r="CM120" s="562">
        <v>1344</v>
      </c>
      <c r="CN120" s="562">
        <v>148</v>
      </c>
      <c r="CO120" s="562">
        <v>26.8</v>
      </c>
      <c r="CP120" s="562">
        <v>0</v>
      </c>
      <c r="CQ120" s="562">
        <v>0</v>
      </c>
      <c r="CR120" s="562" t="s">
        <v>1718</v>
      </c>
      <c r="CS120" s="562">
        <v>0</v>
      </c>
      <c r="CT120" s="562">
        <v>0</v>
      </c>
      <c r="CU120" s="562">
        <v>0.75</v>
      </c>
      <c r="CV120" s="562">
        <v>0.5</v>
      </c>
      <c r="CW120" s="562">
        <v>17.856999999999999</v>
      </c>
      <c r="CX120" s="562">
        <v>6.5</v>
      </c>
      <c r="CY120" s="562">
        <v>17.856999999999999</v>
      </c>
      <c r="CZ120" s="560">
        <v>2665.6</v>
      </c>
      <c r="DA120" s="560">
        <v>17</v>
      </c>
      <c r="DB120" s="560" t="s">
        <v>1719</v>
      </c>
      <c r="DC120" s="560">
        <v>50</v>
      </c>
      <c r="DD120" s="560">
        <v>4</v>
      </c>
      <c r="DE120" s="560" t="s">
        <v>1720</v>
      </c>
      <c r="DF120" s="560">
        <v>5</v>
      </c>
      <c r="DG120" s="560">
        <v>0</v>
      </c>
      <c r="DH120" s="560">
        <v>4.5</v>
      </c>
      <c r="DI120" s="560">
        <v>4.5</v>
      </c>
      <c r="DJ120" s="560">
        <v>0</v>
      </c>
      <c r="DK120" s="560">
        <v>0</v>
      </c>
      <c r="DL120" s="560">
        <v>0</v>
      </c>
      <c r="DM120" s="560">
        <v>0</v>
      </c>
      <c r="DN120" s="560">
        <v>0</v>
      </c>
      <c r="DO120" s="560">
        <v>0</v>
      </c>
    </row>
    <row r="121" spans="1:119">
      <c r="A121" s="560" t="s">
        <v>838</v>
      </c>
      <c r="B121" s="560" t="s">
        <v>1713</v>
      </c>
      <c r="C121" s="560" t="s">
        <v>779</v>
      </c>
      <c r="D121" s="560">
        <v>3</v>
      </c>
      <c r="E121" s="560">
        <v>445.51737500000002</v>
      </c>
      <c r="F121" s="560">
        <v>57.071784999999998</v>
      </c>
      <c r="G121" s="560">
        <v>6644.9655000000002</v>
      </c>
      <c r="H121" s="560">
        <v>139.9665</v>
      </c>
      <c r="I121" s="560">
        <v>0.91800700000000002</v>
      </c>
      <c r="J121" s="560">
        <v>0.28899900000000001</v>
      </c>
      <c r="K121" s="560">
        <v>0.30868600000000002</v>
      </c>
      <c r="L121" s="560">
        <v>0.42657699999999998</v>
      </c>
      <c r="M121" s="560">
        <v>13973.63077</v>
      </c>
      <c r="N121" s="560">
        <v>14203.056685</v>
      </c>
      <c r="O121" s="560">
        <v>3974.2948620000002</v>
      </c>
      <c r="P121" s="560">
        <v>144.208336</v>
      </c>
      <c r="Q121" s="560">
        <v>342.62038200000001</v>
      </c>
      <c r="R121" s="560">
        <v>1797.2777619999999</v>
      </c>
      <c r="S121" s="560">
        <v>887.16152299999999</v>
      </c>
      <c r="T121" s="560">
        <v>1053.9825679999999</v>
      </c>
      <c r="U121" s="560">
        <v>254.22847300000001</v>
      </c>
      <c r="V121" s="560">
        <v>35.495122000000002</v>
      </c>
      <c r="W121" s="560">
        <v>14.074040999999999</v>
      </c>
      <c r="X121" s="560">
        <v>0</v>
      </c>
      <c r="Y121" s="560">
        <v>24.521165</v>
      </c>
      <c r="Z121" s="560">
        <v>128.63024799999999</v>
      </c>
      <c r="AA121" s="560">
        <v>42145.795312000002</v>
      </c>
      <c r="AB121" s="560">
        <v>42859.673585999997</v>
      </c>
      <c r="AC121" s="560">
        <v>23979.524643000001</v>
      </c>
      <c r="AD121" s="560">
        <v>17384.252191</v>
      </c>
      <c r="AE121" s="560">
        <v>650.43966399999999</v>
      </c>
      <c r="AF121" s="560">
        <v>12739.612761</v>
      </c>
      <c r="AG121" s="560">
        <v>13710.578315999999</v>
      </c>
      <c r="AH121" s="560">
        <v>3362.1677989999998</v>
      </c>
      <c r="AI121" s="560">
        <v>0</v>
      </c>
      <c r="AJ121" s="560">
        <v>760.87894700000004</v>
      </c>
      <c r="AK121" s="560">
        <v>0</v>
      </c>
      <c r="AL121" s="560">
        <v>200.75</v>
      </c>
      <c r="AM121" s="560">
        <v>0</v>
      </c>
      <c r="AN121" s="560">
        <v>0</v>
      </c>
      <c r="AO121" s="560">
        <v>0</v>
      </c>
      <c r="AP121" s="560">
        <v>0</v>
      </c>
      <c r="AQ121" s="560" t="s">
        <v>838</v>
      </c>
      <c r="AR121" s="560" t="s">
        <v>1729</v>
      </c>
      <c r="AS121" s="560">
        <v>0</v>
      </c>
      <c r="AT121" s="560">
        <v>0</v>
      </c>
      <c r="AU121" s="560">
        <v>0</v>
      </c>
      <c r="AV121" s="560">
        <v>69</v>
      </c>
      <c r="AW121" s="560">
        <v>64</v>
      </c>
      <c r="AX121" s="560">
        <v>74</v>
      </c>
      <c r="AY121" s="560">
        <v>78</v>
      </c>
      <c r="AZ121" s="560">
        <v>1</v>
      </c>
      <c r="BA121" s="560">
        <v>2522</v>
      </c>
      <c r="BB121" s="560">
        <v>0</v>
      </c>
      <c r="BC121" s="560">
        <v>0.5</v>
      </c>
      <c r="BD121" s="560">
        <v>0</v>
      </c>
      <c r="BE121" s="560" t="s">
        <v>1798</v>
      </c>
      <c r="BF121" s="560">
        <v>2.5</v>
      </c>
      <c r="BG121" s="560">
        <v>17.399999999999999</v>
      </c>
      <c r="BH121" s="560">
        <v>1</v>
      </c>
      <c r="BI121" s="560">
        <v>2</v>
      </c>
      <c r="BJ121" s="560">
        <v>35</v>
      </c>
      <c r="BK121" s="560">
        <v>0</v>
      </c>
      <c r="BL121" s="560" t="s">
        <v>1747</v>
      </c>
      <c r="BM121" s="560">
        <v>3.0000000000000001E-3</v>
      </c>
      <c r="BN121" s="560">
        <v>15</v>
      </c>
      <c r="BO121" s="560">
        <v>6</v>
      </c>
      <c r="BP121" s="560" t="s">
        <v>1747</v>
      </c>
      <c r="BQ121" s="560">
        <v>5.0000000000000001E-3</v>
      </c>
      <c r="BR121" s="560">
        <v>40</v>
      </c>
      <c r="BS121" s="560">
        <v>6</v>
      </c>
      <c r="BT121" s="560">
        <v>2688</v>
      </c>
      <c r="BU121" s="560">
        <v>22848</v>
      </c>
      <c r="BV121" s="560">
        <v>0</v>
      </c>
      <c r="BW121" s="560">
        <v>30.609376350000002</v>
      </c>
      <c r="BX121" s="560">
        <v>1480</v>
      </c>
      <c r="BY121" s="560">
        <v>17.543859650000002</v>
      </c>
      <c r="BZ121" s="560">
        <v>1344</v>
      </c>
      <c r="CA121" s="560">
        <v>37.664196859999997</v>
      </c>
      <c r="CB121" s="560">
        <v>0.85</v>
      </c>
      <c r="CC121" s="560">
        <v>94</v>
      </c>
      <c r="CD121" s="560">
        <v>94</v>
      </c>
      <c r="CE121" s="560">
        <v>94</v>
      </c>
      <c r="CF121" s="560">
        <v>94</v>
      </c>
      <c r="CG121" s="560">
        <v>0.29299999999999998</v>
      </c>
      <c r="CH121" s="560">
        <v>0.3</v>
      </c>
      <c r="CI121" s="560">
        <v>0.54</v>
      </c>
      <c r="CJ121" s="560">
        <v>40</v>
      </c>
      <c r="CK121" s="560">
        <v>5</v>
      </c>
      <c r="CL121" s="560">
        <v>4</v>
      </c>
      <c r="CM121" s="562">
        <v>1344</v>
      </c>
      <c r="CN121" s="562">
        <v>148</v>
      </c>
      <c r="CO121" s="562">
        <v>30.609376350000002</v>
      </c>
      <c r="CP121" s="562">
        <v>0</v>
      </c>
      <c r="CQ121" s="562">
        <v>0</v>
      </c>
      <c r="CR121" s="562" t="s">
        <v>1718</v>
      </c>
      <c r="CS121" s="562">
        <v>0</v>
      </c>
      <c r="CT121" s="562">
        <v>0</v>
      </c>
      <c r="CU121" s="562">
        <v>0.75</v>
      </c>
      <c r="CV121" s="562">
        <v>0.5</v>
      </c>
      <c r="CW121" s="562">
        <v>17.856999999999999</v>
      </c>
      <c r="CX121" s="562">
        <v>6.5</v>
      </c>
      <c r="CY121" s="562">
        <v>17.856999999999999</v>
      </c>
      <c r="CZ121" s="560">
        <v>2665.6</v>
      </c>
      <c r="DA121" s="560">
        <v>17</v>
      </c>
      <c r="DB121" s="560" t="s">
        <v>1719</v>
      </c>
      <c r="DC121" s="560">
        <v>50</v>
      </c>
      <c r="DD121" s="560">
        <v>4</v>
      </c>
      <c r="DE121" s="560" t="s">
        <v>1720</v>
      </c>
      <c r="DF121" s="560">
        <v>5</v>
      </c>
      <c r="DG121" s="560">
        <v>0</v>
      </c>
      <c r="DH121" s="560">
        <v>4.5</v>
      </c>
      <c r="DI121" s="560">
        <v>4.5</v>
      </c>
      <c r="DJ121" s="560">
        <v>0</v>
      </c>
      <c r="DK121" s="560">
        <v>0</v>
      </c>
      <c r="DL121" s="560">
        <v>0</v>
      </c>
      <c r="DM121" s="560">
        <v>0</v>
      </c>
      <c r="DN121" s="560">
        <v>0</v>
      </c>
      <c r="DO121" s="560">
        <v>0</v>
      </c>
    </row>
    <row r="122" spans="1:119">
      <c r="A122" s="560" t="s">
        <v>839</v>
      </c>
      <c r="B122" s="560" t="s">
        <v>1713</v>
      </c>
      <c r="C122" s="560" t="s">
        <v>782</v>
      </c>
      <c r="D122" s="560">
        <v>3</v>
      </c>
      <c r="E122" s="560">
        <v>445.51737500000002</v>
      </c>
      <c r="F122" s="560">
        <v>57.071784999999998</v>
      </c>
      <c r="G122" s="560">
        <v>6644.9655000000002</v>
      </c>
      <c r="H122" s="560">
        <v>391.60199999999998</v>
      </c>
      <c r="I122" s="560">
        <v>0.91800700000000002</v>
      </c>
      <c r="J122" s="560">
        <v>0.28899900000000001</v>
      </c>
      <c r="K122" s="560">
        <v>0.30868600000000002</v>
      </c>
      <c r="L122" s="560">
        <v>0.42657699999999998</v>
      </c>
      <c r="M122" s="560">
        <v>13973.63077</v>
      </c>
      <c r="N122" s="560">
        <v>14203.056685</v>
      </c>
      <c r="O122" s="560">
        <v>3974.2948620000002</v>
      </c>
      <c r="P122" s="560">
        <v>144.208336</v>
      </c>
      <c r="Q122" s="560">
        <v>342.62038200000001</v>
      </c>
      <c r="R122" s="560">
        <v>1797.2777619999999</v>
      </c>
      <c r="S122" s="560">
        <v>1789.150866</v>
      </c>
      <c r="T122" s="560">
        <v>1977.6203129999999</v>
      </c>
      <c r="U122" s="560">
        <v>475.210576</v>
      </c>
      <c r="V122" s="560">
        <v>35.169778999999998</v>
      </c>
      <c r="W122" s="560">
        <v>7.4627800000000004</v>
      </c>
      <c r="X122" s="560">
        <v>0</v>
      </c>
      <c r="Y122" s="560">
        <v>46.750093</v>
      </c>
      <c r="Z122" s="560">
        <v>245.23614599999999</v>
      </c>
      <c r="AA122" s="560">
        <v>42145.795312000002</v>
      </c>
      <c r="AB122" s="560">
        <v>42859.673585999997</v>
      </c>
      <c r="AC122" s="560">
        <v>23979.524643000001</v>
      </c>
      <c r="AD122" s="560">
        <v>17384.252191</v>
      </c>
      <c r="AE122" s="560">
        <v>650.43966399999999</v>
      </c>
      <c r="AF122" s="560">
        <v>17251.739173000002</v>
      </c>
      <c r="AG122" s="560">
        <v>18665.266070000001</v>
      </c>
      <c r="AH122" s="560">
        <v>4518.8453980000004</v>
      </c>
      <c r="AI122" s="560">
        <v>0</v>
      </c>
      <c r="AJ122" s="560">
        <v>760.87894700000004</v>
      </c>
      <c r="AK122" s="560">
        <v>0</v>
      </c>
      <c r="AL122" s="560">
        <v>200.75</v>
      </c>
      <c r="AM122" s="560">
        <v>0</v>
      </c>
      <c r="AN122" s="560">
        <v>0</v>
      </c>
      <c r="AO122" s="560">
        <v>0</v>
      </c>
      <c r="AP122" s="560">
        <v>0</v>
      </c>
      <c r="AQ122" s="560" t="s">
        <v>839</v>
      </c>
      <c r="AR122" s="560" t="s">
        <v>1731</v>
      </c>
      <c r="AS122" s="560">
        <v>0</v>
      </c>
      <c r="AT122" s="560">
        <v>0</v>
      </c>
      <c r="AU122" s="560">
        <v>0</v>
      </c>
      <c r="AV122" s="560">
        <v>69</v>
      </c>
      <c r="AW122" s="560">
        <v>64</v>
      </c>
      <c r="AX122" s="560">
        <v>74</v>
      </c>
      <c r="AY122" s="560">
        <v>78</v>
      </c>
      <c r="AZ122" s="560">
        <v>1</v>
      </c>
      <c r="BA122" s="560">
        <v>2522</v>
      </c>
      <c r="BB122" s="560">
        <v>0</v>
      </c>
      <c r="BC122" s="560">
        <v>0.5</v>
      </c>
      <c r="BD122" s="560">
        <v>0</v>
      </c>
      <c r="BE122" s="560" t="s">
        <v>1798</v>
      </c>
      <c r="BF122" s="560">
        <v>2.5</v>
      </c>
      <c r="BG122" s="560">
        <v>17.399999999999999</v>
      </c>
      <c r="BH122" s="560">
        <v>1</v>
      </c>
      <c r="BI122" s="560">
        <v>2</v>
      </c>
      <c r="BJ122" s="560">
        <v>35</v>
      </c>
      <c r="BK122" s="560">
        <v>0</v>
      </c>
      <c r="BL122" s="560" t="s">
        <v>1747</v>
      </c>
      <c r="BM122" s="560">
        <v>3.0000000000000001E-3</v>
      </c>
      <c r="BN122" s="560">
        <v>15</v>
      </c>
      <c r="BO122" s="560">
        <v>6</v>
      </c>
      <c r="BP122" s="560" t="s">
        <v>1747</v>
      </c>
      <c r="BQ122" s="560">
        <v>5.0000000000000001E-3</v>
      </c>
      <c r="BR122" s="560">
        <v>40</v>
      </c>
      <c r="BS122" s="560">
        <v>6</v>
      </c>
      <c r="BT122" s="560">
        <v>2688</v>
      </c>
      <c r="BU122" s="560">
        <v>22848</v>
      </c>
      <c r="BV122" s="560">
        <v>0</v>
      </c>
      <c r="BW122" s="560">
        <v>30.609376350000002</v>
      </c>
      <c r="BX122" s="560">
        <v>1480</v>
      </c>
      <c r="BY122" s="560">
        <v>17.543859650000002</v>
      </c>
      <c r="BZ122" s="560">
        <v>1344</v>
      </c>
      <c r="CA122" s="560">
        <v>37.664196859999997</v>
      </c>
      <c r="CB122" s="560">
        <v>0.85</v>
      </c>
      <c r="CC122" s="560">
        <v>94</v>
      </c>
      <c r="CD122" s="560">
        <v>94</v>
      </c>
      <c r="CE122" s="560">
        <v>94</v>
      </c>
      <c r="CF122" s="560">
        <v>94</v>
      </c>
      <c r="CG122" s="560">
        <v>0.29299999999999998</v>
      </c>
      <c r="CH122" s="560">
        <v>0.3</v>
      </c>
      <c r="CI122" s="560">
        <v>0.54</v>
      </c>
      <c r="CJ122" s="560">
        <v>40</v>
      </c>
      <c r="CK122" s="560">
        <v>5</v>
      </c>
      <c r="CL122" s="560">
        <v>4</v>
      </c>
      <c r="CM122" s="562">
        <v>1344</v>
      </c>
      <c r="CN122" s="562">
        <v>148</v>
      </c>
      <c r="CO122" s="562">
        <v>30.609376350000002</v>
      </c>
      <c r="CP122" s="562">
        <v>0</v>
      </c>
      <c r="CQ122" s="562">
        <v>0</v>
      </c>
      <c r="CR122" s="562" t="s">
        <v>1718</v>
      </c>
      <c r="CS122" s="562">
        <v>0</v>
      </c>
      <c r="CT122" s="562">
        <v>0</v>
      </c>
      <c r="CU122" s="562">
        <v>0.75</v>
      </c>
      <c r="CV122" s="562">
        <v>0.5</v>
      </c>
      <c r="CW122" s="562">
        <v>17.856999999999999</v>
      </c>
      <c r="CX122" s="562">
        <v>6.5</v>
      </c>
      <c r="CY122" s="562">
        <v>17.856999999999999</v>
      </c>
      <c r="CZ122" s="560">
        <v>2665.6</v>
      </c>
      <c r="DA122" s="560">
        <v>17</v>
      </c>
      <c r="DB122" s="560" t="s">
        <v>1719</v>
      </c>
      <c r="DC122" s="560">
        <v>50</v>
      </c>
      <c r="DD122" s="560">
        <v>4</v>
      </c>
      <c r="DE122" s="560" t="s">
        <v>1720</v>
      </c>
      <c r="DF122" s="560">
        <v>5</v>
      </c>
      <c r="DG122" s="560">
        <v>0</v>
      </c>
      <c r="DH122" s="560">
        <v>4.5</v>
      </c>
      <c r="DI122" s="560">
        <v>4.5</v>
      </c>
      <c r="DJ122" s="560">
        <v>0</v>
      </c>
      <c r="DK122" s="560">
        <v>0</v>
      </c>
      <c r="DL122" s="560">
        <v>0</v>
      </c>
      <c r="DM122" s="560">
        <v>0</v>
      </c>
      <c r="DN122" s="560">
        <v>0</v>
      </c>
      <c r="DO122" s="560">
        <v>0</v>
      </c>
    </row>
    <row r="123" spans="1:119">
      <c r="A123" s="560" t="s">
        <v>840</v>
      </c>
      <c r="B123" s="560" t="s">
        <v>1713</v>
      </c>
      <c r="C123" s="560" t="s">
        <v>785</v>
      </c>
      <c r="D123" s="560">
        <v>3</v>
      </c>
      <c r="E123" s="560">
        <v>445.51737500000002</v>
      </c>
      <c r="F123" s="560">
        <v>57.071784999999998</v>
      </c>
      <c r="G123" s="560">
        <v>6644.9655000000002</v>
      </c>
      <c r="H123" s="560">
        <v>755.94</v>
      </c>
      <c r="I123" s="560">
        <v>0.91800700000000002</v>
      </c>
      <c r="J123" s="560">
        <v>0.28899900000000001</v>
      </c>
      <c r="K123" s="560">
        <v>0.30868600000000002</v>
      </c>
      <c r="L123" s="560">
        <v>0.42657699999999998</v>
      </c>
      <c r="M123" s="560">
        <v>13973.63077</v>
      </c>
      <c r="N123" s="560">
        <v>14203.056685</v>
      </c>
      <c r="O123" s="560">
        <v>3974.2948620000002</v>
      </c>
      <c r="P123" s="560">
        <v>144.208336</v>
      </c>
      <c r="Q123" s="560">
        <v>342.62038200000001</v>
      </c>
      <c r="R123" s="560">
        <v>1797.2777619999999</v>
      </c>
      <c r="S123" s="560">
        <v>3032.3737809999998</v>
      </c>
      <c r="T123" s="560">
        <v>3175.407389</v>
      </c>
      <c r="U123" s="560">
        <v>765.58667300000002</v>
      </c>
      <c r="V123" s="560">
        <v>17.372274000000001</v>
      </c>
      <c r="W123" s="560">
        <v>2.269145</v>
      </c>
      <c r="X123" s="560">
        <v>0</v>
      </c>
      <c r="Y123" s="560">
        <v>76.391006000000004</v>
      </c>
      <c r="Z123" s="560">
        <v>400.72296499999999</v>
      </c>
      <c r="AA123" s="560">
        <v>42145.795312000002</v>
      </c>
      <c r="AB123" s="560">
        <v>42859.673585999997</v>
      </c>
      <c r="AC123" s="560">
        <v>23979.524643000001</v>
      </c>
      <c r="AD123" s="560">
        <v>17384.252191</v>
      </c>
      <c r="AE123" s="560">
        <v>650.43966399999999</v>
      </c>
      <c r="AF123" s="560">
        <v>19227.492760000001</v>
      </c>
      <c r="AG123" s="560">
        <v>19868.275678000002</v>
      </c>
      <c r="AH123" s="560">
        <v>5034.0605029999997</v>
      </c>
      <c r="AI123" s="560">
        <v>0</v>
      </c>
      <c r="AJ123" s="560">
        <v>760.87894700000004</v>
      </c>
      <c r="AK123" s="560">
        <v>0</v>
      </c>
      <c r="AL123" s="560">
        <v>200.75</v>
      </c>
      <c r="AM123" s="560">
        <v>0</v>
      </c>
      <c r="AN123" s="560">
        <v>0</v>
      </c>
      <c r="AO123" s="560">
        <v>0</v>
      </c>
      <c r="AP123" s="560">
        <v>0</v>
      </c>
      <c r="AQ123" s="560" t="s">
        <v>840</v>
      </c>
      <c r="AR123" s="560" t="s">
        <v>1733</v>
      </c>
      <c r="AS123" s="560">
        <v>0</v>
      </c>
      <c r="AT123" s="560">
        <v>0</v>
      </c>
      <c r="AU123" s="560">
        <v>0</v>
      </c>
      <c r="AV123" s="560">
        <v>69</v>
      </c>
      <c r="AW123" s="560">
        <v>64</v>
      </c>
      <c r="AX123" s="560">
        <v>74</v>
      </c>
      <c r="AY123" s="560">
        <v>78</v>
      </c>
      <c r="AZ123" s="560">
        <v>1</v>
      </c>
      <c r="BA123" s="560">
        <v>2522</v>
      </c>
      <c r="BB123" s="560">
        <v>0</v>
      </c>
      <c r="BC123" s="560">
        <v>0.5</v>
      </c>
      <c r="BD123" s="560">
        <v>0</v>
      </c>
      <c r="BE123" s="560" t="s">
        <v>1798</v>
      </c>
      <c r="BF123" s="560">
        <v>2.5</v>
      </c>
      <c r="BG123" s="560">
        <v>17.399999999999999</v>
      </c>
      <c r="BH123" s="560">
        <v>1</v>
      </c>
      <c r="BI123" s="560">
        <v>2</v>
      </c>
      <c r="BJ123" s="560">
        <v>35</v>
      </c>
      <c r="BK123" s="560">
        <v>0</v>
      </c>
      <c r="BL123" s="560" t="s">
        <v>1747</v>
      </c>
      <c r="BM123" s="560">
        <v>3.0000000000000001E-3</v>
      </c>
      <c r="BN123" s="560">
        <v>15</v>
      </c>
      <c r="BO123" s="560">
        <v>6</v>
      </c>
      <c r="BP123" s="560" t="s">
        <v>1747</v>
      </c>
      <c r="BQ123" s="560">
        <v>5.0000000000000001E-3</v>
      </c>
      <c r="BR123" s="560">
        <v>40</v>
      </c>
      <c r="BS123" s="560">
        <v>6</v>
      </c>
      <c r="BT123" s="560">
        <v>2688</v>
      </c>
      <c r="BU123" s="560">
        <v>22848</v>
      </c>
      <c r="BV123" s="560">
        <v>0</v>
      </c>
      <c r="BW123" s="560">
        <v>30.609376350000002</v>
      </c>
      <c r="BX123" s="560">
        <v>1480</v>
      </c>
      <c r="BY123" s="560">
        <v>17.543859650000002</v>
      </c>
      <c r="BZ123" s="560">
        <v>1344</v>
      </c>
      <c r="CA123" s="560">
        <v>37.664196859999997</v>
      </c>
      <c r="CB123" s="560">
        <v>0.85</v>
      </c>
      <c r="CC123" s="560">
        <v>94</v>
      </c>
      <c r="CD123" s="560">
        <v>94</v>
      </c>
      <c r="CE123" s="560">
        <v>94</v>
      </c>
      <c r="CF123" s="560">
        <v>94</v>
      </c>
      <c r="CG123" s="560">
        <v>0.29299999999999998</v>
      </c>
      <c r="CH123" s="560">
        <v>0.3</v>
      </c>
      <c r="CI123" s="560">
        <v>0.54</v>
      </c>
      <c r="CJ123" s="560">
        <v>40</v>
      </c>
      <c r="CK123" s="560">
        <v>5</v>
      </c>
      <c r="CL123" s="560">
        <v>4</v>
      </c>
      <c r="CM123" s="562">
        <v>1344</v>
      </c>
      <c r="CN123" s="562">
        <v>148</v>
      </c>
      <c r="CO123" s="562">
        <v>30.609376350000002</v>
      </c>
      <c r="CP123" s="562">
        <v>0</v>
      </c>
      <c r="CQ123" s="562">
        <v>0</v>
      </c>
      <c r="CR123" s="562" t="s">
        <v>1718</v>
      </c>
      <c r="CS123" s="562">
        <v>0</v>
      </c>
      <c r="CT123" s="562">
        <v>0</v>
      </c>
      <c r="CU123" s="562">
        <v>0.75</v>
      </c>
      <c r="CV123" s="562">
        <v>0.5</v>
      </c>
      <c r="CW123" s="562">
        <v>17.856999999999999</v>
      </c>
      <c r="CX123" s="562">
        <v>6.5</v>
      </c>
      <c r="CY123" s="562">
        <v>17.856999999999999</v>
      </c>
      <c r="CZ123" s="560">
        <v>2665.6</v>
      </c>
      <c r="DA123" s="560">
        <v>17</v>
      </c>
      <c r="DB123" s="560" t="s">
        <v>1719</v>
      </c>
      <c r="DC123" s="560">
        <v>50</v>
      </c>
      <c r="DD123" s="560">
        <v>4</v>
      </c>
      <c r="DE123" s="560" t="s">
        <v>1720</v>
      </c>
      <c r="DF123" s="560">
        <v>5</v>
      </c>
      <c r="DG123" s="560">
        <v>0</v>
      </c>
      <c r="DH123" s="560">
        <v>4.5</v>
      </c>
      <c r="DI123" s="560">
        <v>4.5</v>
      </c>
      <c r="DJ123" s="560">
        <v>0</v>
      </c>
      <c r="DK123" s="560">
        <v>0</v>
      </c>
      <c r="DL123" s="560">
        <v>0</v>
      </c>
      <c r="DM123" s="560">
        <v>0</v>
      </c>
      <c r="DN123" s="560">
        <v>0</v>
      </c>
      <c r="DO123" s="560">
        <v>0</v>
      </c>
    </row>
    <row r="124" spans="1:119">
      <c r="A124" s="560" t="s">
        <v>841</v>
      </c>
      <c r="B124" s="560" t="s">
        <v>1713</v>
      </c>
      <c r="C124" s="560" t="s">
        <v>779</v>
      </c>
      <c r="D124" s="560">
        <v>3</v>
      </c>
      <c r="E124" s="560">
        <v>480.03186599999998</v>
      </c>
      <c r="F124" s="560">
        <v>57.499608000000002</v>
      </c>
      <c r="G124" s="560">
        <v>6644.9655000000002</v>
      </c>
      <c r="H124" s="560">
        <v>139.9665</v>
      </c>
      <c r="I124" s="560">
        <v>0.91800700000000002</v>
      </c>
      <c r="J124" s="560">
        <v>0.28885300000000003</v>
      </c>
      <c r="K124" s="560">
        <v>0.30684</v>
      </c>
      <c r="L124" s="560">
        <v>0.42702499999999999</v>
      </c>
      <c r="M124" s="560">
        <v>15424.658520000001</v>
      </c>
      <c r="N124" s="560">
        <v>15715.411238999999</v>
      </c>
      <c r="O124" s="560">
        <v>4405.8354339999996</v>
      </c>
      <c r="P124" s="560">
        <v>202.753242</v>
      </c>
      <c r="Q124" s="560">
        <v>377.26915400000001</v>
      </c>
      <c r="R124" s="560">
        <v>1979.0342209999999</v>
      </c>
      <c r="S124" s="560">
        <v>891.15635999999995</v>
      </c>
      <c r="T124" s="560">
        <v>1055.33043</v>
      </c>
      <c r="U124" s="560">
        <v>254.07849400000001</v>
      </c>
      <c r="V124" s="560">
        <v>33.983457000000001</v>
      </c>
      <c r="W124" s="560">
        <v>13.522036999999999</v>
      </c>
      <c r="X124" s="560">
        <v>0</v>
      </c>
      <c r="Y124" s="560">
        <v>24.570530999999999</v>
      </c>
      <c r="Z124" s="560">
        <v>128.88920400000001</v>
      </c>
      <c r="AA124" s="560">
        <v>44025.470029999997</v>
      </c>
      <c r="AB124" s="560">
        <v>44848.371438000002</v>
      </c>
      <c r="AC124" s="560">
        <v>25943.051546999999</v>
      </c>
      <c r="AD124" s="560">
        <v>19349.699976</v>
      </c>
      <c r="AE124" s="560">
        <v>650.43966399999999</v>
      </c>
      <c r="AF124" s="560">
        <v>13390.046834999999</v>
      </c>
      <c r="AG124" s="560">
        <v>14409.687624</v>
      </c>
      <c r="AH124" s="560">
        <v>3524.9305789999999</v>
      </c>
      <c r="AI124" s="560">
        <v>0</v>
      </c>
      <c r="AJ124" s="560">
        <v>831.85228600000005</v>
      </c>
      <c r="AK124" s="560">
        <v>0</v>
      </c>
      <c r="AL124" s="560">
        <v>200.75</v>
      </c>
      <c r="AM124" s="560">
        <v>0</v>
      </c>
      <c r="AN124" s="560">
        <v>0</v>
      </c>
      <c r="AO124" s="560">
        <v>0</v>
      </c>
      <c r="AP124" s="560">
        <v>0</v>
      </c>
      <c r="AQ124" s="560" t="s">
        <v>841</v>
      </c>
      <c r="AR124" s="560" t="s">
        <v>1729</v>
      </c>
      <c r="AS124" s="560">
        <v>0</v>
      </c>
      <c r="AT124" s="560">
        <v>0</v>
      </c>
      <c r="AU124" s="560">
        <v>0</v>
      </c>
      <c r="AV124" s="560">
        <v>69</v>
      </c>
      <c r="AW124" s="560">
        <v>64</v>
      </c>
      <c r="AX124" s="560">
        <v>74</v>
      </c>
      <c r="AY124" s="560">
        <v>78</v>
      </c>
      <c r="AZ124" s="560">
        <v>1</v>
      </c>
      <c r="BA124" s="560">
        <v>2522</v>
      </c>
      <c r="BB124" s="560">
        <v>0</v>
      </c>
      <c r="BC124" s="560">
        <v>0.5</v>
      </c>
      <c r="BD124" s="560">
        <v>0</v>
      </c>
      <c r="BE124" s="560" t="s">
        <v>1798</v>
      </c>
      <c r="BF124" s="560">
        <v>2.5</v>
      </c>
      <c r="BG124" s="560">
        <v>17.399999999999999</v>
      </c>
      <c r="BH124" s="560">
        <v>1</v>
      </c>
      <c r="BI124" s="560">
        <v>2</v>
      </c>
      <c r="BJ124" s="560">
        <v>35</v>
      </c>
      <c r="BK124" s="560">
        <v>0</v>
      </c>
      <c r="BL124" s="560" t="s">
        <v>1747</v>
      </c>
      <c r="BM124" s="560">
        <v>3.0000000000000001E-3</v>
      </c>
      <c r="BN124" s="560">
        <v>15</v>
      </c>
      <c r="BO124" s="560">
        <v>4.5</v>
      </c>
      <c r="BP124" s="560" t="s">
        <v>1747</v>
      </c>
      <c r="BQ124" s="560">
        <v>5.0000000000000001E-3</v>
      </c>
      <c r="BR124" s="560">
        <v>40</v>
      </c>
      <c r="BS124" s="560">
        <v>4.9000000000000004</v>
      </c>
      <c r="BT124" s="560">
        <v>2688</v>
      </c>
      <c r="BU124" s="560">
        <v>22848</v>
      </c>
      <c r="BV124" s="560">
        <v>0</v>
      </c>
      <c r="BW124" s="560">
        <v>26.8</v>
      </c>
      <c r="BX124" s="560">
        <v>1480</v>
      </c>
      <c r="BY124" s="560">
        <v>11.4</v>
      </c>
      <c r="BZ124" s="560">
        <v>1344</v>
      </c>
      <c r="CA124" s="560">
        <v>35</v>
      </c>
      <c r="CB124" s="560">
        <v>0.85</v>
      </c>
      <c r="CC124" s="560">
        <v>94</v>
      </c>
      <c r="CD124" s="560">
        <v>94</v>
      </c>
      <c r="CE124" s="560">
        <v>94</v>
      </c>
      <c r="CF124" s="560">
        <v>94</v>
      </c>
      <c r="CG124" s="560">
        <v>0.29299999999999998</v>
      </c>
      <c r="CH124" s="560">
        <v>0.3</v>
      </c>
      <c r="CI124" s="560">
        <v>0.54</v>
      </c>
      <c r="CJ124" s="560">
        <v>40</v>
      </c>
      <c r="CK124" s="560">
        <v>5</v>
      </c>
      <c r="CL124" s="560">
        <v>4</v>
      </c>
      <c r="CM124" s="562">
        <v>1344</v>
      </c>
      <c r="CN124" s="562">
        <v>148</v>
      </c>
      <c r="CO124" s="562">
        <v>26.8</v>
      </c>
      <c r="CP124" s="562">
        <v>0</v>
      </c>
      <c r="CQ124" s="562">
        <v>0</v>
      </c>
      <c r="CR124" s="562" t="s">
        <v>1718</v>
      </c>
      <c r="CS124" s="562">
        <v>0</v>
      </c>
      <c r="CT124" s="562">
        <v>0</v>
      </c>
      <c r="CU124" s="562">
        <v>0.75</v>
      </c>
      <c r="CV124" s="562">
        <v>0.5</v>
      </c>
      <c r="CW124" s="562">
        <v>17.856999999999999</v>
      </c>
      <c r="CX124" s="562">
        <v>6.5</v>
      </c>
      <c r="CY124" s="562">
        <v>17.856999999999999</v>
      </c>
      <c r="CZ124" s="560">
        <v>2665.6</v>
      </c>
      <c r="DA124" s="560">
        <v>17</v>
      </c>
      <c r="DB124" s="560" t="s">
        <v>1719</v>
      </c>
      <c r="DC124" s="560">
        <v>50</v>
      </c>
      <c r="DD124" s="560">
        <v>4</v>
      </c>
      <c r="DE124" s="560" t="s">
        <v>1720</v>
      </c>
      <c r="DF124" s="560">
        <v>5</v>
      </c>
      <c r="DG124" s="560">
        <v>0</v>
      </c>
      <c r="DH124" s="560">
        <v>4.5</v>
      </c>
      <c r="DI124" s="560">
        <v>4.5</v>
      </c>
      <c r="DJ124" s="560">
        <v>0</v>
      </c>
      <c r="DK124" s="560">
        <v>0</v>
      </c>
      <c r="DL124" s="560">
        <v>0</v>
      </c>
      <c r="DM124" s="560">
        <v>0</v>
      </c>
      <c r="DN124" s="560">
        <v>0</v>
      </c>
      <c r="DO124" s="560">
        <v>0</v>
      </c>
    </row>
    <row r="125" spans="1:119">
      <c r="A125" s="560" t="s">
        <v>842</v>
      </c>
      <c r="B125" s="560" t="s">
        <v>1713</v>
      </c>
      <c r="C125" s="560" t="s">
        <v>782</v>
      </c>
      <c r="D125" s="560">
        <v>3</v>
      </c>
      <c r="E125" s="560">
        <v>480.03186599999998</v>
      </c>
      <c r="F125" s="560">
        <v>57.499608000000002</v>
      </c>
      <c r="G125" s="560">
        <v>6644.9655000000002</v>
      </c>
      <c r="H125" s="560">
        <v>391.60199999999998</v>
      </c>
      <c r="I125" s="560">
        <v>0.91800700000000002</v>
      </c>
      <c r="J125" s="560">
        <v>0.28885300000000003</v>
      </c>
      <c r="K125" s="560">
        <v>0.30684</v>
      </c>
      <c r="L125" s="560">
        <v>0.42702499999999999</v>
      </c>
      <c r="M125" s="560">
        <v>15424.658520000001</v>
      </c>
      <c r="N125" s="560">
        <v>15715.411238999999</v>
      </c>
      <c r="O125" s="560">
        <v>4405.8354339999996</v>
      </c>
      <c r="P125" s="560">
        <v>202.753242</v>
      </c>
      <c r="Q125" s="560">
        <v>377.26915400000001</v>
      </c>
      <c r="R125" s="560">
        <v>1979.0342209999999</v>
      </c>
      <c r="S125" s="560">
        <v>1835.0417930000001</v>
      </c>
      <c r="T125" s="560">
        <v>2026.474557</v>
      </c>
      <c r="U125" s="560">
        <v>485.69930900000003</v>
      </c>
      <c r="V125" s="560">
        <v>33.868701999999999</v>
      </c>
      <c r="W125" s="560">
        <v>7.0846090000000004</v>
      </c>
      <c r="X125" s="560">
        <v>0</v>
      </c>
      <c r="Y125" s="560">
        <v>47.924689000000001</v>
      </c>
      <c r="Z125" s="560">
        <v>251.39770300000001</v>
      </c>
      <c r="AA125" s="560">
        <v>44025.470029999997</v>
      </c>
      <c r="AB125" s="560">
        <v>44848.371438000002</v>
      </c>
      <c r="AC125" s="560">
        <v>25943.051546999999</v>
      </c>
      <c r="AD125" s="560">
        <v>19349.699976</v>
      </c>
      <c r="AE125" s="560">
        <v>650.43966399999999</v>
      </c>
      <c r="AF125" s="560">
        <v>18069.648939999999</v>
      </c>
      <c r="AG125" s="560">
        <v>19578.685164999999</v>
      </c>
      <c r="AH125" s="560">
        <v>4728.1443760000002</v>
      </c>
      <c r="AI125" s="560">
        <v>0</v>
      </c>
      <c r="AJ125" s="560">
        <v>831.85228600000005</v>
      </c>
      <c r="AK125" s="560">
        <v>0</v>
      </c>
      <c r="AL125" s="560">
        <v>200.75</v>
      </c>
      <c r="AM125" s="560">
        <v>0</v>
      </c>
      <c r="AN125" s="560">
        <v>0</v>
      </c>
      <c r="AO125" s="560">
        <v>0</v>
      </c>
      <c r="AP125" s="560">
        <v>0</v>
      </c>
      <c r="AQ125" s="560" t="s">
        <v>842</v>
      </c>
      <c r="AR125" s="560" t="s">
        <v>1731</v>
      </c>
      <c r="AS125" s="560">
        <v>0</v>
      </c>
      <c r="AT125" s="560">
        <v>0</v>
      </c>
      <c r="AU125" s="560">
        <v>0</v>
      </c>
      <c r="AV125" s="560">
        <v>69</v>
      </c>
      <c r="AW125" s="560">
        <v>64</v>
      </c>
      <c r="AX125" s="560">
        <v>74</v>
      </c>
      <c r="AY125" s="560">
        <v>78</v>
      </c>
      <c r="AZ125" s="560">
        <v>1</v>
      </c>
      <c r="BA125" s="560">
        <v>2522</v>
      </c>
      <c r="BB125" s="560">
        <v>0</v>
      </c>
      <c r="BC125" s="560">
        <v>0.5</v>
      </c>
      <c r="BD125" s="560">
        <v>0</v>
      </c>
      <c r="BE125" s="560" t="s">
        <v>1798</v>
      </c>
      <c r="BF125" s="560">
        <v>2.5</v>
      </c>
      <c r="BG125" s="560">
        <v>17.399999999999999</v>
      </c>
      <c r="BH125" s="560">
        <v>1</v>
      </c>
      <c r="BI125" s="560">
        <v>2</v>
      </c>
      <c r="BJ125" s="560">
        <v>35</v>
      </c>
      <c r="BK125" s="560">
        <v>0</v>
      </c>
      <c r="BL125" s="560" t="s">
        <v>1747</v>
      </c>
      <c r="BM125" s="560">
        <v>3.0000000000000001E-3</v>
      </c>
      <c r="BN125" s="560">
        <v>15</v>
      </c>
      <c r="BO125" s="560">
        <v>4.5</v>
      </c>
      <c r="BP125" s="560" t="s">
        <v>1747</v>
      </c>
      <c r="BQ125" s="560">
        <v>5.0000000000000001E-3</v>
      </c>
      <c r="BR125" s="560">
        <v>40</v>
      </c>
      <c r="BS125" s="560">
        <v>4.9000000000000004</v>
      </c>
      <c r="BT125" s="560">
        <v>2688</v>
      </c>
      <c r="BU125" s="560">
        <v>22848</v>
      </c>
      <c r="BV125" s="560">
        <v>0</v>
      </c>
      <c r="BW125" s="560">
        <v>26.8</v>
      </c>
      <c r="BX125" s="560">
        <v>1480</v>
      </c>
      <c r="BY125" s="560">
        <v>11.4</v>
      </c>
      <c r="BZ125" s="560">
        <v>1344</v>
      </c>
      <c r="CA125" s="560">
        <v>35</v>
      </c>
      <c r="CB125" s="560">
        <v>0.85</v>
      </c>
      <c r="CC125" s="560">
        <v>94</v>
      </c>
      <c r="CD125" s="560">
        <v>94</v>
      </c>
      <c r="CE125" s="560">
        <v>94</v>
      </c>
      <c r="CF125" s="560">
        <v>94</v>
      </c>
      <c r="CG125" s="560">
        <v>0.29299999999999998</v>
      </c>
      <c r="CH125" s="560">
        <v>0.3</v>
      </c>
      <c r="CI125" s="560">
        <v>0.54</v>
      </c>
      <c r="CJ125" s="560">
        <v>40</v>
      </c>
      <c r="CK125" s="560">
        <v>5</v>
      </c>
      <c r="CL125" s="560">
        <v>4</v>
      </c>
      <c r="CM125" s="562">
        <v>1344</v>
      </c>
      <c r="CN125" s="562">
        <v>148</v>
      </c>
      <c r="CO125" s="562">
        <v>26.8</v>
      </c>
      <c r="CP125" s="562">
        <v>0</v>
      </c>
      <c r="CQ125" s="562">
        <v>0</v>
      </c>
      <c r="CR125" s="562" t="s">
        <v>1718</v>
      </c>
      <c r="CS125" s="562">
        <v>0</v>
      </c>
      <c r="CT125" s="562">
        <v>0</v>
      </c>
      <c r="CU125" s="562">
        <v>0.75</v>
      </c>
      <c r="CV125" s="562">
        <v>0.5</v>
      </c>
      <c r="CW125" s="562">
        <v>17.856999999999999</v>
      </c>
      <c r="CX125" s="562">
        <v>6.5</v>
      </c>
      <c r="CY125" s="562">
        <v>17.856999999999999</v>
      </c>
      <c r="CZ125" s="560">
        <v>2665.6</v>
      </c>
      <c r="DA125" s="560">
        <v>17</v>
      </c>
      <c r="DB125" s="560" t="s">
        <v>1719</v>
      </c>
      <c r="DC125" s="560">
        <v>50</v>
      </c>
      <c r="DD125" s="560">
        <v>4</v>
      </c>
      <c r="DE125" s="560" t="s">
        <v>1720</v>
      </c>
      <c r="DF125" s="560">
        <v>5</v>
      </c>
      <c r="DG125" s="560">
        <v>0</v>
      </c>
      <c r="DH125" s="560">
        <v>4.5</v>
      </c>
      <c r="DI125" s="560">
        <v>4.5</v>
      </c>
      <c r="DJ125" s="560">
        <v>0</v>
      </c>
      <c r="DK125" s="560">
        <v>0</v>
      </c>
      <c r="DL125" s="560">
        <v>0</v>
      </c>
      <c r="DM125" s="560">
        <v>0</v>
      </c>
      <c r="DN125" s="560">
        <v>0</v>
      </c>
      <c r="DO125" s="560">
        <v>0</v>
      </c>
    </row>
    <row r="126" spans="1:119">
      <c r="A126" s="560" t="s">
        <v>843</v>
      </c>
      <c r="B126" s="560" t="s">
        <v>1713</v>
      </c>
      <c r="C126" s="560" t="s">
        <v>785</v>
      </c>
      <c r="D126" s="560">
        <v>3</v>
      </c>
      <c r="E126" s="560">
        <v>480.03186599999998</v>
      </c>
      <c r="F126" s="560">
        <v>57.499608000000002</v>
      </c>
      <c r="G126" s="560">
        <v>6644.9655000000002</v>
      </c>
      <c r="H126" s="560">
        <v>755.94</v>
      </c>
      <c r="I126" s="560">
        <v>0.91800700000000002</v>
      </c>
      <c r="J126" s="560">
        <v>0.28885300000000003</v>
      </c>
      <c r="K126" s="560">
        <v>0.30684</v>
      </c>
      <c r="L126" s="560">
        <v>0.42702499999999999</v>
      </c>
      <c r="M126" s="560">
        <v>15424.658520000001</v>
      </c>
      <c r="N126" s="560">
        <v>15715.411238999999</v>
      </c>
      <c r="O126" s="560">
        <v>4405.8354339999996</v>
      </c>
      <c r="P126" s="560">
        <v>202.753242</v>
      </c>
      <c r="Q126" s="560">
        <v>377.26915400000001</v>
      </c>
      <c r="R126" s="560">
        <v>1979.0342209999999</v>
      </c>
      <c r="S126" s="560">
        <v>3130.308556</v>
      </c>
      <c r="T126" s="560">
        <v>3285.7982430000002</v>
      </c>
      <c r="U126" s="560">
        <v>789.35498199999995</v>
      </c>
      <c r="V126" s="560">
        <v>16.652425000000001</v>
      </c>
      <c r="W126" s="560">
        <v>2.1096240000000002</v>
      </c>
      <c r="X126" s="560">
        <v>0</v>
      </c>
      <c r="Y126" s="560">
        <v>79.026831000000001</v>
      </c>
      <c r="Z126" s="560">
        <v>414.54966899999999</v>
      </c>
      <c r="AA126" s="560">
        <v>44025.470029999997</v>
      </c>
      <c r="AB126" s="560">
        <v>44848.371438000002</v>
      </c>
      <c r="AC126" s="560">
        <v>25943.051546999999</v>
      </c>
      <c r="AD126" s="560">
        <v>19349.699976</v>
      </c>
      <c r="AE126" s="560">
        <v>650.43966399999999</v>
      </c>
      <c r="AF126" s="560">
        <v>20210.651377999999</v>
      </c>
      <c r="AG126" s="560">
        <v>20997.731544999999</v>
      </c>
      <c r="AH126" s="560">
        <v>5294.5262350000003</v>
      </c>
      <c r="AI126" s="560">
        <v>0</v>
      </c>
      <c r="AJ126" s="560">
        <v>831.85228600000005</v>
      </c>
      <c r="AK126" s="560">
        <v>0</v>
      </c>
      <c r="AL126" s="560">
        <v>200.75</v>
      </c>
      <c r="AM126" s="560">
        <v>0</v>
      </c>
      <c r="AN126" s="560">
        <v>0</v>
      </c>
      <c r="AO126" s="560">
        <v>0</v>
      </c>
      <c r="AP126" s="560">
        <v>0</v>
      </c>
      <c r="AQ126" s="560" t="s">
        <v>843</v>
      </c>
      <c r="AR126" s="560" t="s">
        <v>1733</v>
      </c>
      <c r="AS126" s="560">
        <v>0</v>
      </c>
      <c r="AT126" s="560">
        <v>0</v>
      </c>
      <c r="AU126" s="560">
        <v>0</v>
      </c>
      <c r="AV126" s="560">
        <v>69</v>
      </c>
      <c r="AW126" s="560">
        <v>64</v>
      </c>
      <c r="AX126" s="560">
        <v>74</v>
      </c>
      <c r="AY126" s="560">
        <v>78</v>
      </c>
      <c r="AZ126" s="560">
        <v>1</v>
      </c>
      <c r="BA126" s="560">
        <v>2522</v>
      </c>
      <c r="BB126" s="560">
        <v>0</v>
      </c>
      <c r="BC126" s="560">
        <v>0.5</v>
      </c>
      <c r="BD126" s="560">
        <v>0</v>
      </c>
      <c r="BE126" s="560" t="s">
        <v>1798</v>
      </c>
      <c r="BF126" s="560">
        <v>2.5</v>
      </c>
      <c r="BG126" s="560">
        <v>17.399999999999999</v>
      </c>
      <c r="BH126" s="560">
        <v>1</v>
      </c>
      <c r="BI126" s="560">
        <v>2</v>
      </c>
      <c r="BJ126" s="560">
        <v>35</v>
      </c>
      <c r="BK126" s="560">
        <v>0</v>
      </c>
      <c r="BL126" s="560" t="s">
        <v>1747</v>
      </c>
      <c r="BM126" s="560">
        <v>3.0000000000000001E-3</v>
      </c>
      <c r="BN126" s="560">
        <v>15</v>
      </c>
      <c r="BO126" s="560">
        <v>4.5</v>
      </c>
      <c r="BP126" s="560" t="s">
        <v>1747</v>
      </c>
      <c r="BQ126" s="560">
        <v>5.0000000000000001E-3</v>
      </c>
      <c r="BR126" s="560">
        <v>40</v>
      </c>
      <c r="BS126" s="560">
        <v>4.9000000000000004</v>
      </c>
      <c r="BT126" s="560">
        <v>2688</v>
      </c>
      <c r="BU126" s="560">
        <v>22848</v>
      </c>
      <c r="BV126" s="560">
        <v>0</v>
      </c>
      <c r="BW126" s="560">
        <v>26.8</v>
      </c>
      <c r="BX126" s="560">
        <v>1480</v>
      </c>
      <c r="BY126" s="560">
        <v>11.4</v>
      </c>
      <c r="BZ126" s="560">
        <v>1344</v>
      </c>
      <c r="CA126" s="560">
        <v>35</v>
      </c>
      <c r="CB126" s="560">
        <v>0.85</v>
      </c>
      <c r="CC126" s="560">
        <v>94</v>
      </c>
      <c r="CD126" s="560">
        <v>94</v>
      </c>
      <c r="CE126" s="560">
        <v>94</v>
      </c>
      <c r="CF126" s="560">
        <v>94</v>
      </c>
      <c r="CG126" s="560">
        <v>0.29299999999999998</v>
      </c>
      <c r="CH126" s="560">
        <v>0.3</v>
      </c>
      <c r="CI126" s="560">
        <v>0.54</v>
      </c>
      <c r="CJ126" s="560">
        <v>40</v>
      </c>
      <c r="CK126" s="560">
        <v>5</v>
      </c>
      <c r="CL126" s="560">
        <v>4</v>
      </c>
      <c r="CM126" s="562">
        <v>1344</v>
      </c>
      <c r="CN126" s="562">
        <v>148</v>
      </c>
      <c r="CO126" s="562">
        <v>26.8</v>
      </c>
      <c r="CP126" s="562">
        <v>0</v>
      </c>
      <c r="CQ126" s="562">
        <v>0</v>
      </c>
      <c r="CR126" s="562" t="s">
        <v>1718</v>
      </c>
      <c r="CS126" s="562">
        <v>0</v>
      </c>
      <c r="CT126" s="562">
        <v>0</v>
      </c>
      <c r="CU126" s="562">
        <v>0.75</v>
      </c>
      <c r="CV126" s="562">
        <v>0.5</v>
      </c>
      <c r="CW126" s="562">
        <v>17.856999999999999</v>
      </c>
      <c r="CX126" s="562">
        <v>6.5</v>
      </c>
      <c r="CY126" s="562">
        <v>17.856999999999999</v>
      </c>
      <c r="CZ126" s="560">
        <v>2665.6</v>
      </c>
      <c r="DA126" s="560">
        <v>17</v>
      </c>
      <c r="DB126" s="560" t="s">
        <v>1719</v>
      </c>
      <c r="DC126" s="560">
        <v>50</v>
      </c>
      <c r="DD126" s="560">
        <v>4</v>
      </c>
      <c r="DE126" s="560" t="s">
        <v>1720</v>
      </c>
      <c r="DF126" s="560">
        <v>5</v>
      </c>
      <c r="DG126" s="560">
        <v>0</v>
      </c>
      <c r="DH126" s="560">
        <v>4.5</v>
      </c>
      <c r="DI126" s="560">
        <v>4.5</v>
      </c>
      <c r="DJ126" s="560">
        <v>0</v>
      </c>
      <c r="DK126" s="560">
        <v>0</v>
      </c>
      <c r="DL126" s="560">
        <v>0</v>
      </c>
      <c r="DM126" s="560">
        <v>0</v>
      </c>
      <c r="DN126" s="560">
        <v>0</v>
      </c>
      <c r="DO126" s="560">
        <v>0</v>
      </c>
    </row>
    <row r="127" spans="1:119">
      <c r="A127" s="560" t="s">
        <v>844</v>
      </c>
      <c r="B127" s="560" t="s">
        <v>1713</v>
      </c>
      <c r="C127" s="560" t="s">
        <v>794</v>
      </c>
      <c r="D127" s="560">
        <v>3</v>
      </c>
      <c r="E127" s="560">
        <v>438.548675</v>
      </c>
      <c r="F127" s="560">
        <v>56.615513999999997</v>
      </c>
      <c r="G127" s="560">
        <v>7927.5</v>
      </c>
      <c r="H127" s="560">
        <v>139.9665</v>
      </c>
      <c r="I127" s="560">
        <v>0.90101900000000001</v>
      </c>
      <c r="J127" s="560">
        <v>0.27953</v>
      </c>
      <c r="K127" s="560">
        <v>0.29577700000000001</v>
      </c>
      <c r="L127" s="560">
        <v>0.44073499999999999</v>
      </c>
      <c r="M127" s="560">
        <v>17409.734648000001</v>
      </c>
      <c r="N127" s="560">
        <v>17695.624988</v>
      </c>
      <c r="O127" s="560">
        <v>5016.9458880000002</v>
      </c>
      <c r="P127" s="560">
        <v>341.69007599999998</v>
      </c>
      <c r="Q127" s="560">
        <v>420.13000299999999</v>
      </c>
      <c r="R127" s="560">
        <v>2203.8686299999999</v>
      </c>
      <c r="S127" s="560">
        <v>887.16152299999999</v>
      </c>
      <c r="T127" s="560">
        <v>1053.9825679999999</v>
      </c>
      <c r="U127" s="560">
        <v>254.22847300000001</v>
      </c>
      <c r="V127" s="560">
        <v>35.495122000000002</v>
      </c>
      <c r="W127" s="560">
        <v>14.074040999999999</v>
      </c>
      <c r="X127" s="560">
        <v>0</v>
      </c>
      <c r="Y127" s="560">
        <v>24.521165</v>
      </c>
      <c r="Z127" s="560">
        <v>128.63024799999999</v>
      </c>
      <c r="AA127" s="560">
        <v>46175.517331000003</v>
      </c>
      <c r="AB127" s="560">
        <v>46954.686759999997</v>
      </c>
      <c r="AC127" s="560">
        <v>31024.574789999999</v>
      </c>
      <c r="AD127" s="560">
        <v>24547.720654000001</v>
      </c>
      <c r="AE127" s="560">
        <v>650.43966399999999</v>
      </c>
      <c r="AF127" s="560">
        <v>12739.612761</v>
      </c>
      <c r="AG127" s="560">
        <v>13710.578315999999</v>
      </c>
      <c r="AH127" s="560">
        <v>3362.1677989999998</v>
      </c>
      <c r="AI127" s="560">
        <v>0</v>
      </c>
      <c r="AJ127" s="560">
        <v>880.41878799999995</v>
      </c>
      <c r="AK127" s="560">
        <v>0</v>
      </c>
      <c r="AL127" s="560">
        <v>200.75</v>
      </c>
      <c r="AM127" s="560">
        <v>0</v>
      </c>
      <c r="AN127" s="560">
        <v>0</v>
      </c>
      <c r="AO127" s="560">
        <v>0</v>
      </c>
      <c r="AP127" s="560">
        <v>0</v>
      </c>
      <c r="AQ127" s="560" t="s">
        <v>844</v>
      </c>
      <c r="AR127" s="560" t="s">
        <v>1738</v>
      </c>
      <c r="AS127" s="560">
        <v>0</v>
      </c>
      <c r="AT127" s="560">
        <v>0</v>
      </c>
      <c r="AU127" s="560">
        <v>0</v>
      </c>
      <c r="AV127" s="560">
        <v>69</v>
      </c>
      <c r="AW127" s="560">
        <v>64</v>
      </c>
      <c r="AX127" s="560">
        <v>74</v>
      </c>
      <c r="AY127" s="560">
        <v>78</v>
      </c>
      <c r="AZ127" s="560">
        <v>1</v>
      </c>
      <c r="BA127" s="560">
        <v>2522</v>
      </c>
      <c r="BB127" s="560">
        <v>0</v>
      </c>
      <c r="BC127" s="560">
        <v>0.5</v>
      </c>
      <c r="BD127" s="560">
        <v>0</v>
      </c>
      <c r="BE127" s="560" t="s">
        <v>1798</v>
      </c>
      <c r="BF127" s="560">
        <v>2.5</v>
      </c>
      <c r="BG127" s="560">
        <v>17.399999999999999</v>
      </c>
      <c r="BH127" s="560">
        <v>1</v>
      </c>
      <c r="BI127" s="560">
        <v>2</v>
      </c>
      <c r="BJ127" s="560">
        <v>35</v>
      </c>
      <c r="BK127" s="560">
        <v>0</v>
      </c>
      <c r="BL127" s="560" t="s">
        <v>1747</v>
      </c>
      <c r="BM127" s="560">
        <v>3.0000000000000001E-3</v>
      </c>
      <c r="BN127" s="560">
        <v>15</v>
      </c>
      <c r="BO127" s="560">
        <v>6</v>
      </c>
      <c r="BP127" s="560" t="s">
        <v>1747</v>
      </c>
      <c r="BQ127" s="560">
        <v>5.0000000000000001E-3</v>
      </c>
      <c r="BR127" s="560">
        <v>40</v>
      </c>
      <c r="BS127" s="560">
        <v>6</v>
      </c>
      <c r="BT127" s="560">
        <v>2688</v>
      </c>
      <c r="BU127" s="560">
        <v>22848</v>
      </c>
      <c r="BV127" s="560">
        <v>0</v>
      </c>
      <c r="BW127" s="560">
        <v>30.609376350000002</v>
      </c>
      <c r="BX127" s="560">
        <v>1480</v>
      </c>
      <c r="BY127" s="560">
        <v>17.543859650000002</v>
      </c>
      <c r="BZ127" s="560">
        <v>1344</v>
      </c>
      <c r="CA127" s="560">
        <v>37.664196859999997</v>
      </c>
      <c r="CB127" s="560">
        <v>0.85</v>
      </c>
      <c r="CC127" s="560">
        <v>94</v>
      </c>
      <c r="CD127" s="560">
        <v>94</v>
      </c>
      <c r="CE127" s="560">
        <v>94</v>
      </c>
      <c r="CF127" s="560">
        <v>94</v>
      </c>
      <c r="CG127" s="560">
        <v>0.29299999999999998</v>
      </c>
      <c r="CH127" s="560">
        <v>0.3</v>
      </c>
      <c r="CI127" s="560">
        <v>0.54</v>
      </c>
      <c r="CJ127" s="560">
        <v>40</v>
      </c>
      <c r="CK127" s="560">
        <v>5</v>
      </c>
      <c r="CL127" s="560">
        <v>4</v>
      </c>
      <c r="CM127" s="562">
        <v>1344</v>
      </c>
      <c r="CN127" s="562">
        <v>148</v>
      </c>
      <c r="CO127" s="562">
        <v>30.609376350000002</v>
      </c>
      <c r="CP127" s="562">
        <v>0</v>
      </c>
      <c r="CQ127" s="562">
        <v>0</v>
      </c>
      <c r="CR127" s="562" t="s">
        <v>1718</v>
      </c>
      <c r="CS127" s="562">
        <v>0</v>
      </c>
      <c r="CT127" s="562">
        <v>0</v>
      </c>
      <c r="CU127" s="562">
        <v>0.75</v>
      </c>
      <c r="CV127" s="562">
        <v>0.5</v>
      </c>
      <c r="CW127" s="562">
        <v>17.856999999999999</v>
      </c>
      <c r="CX127" s="562">
        <v>6.5</v>
      </c>
      <c r="CY127" s="562">
        <v>17.856999999999999</v>
      </c>
      <c r="CZ127" s="560">
        <v>2665.6</v>
      </c>
      <c r="DA127" s="560">
        <v>17</v>
      </c>
      <c r="DB127" s="560" t="s">
        <v>1719</v>
      </c>
      <c r="DC127" s="560">
        <v>50</v>
      </c>
      <c r="DD127" s="560">
        <v>4</v>
      </c>
      <c r="DE127" s="560" t="s">
        <v>1720</v>
      </c>
      <c r="DF127" s="560">
        <v>5</v>
      </c>
      <c r="DG127" s="560">
        <v>0</v>
      </c>
      <c r="DH127" s="560">
        <v>4.5</v>
      </c>
      <c r="DI127" s="560">
        <v>4.5</v>
      </c>
      <c r="DJ127" s="560">
        <v>0</v>
      </c>
      <c r="DK127" s="560">
        <v>0</v>
      </c>
      <c r="DL127" s="560">
        <v>0</v>
      </c>
      <c r="DM127" s="560">
        <v>0</v>
      </c>
      <c r="DN127" s="560">
        <v>0</v>
      </c>
      <c r="DO127" s="560">
        <v>0</v>
      </c>
    </row>
    <row r="128" spans="1:119">
      <c r="A128" s="560" t="s">
        <v>845</v>
      </c>
      <c r="B128" s="560" t="s">
        <v>1713</v>
      </c>
      <c r="C128" s="560" t="s">
        <v>797</v>
      </c>
      <c r="D128" s="560">
        <v>3</v>
      </c>
      <c r="E128" s="560">
        <v>438.548675</v>
      </c>
      <c r="F128" s="560">
        <v>56.615513999999997</v>
      </c>
      <c r="G128" s="560">
        <v>7927.5</v>
      </c>
      <c r="H128" s="560">
        <v>391.60199999999998</v>
      </c>
      <c r="I128" s="560">
        <v>0.90101900000000001</v>
      </c>
      <c r="J128" s="560">
        <v>0.27953</v>
      </c>
      <c r="K128" s="560">
        <v>0.29577700000000001</v>
      </c>
      <c r="L128" s="560">
        <v>0.44073499999999999</v>
      </c>
      <c r="M128" s="560">
        <v>17409.734648000001</v>
      </c>
      <c r="N128" s="560">
        <v>17695.624988</v>
      </c>
      <c r="O128" s="560">
        <v>5016.9458880000002</v>
      </c>
      <c r="P128" s="560">
        <v>341.69007599999998</v>
      </c>
      <c r="Q128" s="560">
        <v>420.13000299999999</v>
      </c>
      <c r="R128" s="560">
        <v>2203.8686299999999</v>
      </c>
      <c r="S128" s="560">
        <v>1789.150866</v>
      </c>
      <c r="T128" s="560">
        <v>1977.6203129999999</v>
      </c>
      <c r="U128" s="560">
        <v>475.210576</v>
      </c>
      <c r="V128" s="560">
        <v>35.169778999999998</v>
      </c>
      <c r="W128" s="560">
        <v>7.4627800000000004</v>
      </c>
      <c r="X128" s="560">
        <v>0</v>
      </c>
      <c r="Y128" s="560">
        <v>46.750093</v>
      </c>
      <c r="Z128" s="560">
        <v>245.23614599999999</v>
      </c>
      <c r="AA128" s="560">
        <v>46175.517331000003</v>
      </c>
      <c r="AB128" s="560">
        <v>46954.686759999997</v>
      </c>
      <c r="AC128" s="560">
        <v>31024.574789999999</v>
      </c>
      <c r="AD128" s="560">
        <v>24547.720654000001</v>
      </c>
      <c r="AE128" s="560">
        <v>650.43966399999999</v>
      </c>
      <c r="AF128" s="560">
        <v>17251.739173000002</v>
      </c>
      <c r="AG128" s="560">
        <v>18665.266070000001</v>
      </c>
      <c r="AH128" s="560">
        <v>4518.8453980000004</v>
      </c>
      <c r="AI128" s="560">
        <v>0</v>
      </c>
      <c r="AJ128" s="560">
        <v>880.41878799999995</v>
      </c>
      <c r="AK128" s="560">
        <v>0</v>
      </c>
      <c r="AL128" s="560">
        <v>200.75</v>
      </c>
      <c r="AM128" s="560">
        <v>0</v>
      </c>
      <c r="AN128" s="560">
        <v>0</v>
      </c>
      <c r="AO128" s="560">
        <v>0</v>
      </c>
      <c r="AP128" s="560">
        <v>0</v>
      </c>
      <c r="AQ128" s="560" t="s">
        <v>845</v>
      </c>
      <c r="AR128" s="560" t="s">
        <v>1740</v>
      </c>
      <c r="AS128" s="560">
        <v>0</v>
      </c>
      <c r="AT128" s="560">
        <v>0</v>
      </c>
      <c r="AU128" s="560">
        <v>0</v>
      </c>
      <c r="AV128" s="560">
        <v>69</v>
      </c>
      <c r="AW128" s="560">
        <v>64</v>
      </c>
      <c r="AX128" s="560">
        <v>74</v>
      </c>
      <c r="AY128" s="560">
        <v>78</v>
      </c>
      <c r="AZ128" s="560">
        <v>1</v>
      </c>
      <c r="BA128" s="560">
        <v>2522</v>
      </c>
      <c r="BB128" s="560">
        <v>0</v>
      </c>
      <c r="BC128" s="560">
        <v>0.5</v>
      </c>
      <c r="BD128" s="560">
        <v>0</v>
      </c>
      <c r="BE128" s="560" t="s">
        <v>1798</v>
      </c>
      <c r="BF128" s="560">
        <v>2.5</v>
      </c>
      <c r="BG128" s="560">
        <v>17.399999999999999</v>
      </c>
      <c r="BH128" s="560">
        <v>1</v>
      </c>
      <c r="BI128" s="560">
        <v>2</v>
      </c>
      <c r="BJ128" s="560">
        <v>35</v>
      </c>
      <c r="BK128" s="560">
        <v>0</v>
      </c>
      <c r="BL128" s="560" t="s">
        <v>1747</v>
      </c>
      <c r="BM128" s="560">
        <v>3.0000000000000001E-3</v>
      </c>
      <c r="BN128" s="560">
        <v>15</v>
      </c>
      <c r="BO128" s="560">
        <v>6</v>
      </c>
      <c r="BP128" s="560" t="s">
        <v>1747</v>
      </c>
      <c r="BQ128" s="560">
        <v>5.0000000000000001E-3</v>
      </c>
      <c r="BR128" s="560">
        <v>40</v>
      </c>
      <c r="BS128" s="560">
        <v>6</v>
      </c>
      <c r="BT128" s="560">
        <v>2688</v>
      </c>
      <c r="BU128" s="560">
        <v>22848</v>
      </c>
      <c r="BV128" s="560">
        <v>0</v>
      </c>
      <c r="BW128" s="560">
        <v>30.609376350000002</v>
      </c>
      <c r="BX128" s="560">
        <v>1480</v>
      </c>
      <c r="BY128" s="560">
        <v>17.543859650000002</v>
      </c>
      <c r="BZ128" s="560">
        <v>1344</v>
      </c>
      <c r="CA128" s="560">
        <v>37.664196859999997</v>
      </c>
      <c r="CB128" s="560">
        <v>0.85</v>
      </c>
      <c r="CC128" s="560">
        <v>94</v>
      </c>
      <c r="CD128" s="560">
        <v>94</v>
      </c>
      <c r="CE128" s="560">
        <v>94</v>
      </c>
      <c r="CF128" s="560">
        <v>94</v>
      </c>
      <c r="CG128" s="560">
        <v>0.29299999999999998</v>
      </c>
      <c r="CH128" s="560">
        <v>0.3</v>
      </c>
      <c r="CI128" s="560">
        <v>0.54</v>
      </c>
      <c r="CJ128" s="560">
        <v>40</v>
      </c>
      <c r="CK128" s="560">
        <v>5</v>
      </c>
      <c r="CL128" s="560">
        <v>4</v>
      </c>
      <c r="CM128" s="562">
        <v>1344</v>
      </c>
      <c r="CN128" s="562">
        <v>148</v>
      </c>
      <c r="CO128" s="562">
        <v>30.609376350000002</v>
      </c>
      <c r="CP128" s="562">
        <v>0</v>
      </c>
      <c r="CQ128" s="562">
        <v>0</v>
      </c>
      <c r="CR128" s="562" t="s">
        <v>1718</v>
      </c>
      <c r="CS128" s="562">
        <v>0</v>
      </c>
      <c r="CT128" s="562">
        <v>0</v>
      </c>
      <c r="CU128" s="562">
        <v>0.75</v>
      </c>
      <c r="CV128" s="562">
        <v>0.5</v>
      </c>
      <c r="CW128" s="562">
        <v>17.856999999999999</v>
      </c>
      <c r="CX128" s="562">
        <v>6.5</v>
      </c>
      <c r="CY128" s="562">
        <v>17.856999999999999</v>
      </c>
      <c r="CZ128" s="560">
        <v>2665.6</v>
      </c>
      <c r="DA128" s="560">
        <v>17</v>
      </c>
      <c r="DB128" s="560" t="s">
        <v>1719</v>
      </c>
      <c r="DC128" s="560">
        <v>50</v>
      </c>
      <c r="DD128" s="560">
        <v>4</v>
      </c>
      <c r="DE128" s="560" t="s">
        <v>1720</v>
      </c>
      <c r="DF128" s="560">
        <v>5</v>
      </c>
      <c r="DG128" s="560">
        <v>0</v>
      </c>
      <c r="DH128" s="560">
        <v>4.5</v>
      </c>
      <c r="DI128" s="560">
        <v>4.5</v>
      </c>
      <c r="DJ128" s="560">
        <v>0</v>
      </c>
      <c r="DK128" s="560">
        <v>0</v>
      </c>
      <c r="DL128" s="560">
        <v>0</v>
      </c>
      <c r="DM128" s="560">
        <v>0</v>
      </c>
      <c r="DN128" s="560">
        <v>0</v>
      </c>
      <c r="DO128" s="560">
        <v>0</v>
      </c>
    </row>
    <row r="129" spans="1:119">
      <c r="A129" s="560" t="s">
        <v>846</v>
      </c>
      <c r="B129" s="560" t="s">
        <v>1713</v>
      </c>
      <c r="C129" s="560" t="s">
        <v>800</v>
      </c>
      <c r="D129" s="560">
        <v>3</v>
      </c>
      <c r="E129" s="560">
        <v>438.548675</v>
      </c>
      <c r="F129" s="560">
        <v>56.615513999999997</v>
      </c>
      <c r="G129" s="560">
        <v>7927.5</v>
      </c>
      <c r="H129" s="560">
        <v>755.94</v>
      </c>
      <c r="I129" s="560">
        <v>0.90101900000000001</v>
      </c>
      <c r="J129" s="560">
        <v>0.27953</v>
      </c>
      <c r="K129" s="560">
        <v>0.29577700000000001</v>
      </c>
      <c r="L129" s="560">
        <v>0.44073499999999999</v>
      </c>
      <c r="M129" s="560">
        <v>17409.734648000001</v>
      </c>
      <c r="N129" s="560">
        <v>17695.624988</v>
      </c>
      <c r="O129" s="560">
        <v>5016.9458880000002</v>
      </c>
      <c r="P129" s="560">
        <v>341.69007599999998</v>
      </c>
      <c r="Q129" s="560">
        <v>420.13000299999999</v>
      </c>
      <c r="R129" s="560">
        <v>2203.8686299999999</v>
      </c>
      <c r="S129" s="560">
        <v>3032.3737809999998</v>
      </c>
      <c r="T129" s="560">
        <v>3175.407389</v>
      </c>
      <c r="U129" s="560">
        <v>765.58667300000002</v>
      </c>
      <c r="V129" s="560">
        <v>17.372274000000001</v>
      </c>
      <c r="W129" s="560">
        <v>2.269145</v>
      </c>
      <c r="X129" s="560">
        <v>0</v>
      </c>
      <c r="Y129" s="560">
        <v>76.391006000000004</v>
      </c>
      <c r="Z129" s="560">
        <v>400.72296499999999</v>
      </c>
      <c r="AA129" s="560">
        <v>46175.517331000003</v>
      </c>
      <c r="AB129" s="560">
        <v>46954.686759999997</v>
      </c>
      <c r="AC129" s="560">
        <v>31024.574789999999</v>
      </c>
      <c r="AD129" s="560">
        <v>24547.720654000001</v>
      </c>
      <c r="AE129" s="560">
        <v>650.43966399999999</v>
      </c>
      <c r="AF129" s="560">
        <v>19227.492760000001</v>
      </c>
      <c r="AG129" s="560">
        <v>19868.275678000002</v>
      </c>
      <c r="AH129" s="560">
        <v>5034.0605029999997</v>
      </c>
      <c r="AI129" s="560">
        <v>0</v>
      </c>
      <c r="AJ129" s="560">
        <v>880.41878799999995</v>
      </c>
      <c r="AK129" s="560">
        <v>0</v>
      </c>
      <c r="AL129" s="560">
        <v>200.75</v>
      </c>
      <c r="AM129" s="560">
        <v>0</v>
      </c>
      <c r="AN129" s="560">
        <v>0</v>
      </c>
      <c r="AO129" s="560">
        <v>0</v>
      </c>
      <c r="AP129" s="560">
        <v>0</v>
      </c>
      <c r="AQ129" s="560" t="s">
        <v>846</v>
      </c>
      <c r="AR129" s="560" t="s">
        <v>1742</v>
      </c>
      <c r="AS129" s="560">
        <v>0</v>
      </c>
      <c r="AT129" s="560">
        <v>0</v>
      </c>
      <c r="AU129" s="560">
        <v>0</v>
      </c>
      <c r="AV129" s="560">
        <v>69</v>
      </c>
      <c r="AW129" s="560">
        <v>64</v>
      </c>
      <c r="AX129" s="560">
        <v>74</v>
      </c>
      <c r="AY129" s="560">
        <v>78</v>
      </c>
      <c r="AZ129" s="560">
        <v>1</v>
      </c>
      <c r="BA129" s="560">
        <v>2522</v>
      </c>
      <c r="BB129" s="560">
        <v>0</v>
      </c>
      <c r="BC129" s="560">
        <v>0.5</v>
      </c>
      <c r="BD129" s="560">
        <v>0</v>
      </c>
      <c r="BE129" s="560" t="s">
        <v>1798</v>
      </c>
      <c r="BF129" s="560">
        <v>2.5</v>
      </c>
      <c r="BG129" s="560">
        <v>17.399999999999999</v>
      </c>
      <c r="BH129" s="560">
        <v>1</v>
      </c>
      <c r="BI129" s="560">
        <v>2</v>
      </c>
      <c r="BJ129" s="560">
        <v>35</v>
      </c>
      <c r="BK129" s="560">
        <v>0</v>
      </c>
      <c r="BL129" s="560" t="s">
        <v>1747</v>
      </c>
      <c r="BM129" s="560">
        <v>3.0000000000000001E-3</v>
      </c>
      <c r="BN129" s="560">
        <v>15</v>
      </c>
      <c r="BO129" s="560">
        <v>6</v>
      </c>
      <c r="BP129" s="560" t="s">
        <v>1747</v>
      </c>
      <c r="BQ129" s="560">
        <v>5.0000000000000001E-3</v>
      </c>
      <c r="BR129" s="560">
        <v>40</v>
      </c>
      <c r="BS129" s="560">
        <v>6</v>
      </c>
      <c r="BT129" s="560">
        <v>2688</v>
      </c>
      <c r="BU129" s="560">
        <v>22848</v>
      </c>
      <c r="BV129" s="560">
        <v>0</v>
      </c>
      <c r="BW129" s="560">
        <v>30.609376350000002</v>
      </c>
      <c r="BX129" s="560">
        <v>1480</v>
      </c>
      <c r="BY129" s="560">
        <v>17.543859650000002</v>
      </c>
      <c r="BZ129" s="560">
        <v>1344</v>
      </c>
      <c r="CA129" s="560">
        <v>37.664196859999997</v>
      </c>
      <c r="CB129" s="560">
        <v>0.85</v>
      </c>
      <c r="CC129" s="560">
        <v>94</v>
      </c>
      <c r="CD129" s="560">
        <v>94</v>
      </c>
      <c r="CE129" s="560">
        <v>94</v>
      </c>
      <c r="CF129" s="560">
        <v>94</v>
      </c>
      <c r="CG129" s="560">
        <v>0.29299999999999998</v>
      </c>
      <c r="CH129" s="560">
        <v>0.3</v>
      </c>
      <c r="CI129" s="560">
        <v>0.54</v>
      </c>
      <c r="CJ129" s="560">
        <v>40</v>
      </c>
      <c r="CK129" s="560">
        <v>5</v>
      </c>
      <c r="CL129" s="560">
        <v>4</v>
      </c>
      <c r="CM129" s="562">
        <v>1344</v>
      </c>
      <c r="CN129" s="562">
        <v>148</v>
      </c>
      <c r="CO129" s="562">
        <v>30.609376350000002</v>
      </c>
      <c r="CP129" s="562">
        <v>0</v>
      </c>
      <c r="CQ129" s="562">
        <v>0</v>
      </c>
      <c r="CR129" s="562" t="s">
        <v>1718</v>
      </c>
      <c r="CS129" s="562">
        <v>0</v>
      </c>
      <c r="CT129" s="562">
        <v>0</v>
      </c>
      <c r="CU129" s="562">
        <v>0.75</v>
      </c>
      <c r="CV129" s="562">
        <v>0.5</v>
      </c>
      <c r="CW129" s="562">
        <v>17.856999999999999</v>
      </c>
      <c r="CX129" s="562">
        <v>6.5</v>
      </c>
      <c r="CY129" s="562">
        <v>17.856999999999999</v>
      </c>
      <c r="CZ129" s="560">
        <v>2665.6</v>
      </c>
      <c r="DA129" s="560">
        <v>17</v>
      </c>
      <c r="DB129" s="560" t="s">
        <v>1719</v>
      </c>
      <c r="DC129" s="560">
        <v>50</v>
      </c>
      <c r="DD129" s="560">
        <v>4</v>
      </c>
      <c r="DE129" s="560" t="s">
        <v>1720</v>
      </c>
      <c r="DF129" s="560">
        <v>5</v>
      </c>
      <c r="DG129" s="560">
        <v>0</v>
      </c>
      <c r="DH129" s="560">
        <v>4.5</v>
      </c>
      <c r="DI129" s="560">
        <v>4.5</v>
      </c>
      <c r="DJ129" s="560">
        <v>0</v>
      </c>
      <c r="DK129" s="560">
        <v>0</v>
      </c>
      <c r="DL129" s="560">
        <v>0</v>
      </c>
      <c r="DM129" s="560">
        <v>0</v>
      </c>
      <c r="DN129" s="560">
        <v>0</v>
      </c>
      <c r="DO129" s="560">
        <v>0</v>
      </c>
    </row>
    <row r="130" spans="1:119">
      <c r="A130" s="560" t="s">
        <v>847</v>
      </c>
      <c r="B130" s="560" t="s">
        <v>1713</v>
      </c>
      <c r="C130" s="560" t="s">
        <v>794</v>
      </c>
      <c r="D130" s="560">
        <v>3</v>
      </c>
      <c r="E130" s="560">
        <v>472.45068199999997</v>
      </c>
      <c r="F130" s="560">
        <v>57.125464000000001</v>
      </c>
      <c r="G130" s="560">
        <v>7927.5</v>
      </c>
      <c r="H130" s="560">
        <v>139.9665</v>
      </c>
      <c r="I130" s="560">
        <v>0.90101900000000001</v>
      </c>
      <c r="J130" s="560">
        <v>0.27931099999999998</v>
      </c>
      <c r="K130" s="560">
        <v>0.29224699999999998</v>
      </c>
      <c r="L130" s="560">
        <v>0.44106099999999998</v>
      </c>
      <c r="M130" s="560">
        <v>19139.973338</v>
      </c>
      <c r="N130" s="560">
        <v>19500.822790999999</v>
      </c>
      <c r="O130" s="560">
        <v>5568.6017439999996</v>
      </c>
      <c r="P130" s="560">
        <v>471.69656400000002</v>
      </c>
      <c r="Q130" s="560">
        <v>459.55911300000002</v>
      </c>
      <c r="R130" s="560">
        <v>2410.701223</v>
      </c>
      <c r="S130" s="560">
        <v>891.15635999999995</v>
      </c>
      <c r="T130" s="560">
        <v>1055.33043</v>
      </c>
      <c r="U130" s="560">
        <v>254.07849400000001</v>
      </c>
      <c r="V130" s="560">
        <v>33.983457000000001</v>
      </c>
      <c r="W130" s="560">
        <v>13.522036999999999</v>
      </c>
      <c r="X130" s="560">
        <v>0</v>
      </c>
      <c r="Y130" s="560">
        <v>24.570530999999999</v>
      </c>
      <c r="Z130" s="560">
        <v>128.88920400000001</v>
      </c>
      <c r="AA130" s="560">
        <v>47762.359256000003</v>
      </c>
      <c r="AB130" s="560">
        <v>48657.900613999998</v>
      </c>
      <c r="AC130" s="560">
        <v>32756.795241</v>
      </c>
      <c r="AD130" s="560">
        <v>26283.714725999998</v>
      </c>
      <c r="AE130" s="560">
        <v>650.43966399999999</v>
      </c>
      <c r="AF130" s="560">
        <v>13390.046834999999</v>
      </c>
      <c r="AG130" s="560">
        <v>14409.687624</v>
      </c>
      <c r="AH130" s="560">
        <v>3524.9305789999999</v>
      </c>
      <c r="AI130" s="560">
        <v>0</v>
      </c>
      <c r="AJ130" s="560">
        <v>959.66200400000002</v>
      </c>
      <c r="AK130" s="560">
        <v>0</v>
      </c>
      <c r="AL130" s="560">
        <v>200.75</v>
      </c>
      <c r="AM130" s="560">
        <v>0</v>
      </c>
      <c r="AN130" s="560">
        <v>0</v>
      </c>
      <c r="AO130" s="560">
        <v>0</v>
      </c>
      <c r="AP130" s="560">
        <v>0</v>
      </c>
      <c r="AQ130" s="560" t="s">
        <v>847</v>
      </c>
      <c r="AR130" s="560" t="s">
        <v>1738</v>
      </c>
      <c r="AS130" s="560">
        <v>0</v>
      </c>
      <c r="AT130" s="560">
        <v>0</v>
      </c>
      <c r="AU130" s="560">
        <v>0</v>
      </c>
      <c r="AV130" s="560">
        <v>69</v>
      </c>
      <c r="AW130" s="560">
        <v>64</v>
      </c>
      <c r="AX130" s="560">
        <v>74</v>
      </c>
      <c r="AY130" s="560">
        <v>78</v>
      </c>
      <c r="AZ130" s="560">
        <v>1</v>
      </c>
      <c r="BA130" s="560">
        <v>2522</v>
      </c>
      <c r="BB130" s="560">
        <v>0</v>
      </c>
      <c r="BC130" s="560">
        <v>0.5</v>
      </c>
      <c r="BD130" s="560">
        <v>0</v>
      </c>
      <c r="BE130" s="560" t="s">
        <v>1798</v>
      </c>
      <c r="BF130" s="560">
        <v>2.5</v>
      </c>
      <c r="BG130" s="560">
        <v>17.399999999999999</v>
      </c>
      <c r="BH130" s="560">
        <v>1</v>
      </c>
      <c r="BI130" s="560">
        <v>2</v>
      </c>
      <c r="BJ130" s="560">
        <v>35</v>
      </c>
      <c r="BK130" s="560">
        <v>0</v>
      </c>
      <c r="BL130" s="560" t="s">
        <v>1747</v>
      </c>
      <c r="BM130" s="560">
        <v>3.0000000000000001E-3</v>
      </c>
      <c r="BN130" s="560">
        <v>15</v>
      </c>
      <c r="BO130" s="560">
        <v>4.5</v>
      </c>
      <c r="BP130" s="560" t="s">
        <v>1747</v>
      </c>
      <c r="BQ130" s="560">
        <v>5.0000000000000001E-3</v>
      </c>
      <c r="BR130" s="560">
        <v>40</v>
      </c>
      <c r="BS130" s="560">
        <v>4.9000000000000004</v>
      </c>
      <c r="BT130" s="560">
        <v>2688</v>
      </c>
      <c r="BU130" s="560">
        <v>22848</v>
      </c>
      <c r="BV130" s="560">
        <v>0</v>
      </c>
      <c r="BW130" s="560">
        <v>26.8</v>
      </c>
      <c r="BX130" s="560">
        <v>1480</v>
      </c>
      <c r="BY130" s="560">
        <v>11.4</v>
      </c>
      <c r="BZ130" s="560">
        <v>1344</v>
      </c>
      <c r="CA130" s="560">
        <v>35</v>
      </c>
      <c r="CB130" s="560">
        <v>0.85</v>
      </c>
      <c r="CC130" s="560">
        <v>94</v>
      </c>
      <c r="CD130" s="560">
        <v>94</v>
      </c>
      <c r="CE130" s="560">
        <v>94</v>
      </c>
      <c r="CF130" s="560">
        <v>94</v>
      </c>
      <c r="CG130" s="560">
        <v>0.29299999999999998</v>
      </c>
      <c r="CH130" s="560">
        <v>0.3</v>
      </c>
      <c r="CI130" s="560">
        <v>0.54</v>
      </c>
      <c r="CJ130" s="560">
        <v>40</v>
      </c>
      <c r="CK130" s="560">
        <v>5</v>
      </c>
      <c r="CL130" s="560">
        <v>4</v>
      </c>
      <c r="CM130" s="562">
        <v>1344</v>
      </c>
      <c r="CN130" s="562">
        <v>148</v>
      </c>
      <c r="CO130" s="562">
        <v>26.8</v>
      </c>
      <c r="CP130" s="562">
        <v>0</v>
      </c>
      <c r="CQ130" s="562">
        <v>0</v>
      </c>
      <c r="CR130" s="562" t="s">
        <v>1718</v>
      </c>
      <c r="CS130" s="562">
        <v>0</v>
      </c>
      <c r="CT130" s="562">
        <v>0</v>
      </c>
      <c r="CU130" s="562">
        <v>0.75</v>
      </c>
      <c r="CV130" s="562">
        <v>0.5</v>
      </c>
      <c r="CW130" s="562">
        <v>17.856999999999999</v>
      </c>
      <c r="CX130" s="562">
        <v>6.5</v>
      </c>
      <c r="CY130" s="562">
        <v>17.856999999999999</v>
      </c>
      <c r="CZ130" s="560">
        <v>2665.6</v>
      </c>
      <c r="DA130" s="560">
        <v>17</v>
      </c>
      <c r="DB130" s="560" t="s">
        <v>1719</v>
      </c>
      <c r="DC130" s="560">
        <v>50</v>
      </c>
      <c r="DD130" s="560">
        <v>4</v>
      </c>
      <c r="DE130" s="560" t="s">
        <v>1720</v>
      </c>
      <c r="DF130" s="560">
        <v>5</v>
      </c>
      <c r="DG130" s="560">
        <v>0</v>
      </c>
      <c r="DH130" s="560">
        <v>4.5</v>
      </c>
      <c r="DI130" s="560">
        <v>4.5</v>
      </c>
      <c r="DJ130" s="560">
        <v>0</v>
      </c>
      <c r="DK130" s="560">
        <v>0</v>
      </c>
      <c r="DL130" s="560">
        <v>0</v>
      </c>
      <c r="DM130" s="560">
        <v>0</v>
      </c>
      <c r="DN130" s="560">
        <v>0</v>
      </c>
      <c r="DO130" s="560">
        <v>0</v>
      </c>
    </row>
    <row r="131" spans="1:119">
      <c r="A131" s="560" t="s">
        <v>848</v>
      </c>
      <c r="B131" s="560" t="s">
        <v>1713</v>
      </c>
      <c r="C131" s="560" t="s">
        <v>797</v>
      </c>
      <c r="D131" s="560">
        <v>3</v>
      </c>
      <c r="E131" s="560">
        <v>472.45068199999997</v>
      </c>
      <c r="F131" s="560">
        <v>57.125464000000001</v>
      </c>
      <c r="G131" s="560">
        <v>7927.5</v>
      </c>
      <c r="H131" s="560">
        <v>391.60199999999998</v>
      </c>
      <c r="I131" s="560">
        <v>0.90101900000000001</v>
      </c>
      <c r="J131" s="560">
        <v>0.27931099999999998</v>
      </c>
      <c r="K131" s="560">
        <v>0.29224699999999998</v>
      </c>
      <c r="L131" s="560">
        <v>0.44106099999999998</v>
      </c>
      <c r="M131" s="560">
        <v>19139.973338</v>
      </c>
      <c r="N131" s="560">
        <v>19500.822790999999</v>
      </c>
      <c r="O131" s="560">
        <v>5568.6017439999996</v>
      </c>
      <c r="P131" s="560">
        <v>471.69656400000002</v>
      </c>
      <c r="Q131" s="560">
        <v>459.55911300000002</v>
      </c>
      <c r="R131" s="560">
        <v>2410.701223</v>
      </c>
      <c r="S131" s="560">
        <v>1835.0417930000001</v>
      </c>
      <c r="T131" s="560">
        <v>2026.474557</v>
      </c>
      <c r="U131" s="560">
        <v>485.69930900000003</v>
      </c>
      <c r="V131" s="560">
        <v>33.868701999999999</v>
      </c>
      <c r="W131" s="560">
        <v>7.0846090000000004</v>
      </c>
      <c r="X131" s="560">
        <v>0</v>
      </c>
      <c r="Y131" s="560">
        <v>47.924689000000001</v>
      </c>
      <c r="Z131" s="560">
        <v>251.39770300000001</v>
      </c>
      <c r="AA131" s="560">
        <v>47762.359256000003</v>
      </c>
      <c r="AB131" s="560">
        <v>48657.900613999998</v>
      </c>
      <c r="AC131" s="560">
        <v>32756.795241</v>
      </c>
      <c r="AD131" s="560">
        <v>26283.714725999998</v>
      </c>
      <c r="AE131" s="560">
        <v>650.43966399999999</v>
      </c>
      <c r="AF131" s="560">
        <v>18069.648939999999</v>
      </c>
      <c r="AG131" s="560">
        <v>19578.685164999999</v>
      </c>
      <c r="AH131" s="560">
        <v>4728.1443760000002</v>
      </c>
      <c r="AI131" s="560">
        <v>0</v>
      </c>
      <c r="AJ131" s="560">
        <v>959.66200400000002</v>
      </c>
      <c r="AK131" s="560">
        <v>0</v>
      </c>
      <c r="AL131" s="560">
        <v>200.75</v>
      </c>
      <c r="AM131" s="560">
        <v>0</v>
      </c>
      <c r="AN131" s="560">
        <v>0</v>
      </c>
      <c r="AO131" s="560">
        <v>0</v>
      </c>
      <c r="AP131" s="560">
        <v>0</v>
      </c>
      <c r="AQ131" s="560" t="s">
        <v>848</v>
      </c>
      <c r="AR131" s="560" t="s">
        <v>1740</v>
      </c>
      <c r="AS131" s="560">
        <v>0</v>
      </c>
      <c r="AT131" s="560">
        <v>0</v>
      </c>
      <c r="AU131" s="560">
        <v>0</v>
      </c>
      <c r="AV131" s="560">
        <v>69</v>
      </c>
      <c r="AW131" s="560">
        <v>64</v>
      </c>
      <c r="AX131" s="560">
        <v>74</v>
      </c>
      <c r="AY131" s="560">
        <v>78</v>
      </c>
      <c r="AZ131" s="560">
        <v>1</v>
      </c>
      <c r="BA131" s="560">
        <v>2522</v>
      </c>
      <c r="BB131" s="560">
        <v>0</v>
      </c>
      <c r="BC131" s="560">
        <v>0.5</v>
      </c>
      <c r="BD131" s="560">
        <v>0</v>
      </c>
      <c r="BE131" s="560" t="s">
        <v>1798</v>
      </c>
      <c r="BF131" s="560">
        <v>2.5</v>
      </c>
      <c r="BG131" s="560">
        <v>17.399999999999999</v>
      </c>
      <c r="BH131" s="560">
        <v>1</v>
      </c>
      <c r="BI131" s="560">
        <v>2</v>
      </c>
      <c r="BJ131" s="560">
        <v>35</v>
      </c>
      <c r="BK131" s="560">
        <v>0</v>
      </c>
      <c r="BL131" s="560" t="s">
        <v>1747</v>
      </c>
      <c r="BM131" s="560">
        <v>3.0000000000000001E-3</v>
      </c>
      <c r="BN131" s="560">
        <v>15</v>
      </c>
      <c r="BO131" s="560">
        <v>4.5</v>
      </c>
      <c r="BP131" s="560" t="s">
        <v>1747</v>
      </c>
      <c r="BQ131" s="560">
        <v>5.0000000000000001E-3</v>
      </c>
      <c r="BR131" s="560">
        <v>40</v>
      </c>
      <c r="BS131" s="560">
        <v>4.9000000000000004</v>
      </c>
      <c r="BT131" s="560">
        <v>2688</v>
      </c>
      <c r="BU131" s="560">
        <v>22848</v>
      </c>
      <c r="BV131" s="560">
        <v>0</v>
      </c>
      <c r="BW131" s="560">
        <v>26.8</v>
      </c>
      <c r="BX131" s="560">
        <v>1480</v>
      </c>
      <c r="BY131" s="560">
        <v>11.4</v>
      </c>
      <c r="BZ131" s="560">
        <v>1344</v>
      </c>
      <c r="CA131" s="560">
        <v>35</v>
      </c>
      <c r="CB131" s="560">
        <v>0.85</v>
      </c>
      <c r="CC131" s="560">
        <v>94</v>
      </c>
      <c r="CD131" s="560">
        <v>94</v>
      </c>
      <c r="CE131" s="560">
        <v>94</v>
      </c>
      <c r="CF131" s="560">
        <v>94</v>
      </c>
      <c r="CG131" s="560">
        <v>0.29299999999999998</v>
      </c>
      <c r="CH131" s="560">
        <v>0.3</v>
      </c>
      <c r="CI131" s="560">
        <v>0.54</v>
      </c>
      <c r="CJ131" s="560">
        <v>40</v>
      </c>
      <c r="CK131" s="560">
        <v>5</v>
      </c>
      <c r="CL131" s="560">
        <v>4</v>
      </c>
      <c r="CM131" s="562">
        <v>1344</v>
      </c>
      <c r="CN131" s="562">
        <v>148</v>
      </c>
      <c r="CO131" s="562">
        <v>26.8</v>
      </c>
      <c r="CP131" s="562">
        <v>0</v>
      </c>
      <c r="CQ131" s="562">
        <v>0</v>
      </c>
      <c r="CR131" s="562" t="s">
        <v>1718</v>
      </c>
      <c r="CS131" s="562">
        <v>0</v>
      </c>
      <c r="CT131" s="562">
        <v>0</v>
      </c>
      <c r="CU131" s="562">
        <v>0.75</v>
      </c>
      <c r="CV131" s="562">
        <v>0.5</v>
      </c>
      <c r="CW131" s="562">
        <v>17.856999999999999</v>
      </c>
      <c r="CX131" s="562">
        <v>6.5</v>
      </c>
      <c r="CY131" s="562">
        <v>17.856999999999999</v>
      </c>
      <c r="CZ131" s="560">
        <v>2665.6</v>
      </c>
      <c r="DA131" s="560">
        <v>17</v>
      </c>
      <c r="DB131" s="560" t="s">
        <v>1719</v>
      </c>
      <c r="DC131" s="560">
        <v>50</v>
      </c>
      <c r="DD131" s="560">
        <v>4</v>
      </c>
      <c r="DE131" s="560" t="s">
        <v>1720</v>
      </c>
      <c r="DF131" s="560">
        <v>5</v>
      </c>
      <c r="DG131" s="560">
        <v>0</v>
      </c>
      <c r="DH131" s="560">
        <v>4.5</v>
      </c>
      <c r="DI131" s="560">
        <v>4.5</v>
      </c>
      <c r="DJ131" s="560">
        <v>0</v>
      </c>
      <c r="DK131" s="560">
        <v>0</v>
      </c>
      <c r="DL131" s="560">
        <v>0</v>
      </c>
      <c r="DM131" s="560">
        <v>0</v>
      </c>
      <c r="DN131" s="560">
        <v>0</v>
      </c>
      <c r="DO131" s="560">
        <v>0</v>
      </c>
    </row>
    <row r="132" spans="1:119">
      <c r="A132" s="560" t="s">
        <v>849</v>
      </c>
      <c r="B132" s="560" t="s">
        <v>1713</v>
      </c>
      <c r="C132" s="560" t="s">
        <v>800</v>
      </c>
      <c r="D132" s="560">
        <v>3</v>
      </c>
      <c r="E132" s="560">
        <v>472.45068199999997</v>
      </c>
      <c r="F132" s="560">
        <v>57.125464000000001</v>
      </c>
      <c r="G132" s="560">
        <v>7927.5</v>
      </c>
      <c r="H132" s="560">
        <v>755.94</v>
      </c>
      <c r="I132" s="560">
        <v>0.90101900000000001</v>
      </c>
      <c r="J132" s="560">
        <v>0.27931099999999998</v>
      </c>
      <c r="K132" s="560">
        <v>0.29224699999999998</v>
      </c>
      <c r="L132" s="560">
        <v>0.44106099999999998</v>
      </c>
      <c r="M132" s="560">
        <v>19139.973338</v>
      </c>
      <c r="N132" s="560">
        <v>19500.822790999999</v>
      </c>
      <c r="O132" s="560">
        <v>5568.6017439999996</v>
      </c>
      <c r="P132" s="560">
        <v>471.69656400000002</v>
      </c>
      <c r="Q132" s="560">
        <v>459.55911300000002</v>
      </c>
      <c r="R132" s="560">
        <v>2410.701223</v>
      </c>
      <c r="S132" s="560">
        <v>3130.308556</v>
      </c>
      <c r="T132" s="560">
        <v>3285.7982430000002</v>
      </c>
      <c r="U132" s="560">
        <v>789.35498199999995</v>
      </c>
      <c r="V132" s="560">
        <v>16.652425000000001</v>
      </c>
      <c r="W132" s="560">
        <v>2.1096240000000002</v>
      </c>
      <c r="X132" s="560">
        <v>0</v>
      </c>
      <c r="Y132" s="560">
        <v>79.026831000000001</v>
      </c>
      <c r="Z132" s="560">
        <v>414.54966899999999</v>
      </c>
      <c r="AA132" s="560">
        <v>47762.359256000003</v>
      </c>
      <c r="AB132" s="560">
        <v>48657.900613999998</v>
      </c>
      <c r="AC132" s="560">
        <v>32756.795241</v>
      </c>
      <c r="AD132" s="560">
        <v>26283.714725999998</v>
      </c>
      <c r="AE132" s="560">
        <v>650.43966399999999</v>
      </c>
      <c r="AF132" s="560">
        <v>20210.651377999999</v>
      </c>
      <c r="AG132" s="560">
        <v>20997.731544999999</v>
      </c>
      <c r="AH132" s="560">
        <v>5294.5262350000003</v>
      </c>
      <c r="AI132" s="560">
        <v>0</v>
      </c>
      <c r="AJ132" s="560">
        <v>959.66200400000002</v>
      </c>
      <c r="AK132" s="560">
        <v>0</v>
      </c>
      <c r="AL132" s="560">
        <v>200.75</v>
      </c>
      <c r="AM132" s="560">
        <v>0</v>
      </c>
      <c r="AN132" s="560">
        <v>0</v>
      </c>
      <c r="AO132" s="560">
        <v>0</v>
      </c>
      <c r="AP132" s="560">
        <v>0</v>
      </c>
      <c r="AQ132" s="560" t="s">
        <v>849</v>
      </c>
      <c r="AR132" s="560" t="s">
        <v>1742</v>
      </c>
      <c r="AS132" s="560">
        <v>0</v>
      </c>
      <c r="AT132" s="560">
        <v>0</v>
      </c>
      <c r="AU132" s="560">
        <v>0</v>
      </c>
      <c r="AV132" s="560">
        <v>69</v>
      </c>
      <c r="AW132" s="560">
        <v>64</v>
      </c>
      <c r="AX132" s="560">
        <v>74</v>
      </c>
      <c r="AY132" s="560">
        <v>78</v>
      </c>
      <c r="AZ132" s="560">
        <v>1</v>
      </c>
      <c r="BA132" s="560">
        <v>2522</v>
      </c>
      <c r="BB132" s="560">
        <v>0</v>
      </c>
      <c r="BC132" s="560">
        <v>0.5</v>
      </c>
      <c r="BD132" s="560">
        <v>0</v>
      </c>
      <c r="BE132" s="560" t="s">
        <v>1798</v>
      </c>
      <c r="BF132" s="560">
        <v>2.5</v>
      </c>
      <c r="BG132" s="560">
        <v>17.399999999999999</v>
      </c>
      <c r="BH132" s="560">
        <v>1</v>
      </c>
      <c r="BI132" s="560">
        <v>2</v>
      </c>
      <c r="BJ132" s="560">
        <v>35</v>
      </c>
      <c r="BK132" s="560">
        <v>0</v>
      </c>
      <c r="BL132" s="560" t="s">
        <v>1747</v>
      </c>
      <c r="BM132" s="560">
        <v>3.0000000000000001E-3</v>
      </c>
      <c r="BN132" s="560">
        <v>15</v>
      </c>
      <c r="BO132" s="560">
        <v>4.5</v>
      </c>
      <c r="BP132" s="560" t="s">
        <v>1747</v>
      </c>
      <c r="BQ132" s="560">
        <v>5.0000000000000001E-3</v>
      </c>
      <c r="BR132" s="560">
        <v>40</v>
      </c>
      <c r="BS132" s="560">
        <v>4.9000000000000004</v>
      </c>
      <c r="BT132" s="560">
        <v>2688</v>
      </c>
      <c r="BU132" s="560">
        <v>22848</v>
      </c>
      <c r="BV132" s="560">
        <v>0</v>
      </c>
      <c r="BW132" s="560">
        <v>26.8</v>
      </c>
      <c r="BX132" s="560">
        <v>1480</v>
      </c>
      <c r="BY132" s="560">
        <v>11.4</v>
      </c>
      <c r="BZ132" s="560">
        <v>1344</v>
      </c>
      <c r="CA132" s="560">
        <v>35</v>
      </c>
      <c r="CB132" s="560">
        <v>0.85</v>
      </c>
      <c r="CC132" s="560">
        <v>94</v>
      </c>
      <c r="CD132" s="560">
        <v>94</v>
      </c>
      <c r="CE132" s="560">
        <v>94</v>
      </c>
      <c r="CF132" s="560">
        <v>94</v>
      </c>
      <c r="CG132" s="560">
        <v>0.29299999999999998</v>
      </c>
      <c r="CH132" s="560">
        <v>0.3</v>
      </c>
      <c r="CI132" s="560">
        <v>0.54</v>
      </c>
      <c r="CJ132" s="560">
        <v>40</v>
      </c>
      <c r="CK132" s="560">
        <v>5</v>
      </c>
      <c r="CL132" s="560">
        <v>4</v>
      </c>
      <c r="CM132" s="562">
        <v>1344</v>
      </c>
      <c r="CN132" s="562">
        <v>148</v>
      </c>
      <c r="CO132" s="562">
        <v>26.8</v>
      </c>
      <c r="CP132" s="562">
        <v>0</v>
      </c>
      <c r="CQ132" s="562">
        <v>0</v>
      </c>
      <c r="CR132" s="562" t="s">
        <v>1718</v>
      </c>
      <c r="CS132" s="562">
        <v>0</v>
      </c>
      <c r="CT132" s="562">
        <v>0</v>
      </c>
      <c r="CU132" s="562">
        <v>0.75</v>
      </c>
      <c r="CV132" s="562">
        <v>0.5</v>
      </c>
      <c r="CW132" s="562">
        <v>17.856999999999999</v>
      </c>
      <c r="CX132" s="562">
        <v>6.5</v>
      </c>
      <c r="CY132" s="562">
        <v>17.856999999999999</v>
      </c>
      <c r="CZ132" s="560">
        <v>2665.6</v>
      </c>
      <c r="DA132" s="560">
        <v>17</v>
      </c>
      <c r="DB132" s="560" t="s">
        <v>1719</v>
      </c>
      <c r="DC132" s="560">
        <v>50</v>
      </c>
      <c r="DD132" s="560">
        <v>4</v>
      </c>
      <c r="DE132" s="560" t="s">
        <v>1720</v>
      </c>
      <c r="DF132" s="560">
        <v>5</v>
      </c>
      <c r="DG132" s="560">
        <v>0</v>
      </c>
      <c r="DH132" s="560">
        <v>4.5</v>
      </c>
      <c r="DI132" s="560">
        <v>4.5</v>
      </c>
      <c r="DJ132" s="560">
        <v>0</v>
      </c>
      <c r="DK132" s="560">
        <v>0</v>
      </c>
      <c r="DL132" s="560">
        <v>0</v>
      </c>
      <c r="DM132" s="560">
        <v>0</v>
      </c>
      <c r="DN132" s="560">
        <v>0</v>
      </c>
      <c r="DO132" s="560">
        <v>0</v>
      </c>
    </row>
    <row r="133" spans="1:119">
      <c r="A133" s="560" t="s">
        <v>850</v>
      </c>
      <c r="B133" s="560" t="s">
        <v>1713</v>
      </c>
      <c r="C133" s="560" t="s">
        <v>764</v>
      </c>
      <c r="D133" s="560">
        <v>3</v>
      </c>
      <c r="E133" s="560">
        <v>763.92564400000003</v>
      </c>
      <c r="F133" s="560">
        <v>58.564922000000003</v>
      </c>
      <c r="G133" s="560">
        <v>4974.4274999999998</v>
      </c>
      <c r="H133" s="560">
        <v>139.9665</v>
      </c>
      <c r="I133" s="560">
        <v>0.968943</v>
      </c>
      <c r="J133" s="560">
        <v>0.31730199999999997</v>
      </c>
      <c r="K133" s="560">
        <v>0.34165499999999999</v>
      </c>
      <c r="L133" s="560">
        <v>0.50443800000000005</v>
      </c>
      <c r="M133" s="560">
        <v>18856.949336000001</v>
      </c>
      <c r="N133" s="560">
        <v>19556.420428000001</v>
      </c>
      <c r="O133" s="560">
        <v>5614.2246750000004</v>
      </c>
      <c r="P133" s="560">
        <v>464.11440399999998</v>
      </c>
      <c r="Q133" s="560">
        <v>463.72168099999999</v>
      </c>
      <c r="R133" s="560">
        <v>1737.5262359999999</v>
      </c>
      <c r="S133" s="560">
        <v>1565.4039110000001</v>
      </c>
      <c r="T133" s="560">
        <v>1822.7976309999999</v>
      </c>
      <c r="U133" s="560">
        <v>434.82343700000001</v>
      </c>
      <c r="V133" s="560">
        <v>38.004997000000003</v>
      </c>
      <c r="W133" s="560">
        <v>8.8888879999999997</v>
      </c>
      <c r="X133" s="560">
        <v>0</v>
      </c>
      <c r="Y133" s="560">
        <v>42.625425</v>
      </c>
      <c r="Z133" s="560">
        <v>159.71389199999999</v>
      </c>
      <c r="AA133" s="560">
        <v>73021.085210000005</v>
      </c>
      <c r="AB133" s="560">
        <v>75763.327759000007</v>
      </c>
      <c r="AC133" s="560">
        <v>50806.735219000002</v>
      </c>
      <c r="AD133" s="560">
        <v>41669.981571999997</v>
      </c>
      <c r="AE133" s="560">
        <v>910.61553000000004</v>
      </c>
      <c r="AF133" s="560">
        <v>24469.419308</v>
      </c>
      <c r="AG133" s="560">
        <v>26949.146476999998</v>
      </c>
      <c r="AH133" s="560">
        <v>6445.447075</v>
      </c>
      <c r="AI133" s="560">
        <v>40.799999999999997</v>
      </c>
      <c r="AJ133" s="560">
        <v>1046.469004</v>
      </c>
      <c r="AK133" s="560">
        <v>0</v>
      </c>
      <c r="AL133" s="560">
        <v>200.75</v>
      </c>
      <c r="AM133" s="560">
        <v>0</v>
      </c>
      <c r="AN133" s="560">
        <v>0</v>
      </c>
      <c r="AO133" s="560">
        <v>0</v>
      </c>
      <c r="AP133" s="560">
        <v>0</v>
      </c>
      <c r="AQ133" s="560" t="s">
        <v>850</v>
      </c>
      <c r="AR133" s="560" t="s">
        <v>1714</v>
      </c>
      <c r="AS133" s="560">
        <v>0</v>
      </c>
      <c r="AT133" s="560">
        <v>0</v>
      </c>
      <c r="AU133" s="560">
        <v>0</v>
      </c>
      <c r="AV133" s="560">
        <v>69</v>
      </c>
      <c r="AW133" s="560">
        <v>64</v>
      </c>
      <c r="AX133" s="560">
        <v>74</v>
      </c>
      <c r="AY133" s="560">
        <v>78</v>
      </c>
      <c r="AZ133" s="560">
        <v>1</v>
      </c>
      <c r="BA133" s="560">
        <v>3099</v>
      </c>
      <c r="BB133" s="560">
        <v>0</v>
      </c>
      <c r="BC133" s="560">
        <v>0.5</v>
      </c>
      <c r="BD133" s="560">
        <v>0</v>
      </c>
      <c r="BE133" s="560" t="s">
        <v>1798</v>
      </c>
      <c r="BF133" s="560">
        <v>3.5</v>
      </c>
      <c r="BG133" s="560">
        <v>17.399999999999999</v>
      </c>
      <c r="BH133" s="560">
        <v>1</v>
      </c>
      <c r="BI133" s="560">
        <v>2</v>
      </c>
      <c r="BJ133" s="560">
        <v>35</v>
      </c>
      <c r="BK133" s="560">
        <v>0</v>
      </c>
      <c r="BL133" s="560" t="s">
        <v>1747</v>
      </c>
      <c r="BM133" s="560">
        <v>0.02</v>
      </c>
      <c r="BN133" s="560">
        <v>0</v>
      </c>
      <c r="BO133" s="560">
        <v>6</v>
      </c>
      <c r="BP133" s="560" t="s">
        <v>1747</v>
      </c>
      <c r="BQ133" s="560">
        <v>0.03</v>
      </c>
      <c r="BR133" s="560">
        <v>60</v>
      </c>
      <c r="BS133" s="560">
        <v>6</v>
      </c>
      <c r="BT133" s="560">
        <v>5000</v>
      </c>
      <c r="BU133" s="560">
        <v>40100</v>
      </c>
      <c r="BV133" s="560">
        <v>200</v>
      </c>
      <c r="BW133" s="560">
        <v>30.609376350000002</v>
      </c>
      <c r="BX133" s="560">
        <v>2788</v>
      </c>
      <c r="BY133" s="560">
        <v>17.543859650000002</v>
      </c>
      <c r="BZ133" s="560">
        <v>1800</v>
      </c>
      <c r="CA133" s="560">
        <v>37.664196859999997</v>
      </c>
      <c r="CB133" s="560">
        <v>0.85</v>
      </c>
      <c r="CC133" s="560">
        <v>187.5</v>
      </c>
      <c r="CD133" s="560">
        <v>187.5</v>
      </c>
      <c r="CE133" s="560">
        <v>187.5</v>
      </c>
      <c r="CF133" s="560">
        <v>187.5</v>
      </c>
      <c r="CG133" s="560">
        <v>0.29299999999999998</v>
      </c>
      <c r="CH133" s="560">
        <v>0.3</v>
      </c>
      <c r="CI133" s="560">
        <v>0.54</v>
      </c>
      <c r="CJ133" s="560">
        <v>40</v>
      </c>
      <c r="CK133" s="560">
        <v>5</v>
      </c>
      <c r="CL133" s="560">
        <v>4</v>
      </c>
      <c r="CM133" s="562">
        <v>1600</v>
      </c>
      <c r="CN133" s="562">
        <v>164</v>
      </c>
      <c r="CO133" s="562">
        <v>30.609376350000002</v>
      </c>
      <c r="CP133" s="562">
        <v>0</v>
      </c>
      <c r="CQ133" s="562">
        <v>0</v>
      </c>
      <c r="CR133" s="562" t="s">
        <v>1718</v>
      </c>
      <c r="CS133" s="562">
        <v>0</v>
      </c>
      <c r="CT133" s="562">
        <v>0</v>
      </c>
      <c r="CU133" s="562">
        <v>0.75</v>
      </c>
      <c r="CV133" s="562">
        <v>0.5</v>
      </c>
      <c r="CW133" s="562">
        <v>17.856999999999999</v>
      </c>
      <c r="CX133" s="562">
        <v>6.5</v>
      </c>
      <c r="CY133" s="562">
        <v>17.856999999999999</v>
      </c>
      <c r="CZ133" s="560">
        <v>4678.3333329999996</v>
      </c>
      <c r="DA133" s="560">
        <v>26.5625</v>
      </c>
      <c r="DB133" s="560" t="s">
        <v>1719</v>
      </c>
      <c r="DC133" s="560">
        <v>50</v>
      </c>
      <c r="DD133" s="560">
        <v>4</v>
      </c>
      <c r="DE133" s="560" t="s">
        <v>1720</v>
      </c>
      <c r="DF133" s="560">
        <v>5</v>
      </c>
      <c r="DG133" s="560">
        <v>0</v>
      </c>
      <c r="DH133" s="560">
        <v>4.5</v>
      </c>
      <c r="DI133" s="560">
        <v>4.5</v>
      </c>
      <c r="DJ133" s="560">
        <v>0</v>
      </c>
      <c r="DK133" s="560">
        <v>0</v>
      </c>
      <c r="DL133" s="560">
        <v>0</v>
      </c>
      <c r="DM133" s="560">
        <v>0</v>
      </c>
      <c r="DN133" s="560">
        <v>0</v>
      </c>
      <c r="DO133" s="560">
        <v>0</v>
      </c>
    </row>
    <row r="134" spans="1:119">
      <c r="A134" s="560" t="s">
        <v>851</v>
      </c>
      <c r="B134" s="560" t="s">
        <v>1713</v>
      </c>
      <c r="C134" s="560" t="s">
        <v>767</v>
      </c>
      <c r="D134" s="560">
        <v>3</v>
      </c>
      <c r="E134" s="560">
        <v>763.92564400000003</v>
      </c>
      <c r="F134" s="560">
        <v>58.564922000000003</v>
      </c>
      <c r="G134" s="560">
        <v>4974.4274999999998</v>
      </c>
      <c r="H134" s="560">
        <v>391.60199999999998</v>
      </c>
      <c r="I134" s="560">
        <v>0.968943</v>
      </c>
      <c r="J134" s="560">
        <v>0.31730199999999997</v>
      </c>
      <c r="K134" s="560">
        <v>0.34165499999999999</v>
      </c>
      <c r="L134" s="560">
        <v>0.50443800000000005</v>
      </c>
      <c r="M134" s="560">
        <v>18856.949336000001</v>
      </c>
      <c r="N134" s="560">
        <v>19556.420428000001</v>
      </c>
      <c r="O134" s="560">
        <v>5614.2246750000004</v>
      </c>
      <c r="P134" s="560">
        <v>464.11440399999998</v>
      </c>
      <c r="Q134" s="560">
        <v>463.72168099999999</v>
      </c>
      <c r="R134" s="560">
        <v>1737.5262359999999</v>
      </c>
      <c r="S134" s="560">
        <v>3214.2091620000001</v>
      </c>
      <c r="T134" s="560">
        <v>3579.3639600000001</v>
      </c>
      <c r="U134" s="560">
        <v>850.30146000000002</v>
      </c>
      <c r="V134" s="560">
        <v>36.394246000000003</v>
      </c>
      <c r="W134" s="560">
        <v>4.4777370000000003</v>
      </c>
      <c r="X134" s="560">
        <v>0</v>
      </c>
      <c r="Y134" s="560">
        <v>85.179267999999993</v>
      </c>
      <c r="Z134" s="560">
        <v>319.15957300000002</v>
      </c>
      <c r="AA134" s="560">
        <v>73021.085210000005</v>
      </c>
      <c r="AB134" s="560">
        <v>75763.327759000007</v>
      </c>
      <c r="AC134" s="560">
        <v>50806.735219000002</v>
      </c>
      <c r="AD134" s="560">
        <v>41669.981571999997</v>
      </c>
      <c r="AE134" s="560">
        <v>910.61553000000004</v>
      </c>
      <c r="AF134" s="560">
        <v>32652.549271</v>
      </c>
      <c r="AG134" s="560">
        <v>36906.554162</v>
      </c>
      <c r="AH134" s="560">
        <v>8647.7728019999995</v>
      </c>
      <c r="AI134" s="560">
        <v>40.799999999999997</v>
      </c>
      <c r="AJ134" s="560">
        <v>1046.469004</v>
      </c>
      <c r="AK134" s="560">
        <v>0</v>
      </c>
      <c r="AL134" s="560">
        <v>200.75</v>
      </c>
      <c r="AM134" s="560">
        <v>0</v>
      </c>
      <c r="AN134" s="560">
        <v>0</v>
      </c>
      <c r="AO134" s="560">
        <v>0</v>
      </c>
      <c r="AP134" s="560">
        <v>0</v>
      </c>
      <c r="AQ134" s="560" t="s">
        <v>851</v>
      </c>
      <c r="AR134" s="560" t="s">
        <v>1722</v>
      </c>
      <c r="AS134" s="560">
        <v>0</v>
      </c>
      <c r="AT134" s="560">
        <v>0</v>
      </c>
      <c r="AU134" s="560">
        <v>0</v>
      </c>
      <c r="AV134" s="560">
        <v>69</v>
      </c>
      <c r="AW134" s="560">
        <v>64</v>
      </c>
      <c r="AX134" s="560">
        <v>74</v>
      </c>
      <c r="AY134" s="560">
        <v>78</v>
      </c>
      <c r="AZ134" s="560">
        <v>1</v>
      </c>
      <c r="BA134" s="560">
        <v>3099</v>
      </c>
      <c r="BB134" s="560">
        <v>0</v>
      </c>
      <c r="BC134" s="560">
        <v>0.5</v>
      </c>
      <c r="BD134" s="560">
        <v>0</v>
      </c>
      <c r="BE134" s="560" t="s">
        <v>1798</v>
      </c>
      <c r="BF134" s="560">
        <v>3.5</v>
      </c>
      <c r="BG134" s="560">
        <v>17.399999999999999</v>
      </c>
      <c r="BH134" s="560">
        <v>1</v>
      </c>
      <c r="BI134" s="560">
        <v>2</v>
      </c>
      <c r="BJ134" s="560">
        <v>35</v>
      </c>
      <c r="BK134" s="560">
        <v>0</v>
      </c>
      <c r="BL134" s="560" t="s">
        <v>1747</v>
      </c>
      <c r="BM134" s="560">
        <v>0.02</v>
      </c>
      <c r="BN134" s="560">
        <v>0</v>
      </c>
      <c r="BO134" s="560">
        <v>6</v>
      </c>
      <c r="BP134" s="560" t="s">
        <v>1747</v>
      </c>
      <c r="BQ134" s="560">
        <v>0.03</v>
      </c>
      <c r="BR134" s="560">
        <v>60</v>
      </c>
      <c r="BS134" s="560">
        <v>6</v>
      </c>
      <c r="BT134" s="560">
        <v>5000</v>
      </c>
      <c r="BU134" s="560">
        <v>40100</v>
      </c>
      <c r="BV134" s="560">
        <v>200</v>
      </c>
      <c r="BW134" s="560">
        <v>30.609376350000002</v>
      </c>
      <c r="BX134" s="560">
        <v>2788</v>
      </c>
      <c r="BY134" s="560">
        <v>17.543859650000002</v>
      </c>
      <c r="BZ134" s="560">
        <v>1800</v>
      </c>
      <c r="CA134" s="560">
        <v>37.664196859999997</v>
      </c>
      <c r="CB134" s="560">
        <v>0.85</v>
      </c>
      <c r="CC134" s="560">
        <v>187.5</v>
      </c>
      <c r="CD134" s="560">
        <v>187.5</v>
      </c>
      <c r="CE134" s="560">
        <v>187.5</v>
      </c>
      <c r="CF134" s="560">
        <v>187.5</v>
      </c>
      <c r="CG134" s="560">
        <v>0.29299999999999998</v>
      </c>
      <c r="CH134" s="560">
        <v>0.3</v>
      </c>
      <c r="CI134" s="560">
        <v>0.54</v>
      </c>
      <c r="CJ134" s="560">
        <v>40</v>
      </c>
      <c r="CK134" s="560">
        <v>5</v>
      </c>
      <c r="CL134" s="560">
        <v>4</v>
      </c>
      <c r="CM134" s="562">
        <v>1600</v>
      </c>
      <c r="CN134" s="562">
        <v>164</v>
      </c>
      <c r="CO134" s="562">
        <v>30.609376350000002</v>
      </c>
      <c r="CP134" s="562">
        <v>0</v>
      </c>
      <c r="CQ134" s="562">
        <v>0</v>
      </c>
      <c r="CR134" s="562" t="s">
        <v>1718</v>
      </c>
      <c r="CS134" s="562">
        <v>0</v>
      </c>
      <c r="CT134" s="562">
        <v>0</v>
      </c>
      <c r="CU134" s="562">
        <v>0.75</v>
      </c>
      <c r="CV134" s="562">
        <v>0.5</v>
      </c>
      <c r="CW134" s="562">
        <v>17.856999999999999</v>
      </c>
      <c r="CX134" s="562">
        <v>6.5</v>
      </c>
      <c r="CY134" s="562">
        <v>17.856999999999999</v>
      </c>
      <c r="CZ134" s="560">
        <v>4678.3333329999996</v>
      </c>
      <c r="DA134" s="560">
        <v>26.5625</v>
      </c>
      <c r="DB134" s="560" t="s">
        <v>1719</v>
      </c>
      <c r="DC134" s="560">
        <v>50</v>
      </c>
      <c r="DD134" s="560">
        <v>4</v>
      </c>
      <c r="DE134" s="560" t="s">
        <v>1720</v>
      </c>
      <c r="DF134" s="560">
        <v>5</v>
      </c>
      <c r="DG134" s="560">
        <v>0</v>
      </c>
      <c r="DH134" s="560">
        <v>4.5</v>
      </c>
      <c r="DI134" s="560">
        <v>4.5</v>
      </c>
      <c r="DJ134" s="560">
        <v>0</v>
      </c>
      <c r="DK134" s="560">
        <v>0</v>
      </c>
      <c r="DL134" s="560">
        <v>0</v>
      </c>
      <c r="DM134" s="560">
        <v>0</v>
      </c>
      <c r="DN134" s="560">
        <v>0</v>
      </c>
      <c r="DO134" s="560">
        <v>0</v>
      </c>
    </row>
    <row r="135" spans="1:119">
      <c r="A135" s="560" t="s">
        <v>852</v>
      </c>
      <c r="B135" s="560" t="s">
        <v>1713</v>
      </c>
      <c r="C135" s="560" t="s">
        <v>770</v>
      </c>
      <c r="D135" s="560">
        <v>3</v>
      </c>
      <c r="E135" s="560">
        <v>763.92564400000003</v>
      </c>
      <c r="F135" s="560">
        <v>58.564922000000003</v>
      </c>
      <c r="G135" s="560">
        <v>4974.4274999999998</v>
      </c>
      <c r="H135" s="560">
        <v>755.94</v>
      </c>
      <c r="I135" s="560">
        <v>0.968943</v>
      </c>
      <c r="J135" s="560">
        <v>0.31730199999999997</v>
      </c>
      <c r="K135" s="560">
        <v>0.34165499999999999</v>
      </c>
      <c r="L135" s="560">
        <v>0.50443800000000005</v>
      </c>
      <c r="M135" s="560">
        <v>18856.949336000001</v>
      </c>
      <c r="N135" s="560">
        <v>19556.420428000001</v>
      </c>
      <c r="O135" s="560">
        <v>5614.2246750000004</v>
      </c>
      <c r="P135" s="560">
        <v>464.11440399999998</v>
      </c>
      <c r="Q135" s="560">
        <v>463.72168099999999</v>
      </c>
      <c r="R135" s="560">
        <v>1737.5262359999999</v>
      </c>
      <c r="S135" s="560">
        <v>5415.0853800000004</v>
      </c>
      <c r="T135" s="560">
        <v>5835.6239919999998</v>
      </c>
      <c r="U135" s="560">
        <v>1391.288996</v>
      </c>
      <c r="V135" s="560">
        <v>12.43976</v>
      </c>
      <c r="W135" s="560">
        <v>0.89411799999999997</v>
      </c>
      <c r="X135" s="560">
        <v>0</v>
      </c>
      <c r="Y135" s="560">
        <v>141.73085399999999</v>
      </c>
      <c r="Z135" s="560">
        <v>531.05362000000002</v>
      </c>
      <c r="AA135" s="560">
        <v>73021.085210000005</v>
      </c>
      <c r="AB135" s="560">
        <v>75763.327759000007</v>
      </c>
      <c r="AC135" s="560">
        <v>50806.735219000002</v>
      </c>
      <c r="AD135" s="560">
        <v>41669.981571999997</v>
      </c>
      <c r="AE135" s="560">
        <v>910.61553000000004</v>
      </c>
      <c r="AF135" s="560">
        <v>33299.537197999998</v>
      </c>
      <c r="AG135" s="560">
        <v>36747.496987999999</v>
      </c>
      <c r="AH135" s="560">
        <v>8913.1093359999995</v>
      </c>
      <c r="AI135" s="560">
        <v>40.799999999999997</v>
      </c>
      <c r="AJ135" s="560">
        <v>1046.469004</v>
      </c>
      <c r="AK135" s="560">
        <v>0</v>
      </c>
      <c r="AL135" s="560">
        <v>200.75</v>
      </c>
      <c r="AM135" s="560">
        <v>0</v>
      </c>
      <c r="AN135" s="560">
        <v>0</v>
      </c>
      <c r="AO135" s="560">
        <v>0</v>
      </c>
      <c r="AP135" s="560">
        <v>0</v>
      </c>
      <c r="AQ135" s="560" t="s">
        <v>852</v>
      </c>
      <c r="AR135" s="560" t="s">
        <v>1724</v>
      </c>
      <c r="AS135" s="560">
        <v>0</v>
      </c>
      <c r="AT135" s="560">
        <v>0</v>
      </c>
      <c r="AU135" s="560">
        <v>0</v>
      </c>
      <c r="AV135" s="560">
        <v>69</v>
      </c>
      <c r="AW135" s="560">
        <v>64</v>
      </c>
      <c r="AX135" s="560">
        <v>74</v>
      </c>
      <c r="AY135" s="560">
        <v>78</v>
      </c>
      <c r="AZ135" s="560">
        <v>1</v>
      </c>
      <c r="BA135" s="560">
        <v>3099</v>
      </c>
      <c r="BB135" s="560">
        <v>0</v>
      </c>
      <c r="BC135" s="560">
        <v>0.5</v>
      </c>
      <c r="BD135" s="560">
        <v>0</v>
      </c>
      <c r="BE135" s="560" t="s">
        <v>1798</v>
      </c>
      <c r="BF135" s="560">
        <v>3.5</v>
      </c>
      <c r="BG135" s="560">
        <v>17.399999999999999</v>
      </c>
      <c r="BH135" s="560">
        <v>1</v>
      </c>
      <c r="BI135" s="560">
        <v>2</v>
      </c>
      <c r="BJ135" s="560">
        <v>35</v>
      </c>
      <c r="BK135" s="560">
        <v>0</v>
      </c>
      <c r="BL135" s="560" t="s">
        <v>1747</v>
      </c>
      <c r="BM135" s="560">
        <v>0.02</v>
      </c>
      <c r="BN135" s="560">
        <v>0</v>
      </c>
      <c r="BO135" s="560">
        <v>6</v>
      </c>
      <c r="BP135" s="560" t="s">
        <v>1747</v>
      </c>
      <c r="BQ135" s="560">
        <v>0.03</v>
      </c>
      <c r="BR135" s="560">
        <v>60</v>
      </c>
      <c r="BS135" s="560">
        <v>6</v>
      </c>
      <c r="BT135" s="560">
        <v>5000</v>
      </c>
      <c r="BU135" s="560">
        <v>40100</v>
      </c>
      <c r="BV135" s="560">
        <v>200</v>
      </c>
      <c r="BW135" s="560">
        <v>30.609376350000002</v>
      </c>
      <c r="BX135" s="560">
        <v>2788</v>
      </c>
      <c r="BY135" s="560">
        <v>17.543859650000002</v>
      </c>
      <c r="BZ135" s="560">
        <v>1800</v>
      </c>
      <c r="CA135" s="560">
        <v>37.664196859999997</v>
      </c>
      <c r="CB135" s="560">
        <v>0.85</v>
      </c>
      <c r="CC135" s="560">
        <v>187.5</v>
      </c>
      <c r="CD135" s="560">
        <v>187.5</v>
      </c>
      <c r="CE135" s="560">
        <v>187.5</v>
      </c>
      <c r="CF135" s="560">
        <v>187.5</v>
      </c>
      <c r="CG135" s="560">
        <v>0.29299999999999998</v>
      </c>
      <c r="CH135" s="560">
        <v>0.3</v>
      </c>
      <c r="CI135" s="560">
        <v>0.54</v>
      </c>
      <c r="CJ135" s="560">
        <v>40</v>
      </c>
      <c r="CK135" s="560">
        <v>5</v>
      </c>
      <c r="CL135" s="560">
        <v>4</v>
      </c>
      <c r="CM135" s="562">
        <v>1600</v>
      </c>
      <c r="CN135" s="562">
        <v>164</v>
      </c>
      <c r="CO135" s="562">
        <v>30.609376350000002</v>
      </c>
      <c r="CP135" s="562">
        <v>0</v>
      </c>
      <c r="CQ135" s="562">
        <v>0</v>
      </c>
      <c r="CR135" s="562" t="s">
        <v>1718</v>
      </c>
      <c r="CS135" s="562">
        <v>0</v>
      </c>
      <c r="CT135" s="562">
        <v>0</v>
      </c>
      <c r="CU135" s="562">
        <v>0.75</v>
      </c>
      <c r="CV135" s="562">
        <v>0.5</v>
      </c>
      <c r="CW135" s="562">
        <v>17.856999999999999</v>
      </c>
      <c r="CX135" s="562">
        <v>6.5</v>
      </c>
      <c r="CY135" s="562">
        <v>17.856999999999999</v>
      </c>
      <c r="CZ135" s="560">
        <v>4678.3333329999996</v>
      </c>
      <c r="DA135" s="560">
        <v>26.5625</v>
      </c>
      <c r="DB135" s="560" t="s">
        <v>1719</v>
      </c>
      <c r="DC135" s="560">
        <v>50</v>
      </c>
      <c r="DD135" s="560">
        <v>4</v>
      </c>
      <c r="DE135" s="560" t="s">
        <v>1720</v>
      </c>
      <c r="DF135" s="560">
        <v>5</v>
      </c>
      <c r="DG135" s="560">
        <v>0</v>
      </c>
      <c r="DH135" s="560">
        <v>4.5</v>
      </c>
      <c r="DI135" s="560">
        <v>4.5</v>
      </c>
      <c r="DJ135" s="560">
        <v>0</v>
      </c>
      <c r="DK135" s="560">
        <v>0</v>
      </c>
      <c r="DL135" s="560">
        <v>0</v>
      </c>
      <c r="DM135" s="560">
        <v>0</v>
      </c>
      <c r="DN135" s="560">
        <v>0</v>
      </c>
      <c r="DO135" s="560">
        <v>0</v>
      </c>
    </row>
    <row r="136" spans="1:119">
      <c r="A136" s="560" t="s">
        <v>853</v>
      </c>
      <c r="B136" s="560" t="s">
        <v>1713</v>
      </c>
      <c r="C136" s="560" t="s">
        <v>764</v>
      </c>
      <c r="D136" s="560">
        <v>3</v>
      </c>
      <c r="E136" s="560">
        <v>826.941959</v>
      </c>
      <c r="F136" s="560">
        <v>58.922297</v>
      </c>
      <c r="G136" s="560">
        <v>4974.4274999999998</v>
      </c>
      <c r="H136" s="560">
        <v>139.9665</v>
      </c>
      <c r="I136" s="560">
        <v>0.968943</v>
      </c>
      <c r="J136" s="560">
        <v>0.31771100000000002</v>
      </c>
      <c r="K136" s="560">
        <v>0.33785500000000002</v>
      </c>
      <c r="L136" s="560">
        <v>0.50830900000000001</v>
      </c>
      <c r="M136" s="560">
        <v>20989.811471000001</v>
      </c>
      <c r="N136" s="560">
        <v>21774.766436999998</v>
      </c>
      <c r="O136" s="560">
        <v>6152.2481580000003</v>
      </c>
      <c r="P136" s="560">
        <v>366.41895199999999</v>
      </c>
      <c r="Q136" s="560">
        <v>519.40646500000003</v>
      </c>
      <c r="R136" s="560">
        <v>1702.900897</v>
      </c>
      <c r="S136" s="560">
        <v>1596.8462239999999</v>
      </c>
      <c r="T136" s="560">
        <v>1862.0303699999999</v>
      </c>
      <c r="U136" s="560">
        <v>444.86369200000001</v>
      </c>
      <c r="V136" s="560">
        <v>39.265481999999999</v>
      </c>
      <c r="W136" s="560">
        <v>9.0028819999999996</v>
      </c>
      <c r="X136" s="560">
        <v>0</v>
      </c>
      <c r="Y136" s="560">
        <v>43.526356</v>
      </c>
      <c r="Z136" s="560">
        <v>142.70340400000001</v>
      </c>
      <c r="AA136" s="560">
        <v>75894.781851000007</v>
      </c>
      <c r="AB136" s="560">
        <v>78881.352331000002</v>
      </c>
      <c r="AC136" s="560">
        <v>50434.479077000004</v>
      </c>
      <c r="AD136" s="560">
        <v>39992.722623000001</v>
      </c>
      <c r="AE136" s="560">
        <v>1040.7034619999999</v>
      </c>
      <c r="AF136" s="560">
        <v>25790.579871000002</v>
      </c>
      <c r="AG136" s="560">
        <v>28446.202471000001</v>
      </c>
      <c r="AH136" s="560">
        <v>6838.5196489999998</v>
      </c>
      <c r="AI136" s="560">
        <v>22.1</v>
      </c>
      <c r="AJ136" s="560">
        <v>1159.8790670000001</v>
      </c>
      <c r="AK136" s="560">
        <v>0</v>
      </c>
      <c r="AL136" s="560">
        <v>200.75</v>
      </c>
      <c r="AM136" s="560">
        <v>0</v>
      </c>
      <c r="AN136" s="560">
        <v>0</v>
      </c>
      <c r="AO136" s="560">
        <v>0</v>
      </c>
      <c r="AP136" s="560">
        <v>0</v>
      </c>
      <c r="AQ136" s="560" t="s">
        <v>853</v>
      </c>
      <c r="AR136" s="560" t="s">
        <v>1714</v>
      </c>
      <c r="AS136" s="560">
        <v>0</v>
      </c>
      <c r="AT136" s="560">
        <v>0</v>
      </c>
      <c r="AU136" s="560">
        <v>0</v>
      </c>
      <c r="AV136" s="560">
        <v>69</v>
      </c>
      <c r="AW136" s="560">
        <v>64</v>
      </c>
      <c r="AX136" s="560">
        <v>74</v>
      </c>
      <c r="AY136" s="560">
        <v>78</v>
      </c>
      <c r="AZ136" s="560">
        <v>1</v>
      </c>
      <c r="BA136" s="560">
        <v>3099</v>
      </c>
      <c r="BB136" s="560">
        <v>0</v>
      </c>
      <c r="BC136" s="560">
        <v>0.5</v>
      </c>
      <c r="BD136" s="560">
        <v>0</v>
      </c>
      <c r="BE136" s="560" t="s">
        <v>1798</v>
      </c>
      <c r="BF136" s="560">
        <v>4</v>
      </c>
      <c r="BG136" s="560">
        <v>17.399999999999999</v>
      </c>
      <c r="BH136" s="560">
        <v>1</v>
      </c>
      <c r="BI136" s="560">
        <v>2</v>
      </c>
      <c r="BJ136" s="560">
        <v>35</v>
      </c>
      <c r="BK136" s="560">
        <v>0</v>
      </c>
      <c r="BL136" s="560" t="s">
        <v>1747</v>
      </c>
      <c r="BM136" s="560">
        <v>0.02</v>
      </c>
      <c r="BN136" s="560">
        <v>0</v>
      </c>
      <c r="BO136" s="560">
        <v>4.5</v>
      </c>
      <c r="BP136" s="560" t="s">
        <v>1747</v>
      </c>
      <c r="BQ136" s="560">
        <v>0.03</v>
      </c>
      <c r="BR136" s="560">
        <v>60</v>
      </c>
      <c r="BS136" s="560">
        <v>4.9000000000000004</v>
      </c>
      <c r="BT136" s="560">
        <v>5000</v>
      </c>
      <c r="BU136" s="560">
        <v>40100</v>
      </c>
      <c r="BV136" s="560">
        <v>200</v>
      </c>
      <c r="BW136" s="560">
        <v>26.8</v>
      </c>
      <c r="BX136" s="560">
        <v>2788</v>
      </c>
      <c r="BY136" s="560">
        <v>11.4</v>
      </c>
      <c r="BZ136" s="560">
        <v>1800</v>
      </c>
      <c r="CA136" s="560">
        <v>35</v>
      </c>
      <c r="CB136" s="560">
        <v>0.85</v>
      </c>
      <c r="CC136" s="560">
        <v>187.5</v>
      </c>
      <c r="CD136" s="560">
        <v>187.5</v>
      </c>
      <c r="CE136" s="560">
        <v>187.5</v>
      </c>
      <c r="CF136" s="560">
        <v>187.5</v>
      </c>
      <c r="CG136" s="560">
        <v>0.29299999999999998</v>
      </c>
      <c r="CH136" s="560">
        <v>0.3</v>
      </c>
      <c r="CI136" s="560">
        <v>0.54</v>
      </c>
      <c r="CJ136" s="560">
        <v>40</v>
      </c>
      <c r="CK136" s="560">
        <v>5</v>
      </c>
      <c r="CL136" s="560">
        <v>4</v>
      </c>
      <c r="CM136" s="562">
        <v>1600</v>
      </c>
      <c r="CN136" s="562">
        <v>164</v>
      </c>
      <c r="CO136" s="562">
        <v>26.8</v>
      </c>
      <c r="CP136" s="562">
        <v>0</v>
      </c>
      <c r="CQ136" s="562">
        <v>0</v>
      </c>
      <c r="CR136" s="562" t="s">
        <v>1718</v>
      </c>
      <c r="CS136" s="562">
        <v>0</v>
      </c>
      <c r="CT136" s="562">
        <v>0</v>
      </c>
      <c r="CU136" s="562">
        <v>0.75</v>
      </c>
      <c r="CV136" s="562">
        <v>0.5</v>
      </c>
      <c r="CW136" s="562">
        <v>17.856999999999999</v>
      </c>
      <c r="CX136" s="562">
        <v>6.5</v>
      </c>
      <c r="CY136" s="562">
        <v>17.856999999999999</v>
      </c>
      <c r="CZ136" s="560">
        <v>4678.3333329999996</v>
      </c>
      <c r="DA136" s="560">
        <v>26.5625</v>
      </c>
      <c r="DB136" s="560" t="s">
        <v>1719</v>
      </c>
      <c r="DC136" s="560">
        <v>50</v>
      </c>
      <c r="DD136" s="560">
        <v>4</v>
      </c>
      <c r="DE136" s="560" t="s">
        <v>1720</v>
      </c>
      <c r="DF136" s="560">
        <v>5</v>
      </c>
      <c r="DG136" s="560">
        <v>0</v>
      </c>
      <c r="DH136" s="560">
        <v>4.5</v>
      </c>
      <c r="DI136" s="560">
        <v>4.5</v>
      </c>
      <c r="DJ136" s="560">
        <v>0</v>
      </c>
      <c r="DK136" s="560">
        <v>0</v>
      </c>
      <c r="DL136" s="560">
        <v>0</v>
      </c>
      <c r="DM136" s="560">
        <v>0</v>
      </c>
      <c r="DN136" s="560">
        <v>0</v>
      </c>
      <c r="DO136" s="560">
        <v>0</v>
      </c>
    </row>
    <row r="137" spans="1:119">
      <c r="A137" s="560" t="s">
        <v>854</v>
      </c>
      <c r="B137" s="560" t="s">
        <v>1713</v>
      </c>
      <c r="C137" s="560" t="s">
        <v>767</v>
      </c>
      <c r="D137" s="560">
        <v>3</v>
      </c>
      <c r="E137" s="560">
        <v>826.941959</v>
      </c>
      <c r="F137" s="560">
        <v>58.922297</v>
      </c>
      <c r="G137" s="560">
        <v>4974.4274999999998</v>
      </c>
      <c r="H137" s="560">
        <v>391.60199999999998</v>
      </c>
      <c r="I137" s="560">
        <v>0.968943</v>
      </c>
      <c r="J137" s="560">
        <v>0.31771100000000002</v>
      </c>
      <c r="K137" s="560">
        <v>0.33785500000000002</v>
      </c>
      <c r="L137" s="560">
        <v>0.50830900000000001</v>
      </c>
      <c r="M137" s="560">
        <v>20989.811471000001</v>
      </c>
      <c r="N137" s="560">
        <v>21774.766436999998</v>
      </c>
      <c r="O137" s="560">
        <v>6152.2481580000003</v>
      </c>
      <c r="P137" s="560">
        <v>366.41895199999999</v>
      </c>
      <c r="Q137" s="560">
        <v>519.40646500000003</v>
      </c>
      <c r="R137" s="560">
        <v>1702.900897</v>
      </c>
      <c r="S137" s="560">
        <v>3321.23855</v>
      </c>
      <c r="T137" s="560">
        <v>3701.3894089999999</v>
      </c>
      <c r="U137" s="560">
        <v>881.28218600000002</v>
      </c>
      <c r="V137" s="560">
        <v>37.897804999999998</v>
      </c>
      <c r="W137" s="560">
        <v>4.5234620000000003</v>
      </c>
      <c r="X137" s="560">
        <v>0</v>
      </c>
      <c r="Y137" s="560">
        <v>88.059094999999999</v>
      </c>
      <c r="Z137" s="560">
        <v>288.70628599999998</v>
      </c>
      <c r="AA137" s="560">
        <v>75894.781851000007</v>
      </c>
      <c r="AB137" s="560">
        <v>78881.352331000002</v>
      </c>
      <c r="AC137" s="560">
        <v>50434.479077000004</v>
      </c>
      <c r="AD137" s="560">
        <v>39992.722623000001</v>
      </c>
      <c r="AE137" s="560">
        <v>1040.7034619999999</v>
      </c>
      <c r="AF137" s="560">
        <v>34669.544845999997</v>
      </c>
      <c r="AG137" s="560">
        <v>39332.855111999997</v>
      </c>
      <c r="AH137" s="560">
        <v>9303.8260449999998</v>
      </c>
      <c r="AI137" s="560">
        <v>22.1</v>
      </c>
      <c r="AJ137" s="560">
        <v>1159.8790670000001</v>
      </c>
      <c r="AK137" s="560">
        <v>0</v>
      </c>
      <c r="AL137" s="560">
        <v>200.75</v>
      </c>
      <c r="AM137" s="560">
        <v>0</v>
      </c>
      <c r="AN137" s="560">
        <v>0</v>
      </c>
      <c r="AO137" s="560">
        <v>0</v>
      </c>
      <c r="AP137" s="560">
        <v>0</v>
      </c>
      <c r="AQ137" s="560" t="s">
        <v>854</v>
      </c>
      <c r="AR137" s="560" t="s">
        <v>1722</v>
      </c>
      <c r="AS137" s="560">
        <v>0</v>
      </c>
      <c r="AT137" s="560">
        <v>0</v>
      </c>
      <c r="AU137" s="560">
        <v>0</v>
      </c>
      <c r="AV137" s="560">
        <v>69</v>
      </c>
      <c r="AW137" s="560">
        <v>64</v>
      </c>
      <c r="AX137" s="560">
        <v>74</v>
      </c>
      <c r="AY137" s="560">
        <v>78</v>
      </c>
      <c r="AZ137" s="560">
        <v>1</v>
      </c>
      <c r="BA137" s="560">
        <v>3099</v>
      </c>
      <c r="BB137" s="560">
        <v>0</v>
      </c>
      <c r="BC137" s="560">
        <v>0.5</v>
      </c>
      <c r="BD137" s="560">
        <v>0</v>
      </c>
      <c r="BE137" s="560" t="s">
        <v>1798</v>
      </c>
      <c r="BF137" s="560">
        <v>4</v>
      </c>
      <c r="BG137" s="560">
        <v>17.399999999999999</v>
      </c>
      <c r="BH137" s="560">
        <v>1</v>
      </c>
      <c r="BI137" s="560">
        <v>2</v>
      </c>
      <c r="BJ137" s="560">
        <v>35</v>
      </c>
      <c r="BK137" s="560">
        <v>0</v>
      </c>
      <c r="BL137" s="560" t="s">
        <v>1747</v>
      </c>
      <c r="BM137" s="560">
        <v>0.02</v>
      </c>
      <c r="BN137" s="560">
        <v>0</v>
      </c>
      <c r="BO137" s="560">
        <v>4.5</v>
      </c>
      <c r="BP137" s="560" t="s">
        <v>1747</v>
      </c>
      <c r="BQ137" s="560">
        <v>0.03</v>
      </c>
      <c r="BR137" s="560">
        <v>60</v>
      </c>
      <c r="BS137" s="560">
        <v>4.9000000000000004</v>
      </c>
      <c r="BT137" s="560">
        <v>5000</v>
      </c>
      <c r="BU137" s="560">
        <v>40100</v>
      </c>
      <c r="BV137" s="560">
        <v>200</v>
      </c>
      <c r="BW137" s="560">
        <v>26.8</v>
      </c>
      <c r="BX137" s="560">
        <v>2788</v>
      </c>
      <c r="BY137" s="560">
        <v>11.4</v>
      </c>
      <c r="BZ137" s="560">
        <v>1800</v>
      </c>
      <c r="CA137" s="560">
        <v>35</v>
      </c>
      <c r="CB137" s="560">
        <v>0.85</v>
      </c>
      <c r="CC137" s="560">
        <v>187.5</v>
      </c>
      <c r="CD137" s="560">
        <v>187.5</v>
      </c>
      <c r="CE137" s="560">
        <v>187.5</v>
      </c>
      <c r="CF137" s="560">
        <v>187.5</v>
      </c>
      <c r="CG137" s="560">
        <v>0.29299999999999998</v>
      </c>
      <c r="CH137" s="560">
        <v>0.3</v>
      </c>
      <c r="CI137" s="560">
        <v>0.54</v>
      </c>
      <c r="CJ137" s="560">
        <v>40</v>
      </c>
      <c r="CK137" s="560">
        <v>5</v>
      </c>
      <c r="CL137" s="560">
        <v>4</v>
      </c>
      <c r="CM137" s="562">
        <v>1600</v>
      </c>
      <c r="CN137" s="562">
        <v>164</v>
      </c>
      <c r="CO137" s="562">
        <v>26.8</v>
      </c>
      <c r="CP137" s="562">
        <v>0</v>
      </c>
      <c r="CQ137" s="562">
        <v>0</v>
      </c>
      <c r="CR137" s="562" t="s">
        <v>1718</v>
      </c>
      <c r="CS137" s="562">
        <v>0</v>
      </c>
      <c r="CT137" s="562">
        <v>0</v>
      </c>
      <c r="CU137" s="562">
        <v>0.75</v>
      </c>
      <c r="CV137" s="562">
        <v>0.5</v>
      </c>
      <c r="CW137" s="562">
        <v>17.856999999999999</v>
      </c>
      <c r="CX137" s="562">
        <v>6.5</v>
      </c>
      <c r="CY137" s="562">
        <v>17.856999999999999</v>
      </c>
      <c r="CZ137" s="560">
        <v>4678.3333329999996</v>
      </c>
      <c r="DA137" s="560">
        <v>26.5625</v>
      </c>
      <c r="DB137" s="560" t="s">
        <v>1719</v>
      </c>
      <c r="DC137" s="560">
        <v>50</v>
      </c>
      <c r="DD137" s="560">
        <v>4</v>
      </c>
      <c r="DE137" s="560" t="s">
        <v>1720</v>
      </c>
      <c r="DF137" s="560">
        <v>5</v>
      </c>
      <c r="DG137" s="560">
        <v>0</v>
      </c>
      <c r="DH137" s="560">
        <v>4.5</v>
      </c>
      <c r="DI137" s="560">
        <v>4.5</v>
      </c>
      <c r="DJ137" s="560">
        <v>0</v>
      </c>
      <c r="DK137" s="560">
        <v>0</v>
      </c>
      <c r="DL137" s="560">
        <v>0</v>
      </c>
      <c r="DM137" s="560">
        <v>0</v>
      </c>
      <c r="DN137" s="560">
        <v>0</v>
      </c>
      <c r="DO137" s="560">
        <v>0</v>
      </c>
    </row>
    <row r="138" spans="1:119">
      <c r="A138" s="560" t="s">
        <v>855</v>
      </c>
      <c r="B138" s="560" t="s">
        <v>1713</v>
      </c>
      <c r="C138" s="560" t="s">
        <v>770</v>
      </c>
      <c r="D138" s="560">
        <v>3</v>
      </c>
      <c r="E138" s="560">
        <v>826.941959</v>
      </c>
      <c r="F138" s="560">
        <v>58.922297</v>
      </c>
      <c r="G138" s="560">
        <v>4974.4274999999998</v>
      </c>
      <c r="H138" s="560">
        <v>755.94</v>
      </c>
      <c r="I138" s="560">
        <v>0.968943</v>
      </c>
      <c r="J138" s="560">
        <v>0.31771100000000002</v>
      </c>
      <c r="K138" s="560">
        <v>0.33785500000000002</v>
      </c>
      <c r="L138" s="560">
        <v>0.50830900000000001</v>
      </c>
      <c r="M138" s="560">
        <v>20989.811471000001</v>
      </c>
      <c r="N138" s="560">
        <v>21774.766436999998</v>
      </c>
      <c r="O138" s="560">
        <v>6152.2481580000003</v>
      </c>
      <c r="P138" s="560">
        <v>366.41895199999999</v>
      </c>
      <c r="Q138" s="560">
        <v>519.40646500000003</v>
      </c>
      <c r="R138" s="560">
        <v>1702.900897</v>
      </c>
      <c r="S138" s="560">
        <v>5623.3454689999999</v>
      </c>
      <c r="T138" s="560">
        <v>6064.2102720000003</v>
      </c>
      <c r="U138" s="560">
        <v>1449.887874</v>
      </c>
      <c r="V138" s="560">
        <v>12.964788</v>
      </c>
      <c r="W138" s="560">
        <v>0.89419199999999999</v>
      </c>
      <c r="X138" s="560">
        <v>0</v>
      </c>
      <c r="Y138" s="560">
        <v>147.24055200000001</v>
      </c>
      <c r="Z138" s="560">
        <v>482.735748</v>
      </c>
      <c r="AA138" s="560">
        <v>75894.781851000007</v>
      </c>
      <c r="AB138" s="560">
        <v>78881.352331000002</v>
      </c>
      <c r="AC138" s="560">
        <v>50434.479077000004</v>
      </c>
      <c r="AD138" s="560">
        <v>39992.722623000001</v>
      </c>
      <c r="AE138" s="560">
        <v>1040.7034619999999</v>
      </c>
      <c r="AF138" s="560">
        <v>37296.619207000003</v>
      </c>
      <c r="AG138" s="560">
        <v>40736.073655</v>
      </c>
      <c r="AH138" s="560">
        <v>10174.625516</v>
      </c>
      <c r="AI138" s="560">
        <v>22.1</v>
      </c>
      <c r="AJ138" s="560">
        <v>1159.8790670000001</v>
      </c>
      <c r="AK138" s="560">
        <v>0</v>
      </c>
      <c r="AL138" s="560">
        <v>200.75</v>
      </c>
      <c r="AM138" s="560">
        <v>0</v>
      </c>
      <c r="AN138" s="560">
        <v>0</v>
      </c>
      <c r="AO138" s="560">
        <v>0</v>
      </c>
      <c r="AP138" s="560">
        <v>0</v>
      </c>
      <c r="AQ138" s="560" t="s">
        <v>855</v>
      </c>
      <c r="AR138" s="560" t="s">
        <v>1724</v>
      </c>
      <c r="AS138" s="560">
        <v>0</v>
      </c>
      <c r="AT138" s="560">
        <v>0</v>
      </c>
      <c r="AU138" s="560">
        <v>0</v>
      </c>
      <c r="AV138" s="560">
        <v>69</v>
      </c>
      <c r="AW138" s="560">
        <v>64</v>
      </c>
      <c r="AX138" s="560">
        <v>74</v>
      </c>
      <c r="AY138" s="560">
        <v>78</v>
      </c>
      <c r="AZ138" s="560">
        <v>1</v>
      </c>
      <c r="BA138" s="560">
        <v>3099</v>
      </c>
      <c r="BB138" s="560">
        <v>0</v>
      </c>
      <c r="BC138" s="560">
        <v>0.5</v>
      </c>
      <c r="BD138" s="560">
        <v>0</v>
      </c>
      <c r="BE138" s="560" t="s">
        <v>1798</v>
      </c>
      <c r="BF138" s="560">
        <v>4</v>
      </c>
      <c r="BG138" s="560">
        <v>17.399999999999999</v>
      </c>
      <c r="BH138" s="560">
        <v>1</v>
      </c>
      <c r="BI138" s="560">
        <v>2</v>
      </c>
      <c r="BJ138" s="560">
        <v>35</v>
      </c>
      <c r="BK138" s="560">
        <v>0</v>
      </c>
      <c r="BL138" s="560" t="s">
        <v>1747</v>
      </c>
      <c r="BM138" s="560">
        <v>0.02</v>
      </c>
      <c r="BN138" s="560">
        <v>0</v>
      </c>
      <c r="BO138" s="560">
        <v>4.5</v>
      </c>
      <c r="BP138" s="560" t="s">
        <v>1747</v>
      </c>
      <c r="BQ138" s="560">
        <v>0.03</v>
      </c>
      <c r="BR138" s="560">
        <v>60</v>
      </c>
      <c r="BS138" s="560">
        <v>4.9000000000000004</v>
      </c>
      <c r="BT138" s="560">
        <v>5000</v>
      </c>
      <c r="BU138" s="560">
        <v>40100</v>
      </c>
      <c r="BV138" s="560">
        <v>200</v>
      </c>
      <c r="BW138" s="560">
        <v>26.8</v>
      </c>
      <c r="BX138" s="560">
        <v>2788</v>
      </c>
      <c r="BY138" s="560">
        <v>11.4</v>
      </c>
      <c r="BZ138" s="560">
        <v>1800</v>
      </c>
      <c r="CA138" s="560">
        <v>35</v>
      </c>
      <c r="CB138" s="560">
        <v>0.85</v>
      </c>
      <c r="CC138" s="560">
        <v>187.5</v>
      </c>
      <c r="CD138" s="560">
        <v>187.5</v>
      </c>
      <c r="CE138" s="560">
        <v>187.5</v>
      </c>
      <c r="CF138" s="560">
        <v>187.5</v>
      </c>
      <c r="CG138" s="560">
        <v>0.29299999999999998</v>
      </c>
      <c r="CH138" s="560">
        <v>0.3</v>
      </c>
      <c r="CI138" s="560">
        <v>0.54</v>
      </c>
      <c r="CJ138" s="560">
        <v>40</v>
      </c>
      <c r="CK138" s="560">
        <v>5</v>
      </c>
      <c r="CL138" s="560">
        <v>4</v>
      </c>
      <c r="CM138" s="562">
        <v>1600</v>
      </c>
      <c r="CN138" s="562">
        <v>164</v>
      </c>
      <c r="CO138" s="562">
        <v>26.8</v>
      </c>
      <c r="CP138" s="562">
        <v>0</v>
      </c>
      <c r="CQ138" s="562">
        <v>0</v>
      </c>
      <c r="CR138" s="562" t="s">
        <v>1718</v>
      </c>
      <c r="CS138" s="562">
        <v>0</v>
      </c>
      <c r="CT138" s="562">
        <v>0</v>
      </c>
      <c r="CU138" s="562">
        <v>0.75</v>
      </c>
      <c r="CV138" s="562">
        <v>0.5</v>
      </c>
      <c r="CW138" s="562">
        <v>17.856999999999999</v>
      </c>
      <c r="CX138" s="562">
        <v>6.5</v>
      </c>
      <c r="CY138" s="562">
        <v>17.856999999999999</v>
      </c>
      <c r="CZ138" s="560">
        <v>4678.3333329999996</v>
      </c>
      <c r="DA138" s="560">
        <v>26.5625</v>
      </c>
      <c r="DB138" s="560" t="s">
        <v>1719</v>
      </c>
      <c r="DC138" s="560">
        <v>50</v>
      </c>
      <c r="DD138" s="560">
        <v>4</v>
      </c>
      <c r="DE138" s="560" t="s">
        <v>1720</v>
      </c>
      <c r="DF138" s="560">
        <v>5</v>
      </c>
      <c r="DG138" s="560">
        <v>0</v>
      </c>
      <c r="DH138" s="560">
        <v>4.5</v>
      </c>
      <c r="DI138" s="560">
        <v>4.5</v>
      </c>
      <c r="DJ138" s="560">
        <v>0</v>
      </c>
      <c r="DK138" s="560">
        <v>0</v>
      </c>
      <c r="DL138" s="560">
        <v>0</v>
      </c>
      <c r="DM138" s="560">
        <v>0</v>
      </c>
      <c r="DN138" s="560">
        <v>0</v>
      </c>
      <c r="DO138" s="560">
        <v>0</v>
      </c>
    </row>
    <row r="139" spans="1:119">
      <c r="A139" s="560" t="s">
        <v>856</v>
      </c>
      <c r="B139" s="560" t="s">
        <v>1713</v>
      </c>
      <c r="C139" s="560" t="s">
        <v>779</v>
      </c>
      <c r="D139" s="560">
        <v>3</v>
      </c>
      <c r="E139" s="560">
        <v>780.68315500000006</v>
      </c>
      <c r="F139" s="560">
        <v>57.355441999999996</v>
      </c>
      <c r="G139" s="560">
        <v>6644.9655000000002</v>
      </c>
      <c r="H139" s="560">
        <v>139.9665</v>
      </c>
      <c r="I139" s="560">
        <v>0.91800700000000002</v>
      </c>
      <c r="J139" s="560">
        <v>0.35831499999999999</v>
      </c>
      <c r="K139" s="560">
        <v>0.385185</v>
      </c>
      <c r="L139" s="560">
        <v>0.57955100000000004</v>
      </c>
      <c r="M139" s="560">
        <v>27350.578215000001</v>
      </c>
      <c r="N139" s="560">
        <v>28355.958659</v>
      </c>
      <c r="O139" s="560">
        <v>8530.3564009999991</v>
      </c>
      <c r="P139" s="560">
        <v>1357.9268549999999</v>
      </c>
      <c r="Q139" s="560">
        <v>652.182232</v>
      </c>
      <c r="R139" s="560">
        <v>2443.672114</v>
      </c>
      <c r="S139" s="560">
        <v>1565.4039110000001</v>
      </c>
      <c r="T139" s="560">
        <v>1822.7976309999999</v>
      </c>
      <c r="U139" s="560">
        <v>434.82343700000001</v>
      </c>
      <c r="V139" s="560">
        <v>38.004997000000003</v>
      </c>
      <c r="W139" s="560">
        <v>8.8888879999999997</v>
      </c>
      <c r="X139" s="560">
        <v>0</v>
      </c>
      <c r="Y139" s="560">
        <v>42.625425</v>
      </c>
      <c r="Z139" s="560">
        <v>159.71389199999999</v>
      </c>
      <c r="AA139" s="560">
        <v>85278.016845000006</v>
      </c>
      <c r="AB139" s="560">
        <v>88041.224296</v>
      </c>
      <c r="AC139" s="560">
        <v>61343.179951999999</v>
      </c>
      <c r="AD139" s="560">
        <v>52072.72625</v>
      </c>
      <c r="AE139" s="560">
        <v>910.61553000000004</v>
      </c>
      <c r="AF139" s="560">
        <v>24469.419308</v>
      </c>
      <c r="AG139" s="560">
        <v>26949.146476999998</v>
      </c>
      <c r="AH139" s="560">
        <v>6445.447075</v>
      </c>
      <c r="AI139" s="560">
        <v>32.450000000000003</v>
      </c>
      <c r="AJ139" s="560">
        <v>1446.4148520000001</v>
      </c>
      <c r="AK139" s="560">
        <v>0</v>
      </c>
      <c r="AL139" s="560">
        <v>200.75</v>
      </c>
      <c r="AM139" s="560">
        <v>0</v>
      </c>
      <c r="AN139" s="560">
        <v>0</v>
      </c>
      <c r="AO139" s="560">
        <v>0</v>
      </c>
      <c r="AP139" s="560">
        <v>0</v>
      </c>
      <c r="AQ139" s="560" t="s">
        <v>856</v>
      </c>
      <c r="AR139" s="560" t="s">
        <v>1729</v>
      </c>
      <c r="AS139" s="560">
        <v>0</v>
      </c>
      <c r="AT139" s="560">
        <v>0</v>
      </c>
      <c r="AU139" s="560">
        <v>0</v>
      </c>
      <c r="AV139" s="560">
        <v>69</v>
      </c>
      <c r="AW139" s="560">
        <v>64</v>
      </c>
      <c r="AX139" s="560">
        <v>74</v>
      </c>
      <c r="AY139" s="560">
        <v>78</v>
      </c>
      <c r="AZ139" s="560">
        <v>1</v>
      </c>
      <c r="BA139" s="560">
        <v>3099</v>
      </c>
      <c r="BB139" s="560">
        <v>0</v>
      </c>
      <c r="BC139" s="560">
        <v>0.5</v>
      </c>
      <c r="BD139" s="560">
        <v>0</v>
      </c>
      <c r="BE139" s="560" t="s">
        <v>1798</v>
      </c>
      <c r="BF139" s="560">
        <v>3.5</v>
      </c>
      <c r="BG139" s="560">
        <v>17.399999999999999</v>
      </c>
      <c r="BH139" s="560">
        <v>1</v>
      </c>
      <c r="BI139" s="560">
        <v>2</v>
      </c>
      <c r="BJ139" s="560">
        <v>35</v>
      </c>
      <c r="BK139" s="560">
        <v>0</v>
      </c>
      <c r="BL139" s="560" t="s">
        <v>1747</v>
      </c>
      <c r="BM139" s="560">
        <v>0.02</v>
      </c>
      <c r="BN139" s="560">
        <v>0</v>
      </c>
      <c r="BO139" s="560">
        <v>6</v>
      </c>
      <c r="BP139" s="560" t="s">
        <v>1747</v>
      </c>
      <c r="BQ139" s="560">
        <v>0.03</v>
      </c>
      <c r="BR139" s="560">
        <v>60</v>
      </c>
      <c r="BS139" s="560">
        <v>6</v>
      </c>
      <c r="BT139" s="560">
        <v>5000</v>
      </c>
      <c r="BU139" s="560">
        <v>40100</v>
      </c>
      <c r="BV139" s="560">
        <v>200</v>
      </c>
      <c r="BW139" s="560">
        <v>30.609376350000002</v>
      </c>
      <c r="BX139" s="560">
        <v>2788</v>
      </c>
      <c r="BY139" s="560">
        <v>17.543859650000002</v>
      </c>
      <c r="BZ139" s="560">
        <v>1800</v>
      </c>
      <c r="CA139" s="560">
        <v>37.664196859999997</v>
      </c>
      <c r="CB139" s="560">
        <v>0.85</v>
      </c>
      <c r="CC139" s="560">
        <v>187.5</v>
      </c>
      <c r="CD139" s="560">
        <v>187.5</v>
      </c>
      <c r="CE139" s="560">
        <v>187.5</v>
      </c>
      <c r="CF139" s="560">
        <v>187.5</v>
      </c>
      <c r="CG139" s="560">
        <v>0.29299999999999998</v>
      </c>
      <c r="CH139" s="560">
        <v>0.3</v>
      </c>
      <c r="CI139" s="560">
        <v>0.54</v>
      </c>
      <c r="CJ139" s="560">
        <v>40</v>
      </c>
      <c r="CK139" s="560">
        <v>5</v>
      </c>
      <c r="CL139" s="560">
        <v>4</v>
      </c>
      <c r="CM139" s="562">
        <v>1600</v>
      </c>
      <c r="CN139" s="562">
        <v>164</v>
      </c>
      <c r="CO139" s="562">
        <v>30.609376350000002</v>
      </c>
      <c r="CP139" s="562">
        <v>0</v>
      </c>
      <c r="CQ139" s="562">
        <v>0</v>
      </c>
      <c r="CR139" s="562" t="s">
        <v>1718</v>
      </c>
      <c r="CS139" s="562">
        <v>0</v>
      </c>
      <c r="CT139" s="562">
        <v>0</v>
      </c>
      <c r="CU139" s="562">
        <v>0.75</v>
      </c>
      <c r="CV139" s="562">
        <v>0.5</v>
      </c>
      <c r="CW139" s="562">
        <v>17.856999999999999</v>
      </c>
      <c r="CX139" s="562">
        <v>6.5</v>
      </c>
      <c r="CY139" s="562">
        <v>17.856999999999999</v>
      </c>
      <c r="CZ139" s="560">
        <v>4678.3333329999996</v>
      </c>
      <c r="DA139" s="560">
        <v>26.5625</v>
      </c>
      <c r="DB139" s="560" t="s">
        <v>1719</v>
      </c>
      <c r="DC139" s="560">
        <v>50</v>
      </c>
      <c r="DD139" s="560">
        <v>4</v>
      </c>
      <c r="DE139" s="560" t="s">
        <v>1720</v>
      </c>
      <c r="DF139" s="560">
        <v>5</v>
      </c>
      <c r="DG139" s="560">
        <v>0</v>
      </c>
      <c r="DH139" s="560">
        <v>4.5</v>
      </c>
      <c r="DI139" s="560">
        <v>4.5</v>
      </c>
      <c r="DJ139" s="560">
        <v>0</v>
      </c>
      <c r="DK139" s="560">
        <v>0</v>
      </c>
      <c r="DL139" s="560">
        <v>0</v>
      </c>
      <c r="DM139" s="560">
        <v>0</v>
      </c>
      <c r="DN139" s="560">
        <v>0</v>
      </c>
      <c r="DO139" s="560">
        <v>0</v>
      </c>
    </row>
    <row r="140" spans="1:119">
      <c r="A140" s="560" t="s">
        <v>857</v>
      </c>
      <c r="B140" s="560" t="s">
        <v>1713</v>
      </c>
      <c r="C140" s="560" t="s">
        <v>782</v>
      </c>
      <c r="D140" s="560">
        <v>3</v>
      </c>
      <c r="E140" s="560">
        <v>780.68315500000006</v>
      </c>
      <c r="F140" s="560">
        <v>57.355441999999996</v>
      </c>
      <c r="G140" s="560">
        <v>6644.9655000000002</v>
      </c>
      <c r="H140" s="560">
        <v>391.60199999999998</v>
      </c>
      <c r="I140" s="560">
        <v>0.91800700000000002</v>
      </c>
      <c r="J140" s="560">
        <v>0.35831499999999999</v>
      </c>
      <c r="K140" s="560">
        <v>0.385185</v>
      </c>
      <c r="L140" s="560">
        <v>0.57955100000000004</v>
      </c>
      <c r="M140" s="560">
        <v>27350.578215000001</v>
      </c>
      <c r="N140" s="560">
        <v>28355.958659</v>
      </c>
      <c r="O140" s="560">
        <v>8530.3564009999991</v>
      </c>
      <c r="P140" s="560">
        <v>1357.9268549999999</v>
      </c>
      <c r="Q140" s="560">
        <v>652.182232</v>
      </c>
      <c r="R140" s="560">
        <v>2443.672114</v>
      </c>
      <c r="S140" s="560">
        <v>3214.2091620000001</v>
      </c>
      <c r="T140" s="560">
        <v>3579.3639600000001</v>
      </c>
      <c r="U140" s="560">
        <v>850.30146000000002</v>
      </c>
      <c r="V140" s="560">
        <v>36.394246000000003</v>
      </c>
      <c r="W140" s="560">
        <v>4.4777370000000003</v>
      </c>
      <c r="X140" s="560">
        <v>0</v>
      </c>
      <c r="Y140" s="560">
        <v>85.179267999999993</v>
      </c>
      <c r="Z140" s="560">
        <v>319.15957300000002</v>
      </c>
      <c r="AA140" s="560">
        <v>85278.016845000006</v>
      </c>
      <c r="AB140" s="560">
        <v>88041.224296</v>
      </c>
      <c r="AC140" s="560">
        <v>61343.179951999999</v>
      </c>
      <c r="AD140" s="560">
        <v>52072.72625</v>
      </c>
      <c r="AE140" s="560">
        <v>910.61553000000004</v>
      </c>
      <c r="AF140" s="560">
        <v>32652.549271</v>
      </c>
      <c r="AG140" s="560">
        <v>36906.554162</v>
      </c>
      <c r="AH140" s="560">
        <v>8647.7728019999995</v>
      </c>
      <c r="AI140" s="560">
        <v>32.450000000000003</v>
      </c>
      <c r="AJ140" s="560">
        <v>1446.4148520000001</v>
      </c>
      <c r="AK140" s="560">
        <v>0</v>
      </c>
      <c r="AL140" s="560">
        <v>200.75</v>
      </c>
      <c r="AM140" s="560">
        <v>0</v>
      </c>
      <c r="AN140" s="560">
        <v>0</v>
      </c>
      <c r="AO140" s="560">
        <v>0</v>
      </c>
      <c r="AP140" s="560">
        <v>0</v>
      </c>
      <c r="AQ140" s="560" t="s">
        <v>857</v>
      </c>
      <c r="AR140" s="560" t="s">
        <v>1731</v>
      </c>
      <c r="AS140" s="560">
        <v>0</v>
      </c>
      <c r="AT140" s="560">
        <v>0</v>
      </c>
      <c r="AU140" s="560">
        <v>0</v>
      </c>
      <c r="AV140" s="560">
        <v>69</v>
      </c>
      <c r="AW140" s="560">
        <v>64</v>
      </c>
      <c r="AX140" s="560">
        <v>74</v>
      </c>
      <c r="AY140" s="560">
        <v>78</v>
      </c>
      <c r="AZ140" s="560">
        <v>1</v>
      </c>
      <c r="BA140" s="560">
        <v>3099</v>
      </c>
      <c r="BB140" s="560">
        <v>0</v>
      </c>
      <c r="BC140" s="560">
        <v>0.5</v>
      </c>
      <c r="BD140" s="560">
        <v>0</v>
      </c>
      <c r="BE140" s="560" t="s">
        <v>1798</v>
      </c>
      <c r="BF140" s="560">
        <v>3.5</v>
      </c>
      <c r="BG140" s="560">
        <v>17.399999999999999</v>
      </c>
      <c r="BH140" s="560">
        <v>1</v>
      </c>
      <c r="BI140" s="560">
        <v>2</v>
      </c>
      <c r="BJ140" s="560">
        <v>35</v>
      </c>
      <c r="BK140" s="560">
        <v>0</v>
      </c>
      <c r="BL140" s="560" t="s">
        <v>1747</v>
      </c>
      <c r="BM140" s="560">
        <v>0.02</v>
      </c>
      <c r="BN140" s="560">
        <v>0</v>
      </c>
      <c r="BO140" s="560">
        <v>6</v>
      </c>
      <c r="BP140" s="560" t="s">
        <v>1747</v>
      </c>
      <c r="BQ140" s="560">
        <v>0.03</v>
      </c>
      <c r="BR140" s="560">
        <v>60</v>
      </c>
      <c r="BS140" s="560">
        <v>6</v>
      </c>
      <c r="BT140" s="560">
        <v>5000</v>
      </c>
      <c r="BU140" s="560">
        <v>40100</v>
      </c>
      <c r="BV140" s="560">
        <v>200</v>
      </c>
      <c r="BW140" s="560">
        <v>30.609376350000002</v>
      </c>
      <c r="BX140" s="560">
        <v>2788</v>
      </c>
      <c r="BY140" s="560">
        <v>17.543859650000002</v>
      </c>
      <c r="BZ140" s="560">
        <v>1800</v>
      </c>
      <c r="CA140" s="560">
        <v>37.664196859999997</v>
      </c>
      <c r="CB140" s="560">
        <v>0.85</v>
      </c>
      <c r="CC140" s="560">
        <v>187.5</v>
      </c>
      <c r="CD140" s="560">
        <v>187.5</v>
      </c>
      <c r="CE140" s="560">
        <v>187.5</v>
      </c>
      <c r="CF140" s="560">
        <v>187.5</v>
      </c>
      <c r="CG140" s="560">
        <v>0.29299999999999998</v>
      </c>
      <c r="CH140" s="560">
        <v>0.3</v>
      </c>
      <c r="CI140" s="560">
        <v>0.54</v>
      </c>
      <c r="CJ140" s="560">
        <v>40</v>
      </c>
      <c r="CK140" s="560">
        <v>5</v>
      </c>
      <c r="CL140" s="560">
        <v>4</v>
      </c>
      <c r="CM140" s="562">
        <v>1600</v>
      </c>
      <c r="CN140" s="562">
        <v>164</v>
      </c>
      <c r="CO140" s="562">
        <v>30.609376350000002</v>
      </c>
      <c r="CP140" s="562">
        <v>0</v>
      </c>
      <c r="CQ140" s="562">
        <v>0</v>
      </c>
      <c r="CR140" s="562" t="s">
        <v>1718</v>
      </c>
      <c r="CS140" s="562">
        <v>0</v>
      </c>
      <c r="CT140" s="562">
        <v>0</v>
      </c>
      <c r="CU140" s="562">
        <v>0.75</v>
      </c>
      <c r="CV140" s="562">
        <v>0.5</v>
      </c>
      <c r="CW140" s="562">
        <v>17.856999999999999</v>
      </c>
      <c r="CX140" s="562">
        <v>6.5</v>
      </c>
      <c r="CY140" s="562">
        <v>17.856999999999999</v>
      </c>
      <c r="CZ140" s="560">
        <v>4678.3333329999996</v>
      </c>
      <c r="DA140" s="560">
        <v>26.5625</v>
      </c>
      <c r="DB140" s="560" t="s">
        <v>1719</v>
      </c>
      <c r="DC140" s="560">
        <v>50</v>
      </c>
      <c r="DD140" s="560">
        <v>4</v>
      </c>
      <c r="DE140" s="560" t="s">
        <v>1720</v>
      </c>
      <c r="DF140" s="560">
        <v>5</v>
      </c>
      <c r="DG140" s="560">
        <v>0</v>
      </c>
      <c r="DH140" s="560">
        <v>4.5</v>
      </c>
      <c r="DI140" s="560">
        <v>4.5</v>
      </c>
      <c r="DJ140" s="560">
        <v>0</v>
      </c>
      <c r="DK140" s="560">
        <v>0</v>
      </c>
      <c r="DL140" s="560">
        <v>0</v>
      </c>
      <c r="DM140" s="560">
        <v>0</v>
      </c>
      <c r="DN140" s="560">
        <v>0</v>
      </c>
      <c r="DO140" s="560">
        <v>0</v>
      </c>
    </row>
    <row r="141" spans="1:119">
      <c r="A141" s="560" t="s">
        <v>858</v>
      </c>
      <c r="B141" s="560" t="s">
        <v>1713</v>
      </c>
      <c r="C141" s="560" t="s">
        <v>785</v>
      </c>
      <c r="D141" s="560">
        <v>3</v>
      </c>
      <c r="E141" s="560">
        <v>780.68315500000006</v>
      </c>
      <c r="F141" s="560">
        <v>57.355441999999996</v>
      </c>
      <c r="G141" s="560">
        <v>6644.9655000000002</v>
      </c>
      <c r="H141" s="560">
        <v>755.94</v>
      </c>
      <c r="I141" s="560">
        <v>0.91800700000000002</v>
      </c>
      <c r="J141" s="560">
        <v>0.35831499999999999</v>
      </c>
      <c r="K141" s="560">
        <v>0.385185</v>
      </c>
      <c r="L141" s="560">
        <v>0.57955100000000004</v>
      </c>
      <c r="M141" s="560">
        <v>27350.578215000001</v>
      </c>
      <c r="N141" s="560">
        <v>28355.958659</v>
      </c>
      <c r="O141" s="560">
        <v>8530.3564009999991</v>
      </c>
      <c r="P141" s="560">
        <v>1357.9268549999999</v>
      </c>
      <c r="Q141" s="560">
        <v>652.182232</v>
      </c>
      <c r="R141" s="560">
        <v>2443.672114</v>
      </c>
      <c r="S141" s="560">
        <v>5415.0853800000004</v>
      </c>
      <c r="T141" s="560">
        <v>5835.6239919999998</v>
      </c>
      <c r="U141" s="560">
        <v>1391.288996</v>
      </c>
      <c r="V141" s="560">
        <v>12.43976</v>
      </c>
      <c r="W141" s="560">
        <v>0.89411799999999997</v>
      </c>
      <c r="X141" s="560">
        <v>0</v>
      </c>
      <c r="Y141" s="560">
        <v>141.73085399999999</v>
      </c>
      <c r="Z141" s="560">
        <v>531.05362000000002</v>
      </c>
      <c r="AA141" s="560">
        <v>85278.016845000006</v>
      </c>
      <c r="AB141" s="560">
        <v>88041.224296</v>
      </c>
      <c r="AC141" s="560">
        <v>61343.179951999999</v>
      </c>
      <c r="AD141" s="560">
        <v>52072.72625</v>
      </c>
      <c r="AE141" s="560">
        <v>910.61553000000004</v>
      </c>
      <c r="AF141" s="560">
        <v>33299.537197999998</v>
      </c>
      <c r="AG141" s="560">
        <v>36747.496987999999</v>
      </c>
      <c r="AH141" s="560">
        <v>8913.1093359999995</v>
      </c>
      <c r="AI141" s="560">
        <v>32.450000000000003</v>
      </c>
      <c r="AJ141" s="560">
        <v>1446.4148520000001</v>
      </c>
      <c r="AK141" s="560">
        <v>0</v>
      </c>
      <c r="AL141" s="560">
        <v>200.75</v>
      </c>
      <c r="AM141" s="560">
        <v>0</v>
      </c>
      <c r="AN141" s="560">
        <v>0</v>
      </c>
      <c r="AO141" s="560">
        <v>0</v>
      </c>
      <c r="AP141" s="560">
        <v>0</v>
      </c>
      <c r="AQ141" s="560" t="s">
        <v>858</v>
      </c>
      <c r="AR141" s="560" t="s">
        <v>1733</v>
      </c>
      <c r="AS141" s="560">
        <v>0</v>
      </c>
      <c r="AT141" s="560">
        <v>0</v>
      </c>
      <c r="AU141" s="560">
        <v>0</v>
      </c>
      <c r="AV141" s="560">
        <v>69</v>
      </c>
      <c r="AW141" s="560">
        <v>64</v>
      </c>
      <c r="AX141" s="560">
        <v>74</v>
      </c>
      <c r="AY141" s="560">
        <v>78</v>
      </c>
      <c r="AZ141" s="560">
        <v>1</v>
      </c>
      <c r="BA141" s="560">
        <v>3099</v>
      </c>
      <c r="BB141" s="560">
        <v>0</v>
      </c>
      <c r="BC141" s="560">
        <v>0.5</v>
      </c>
      <c r="BD141" s="560">
        <v>0</v>
      </c>
      <c r="BE141" s="560" t="s">
        <v>1798</v>
      </c>
      <c r="BF141" s="560">
        <v>3.5</v>
      </c>
      <c r="BG141" s="560">
        <v>17.399999999999999</v>
      </c>
      <c r="BH141" s="560">
        <v>1</v>
      </c>
      <c r="BI141" s="560">
        <v>2</v>
      </c>
      <c r="BJ141" s="560">
        <v>35</v>
      </c>
      <c r="BK141" s="560">
        <v>0</v>
      </c>
      <c r="BL141" s="560" t="s">
        <v>1747</v>
      </c>
      <c r="BM141" s="560">
        <v>0.02</v>
      </c>
      <c r="BN141" s="560">
        <v>0</v>
      </c>
      <c r="BO141" s="560">
        <v>6</v>
      </c>
      <c r="BP141" s="560" t="s">
        <v>1747</v>
      </c>
      <c r="BQ141" s="560">
        <v>0.03</v>
      </c>
      <c r="BR141" s="560">
        <v>60</v>
      </c>
      <c r="BS141" s="560">
        <v>6</v>
      </c>
      <c r="BT141" s="560">
        <v>5000</v>
      </c>
      <c r="BU141" s="560">
        <v>40100</v>
      </c>
      <c r="BV141" s="560">
        <v>200</v>
      </c>
      <c r="BW141" s="560">
        <v>30.609376350000002</v>
      </c>
      <c r="BX141" s="560">
        <v>2788</v>
      </c>
      <c r="BY141" s="560">
        <v>17.543859650000002</v>
      </c>
      <c r="BZ141" s="560">
        <v>1800</v>
      </c>
      <c r="CA141" s="560">
        <v>37.664196859999997</v>
      </c>
      <c r="CB141" s="560">
        <v>0.85</v>
      </c>
      <c r="CC141" s="560">
        <v>187.5</v>
      </c>
      <c r="CD141" s="560">
        <v>187.5</v>
      </c>
      <c r="CE141" s="560">
        <v>187.5</v>
      </c>
      <c r="CF141" s="560">
        <v>187.5</v>
      </c>
      <c r="CG141" s="560">
        <v>0.29299999999999998</v>
      </c>
      <c r="CH141" s="560">
        <v>0.3</v>
      </c>
      <c r="CI141" s="560">
        <v>0.54</v>
      </c>
      <c r="CJ141" s="560">
        <v>40</v>
      </c>
      <c r="CK141" s="560">
        <v>5</v>
      </c>
      <c r="CL141" s="560">
        <v>4</v>
      </c>
      <c r="CM141" s="562">
        <v>1600</v>
      </c>
      <c r="CN141" s="562">
        <v>164</v>
      </c>
      <c r="CO141" s="562">
        <v>30.609376350000002</v>
      </c>
      <c r="CP141" s="562">
        <v>0</v>
      </c>
      <c r="CQ141" s="562">
        <v>0</v>
      </c>
      <c r="CR141" s="562" t="s">
        <v>1718</v>
      </c>
      <c r="CS141" s="562">
        <v>0</v>
      </c>
      <c r="CT141" s="562">
        <v>0</v>
      </c>
      <c r="CU141" s="562">
        <v>0.75</v>
      </c>
      <c r="CV141" s="562">
        <v>0.5</v>
      </c>
      <c r="CW141" s="562">
        <v>17.856999999999999</v>
      </c>
      <c r="CX141" s="562">
        <v>6.5</v>
      </c>
      <c r="CY141" s="562">
        <v>17.856999999999999</v>
      </c>
      <c r="CZ141" s="560">
        <v>4678.3333329999996</v>
      </c>
      <c r="DA141" s="560">
        <v>26.5625</v>
      </c>
      <c r="DB141" s="560" t="s">
        <v>1719</v>
      </c>
      <c r="DC141" s="560">
        <v>50</v>
      </c>
      <c r="DD141" s="560">
        <v>4</v>
      </c>
      <c r="DE141" s="560" t="s">
        <v>1720</v>
      </c>
      <c r="DF141" s="560">
        <v>5</v>
      </c>
      <c r="DG141" s="560">
        <v>0</v>
      </c>
      <c r="DH141" s="560">
        <v>4.5</v>
      </c>
      <c r="DI141" s="560">
        <v>4.5</v>
      </c>
      <c r="DJ141" s="560">
        <v>0</v>
      </c>
      <c r="DK141" s="560">
        <v>0</v>
      </c>
      <c r="DL141" s="560">
        <v>0</v>
      </c>
      <c r="DM141" s="560">
        <v>0</v>
      </c>
      <c r="DN141" s="560">
        <v>0</v>
      </c>
      <c r="DO141" s="560">
        <v>0</v>
      </c>
    </row>
    <row r="142" spans="1:119">
      <c r="A142" s="560" t="s">
        <v>859</v>
      </c>
      <c r="B142" s="560" t="s">
        <v>1713</v>
      </c>
      <c r="C142" s="560" t="s">
        <v>779</v>
      </c>
      <c r="D142" s="560">
        <v>3</v>
      </c>
      <c r="E142" s="560">
        <v>844.42966200000001</v>
      </c>
      <c r="F142" s="560">
        <v>57.74568</v>
      </c>
      <c r="G142" s="560">
        <v>6644.9655000000002</v>
      </c>
      <c r="H142" s="560">
        <v>139.9665</v>
      </c>
      <c r="I142" s="560">
        <v>0.91800700000000002</v>
      </c>
      <c r="J142" s="560">
        <v>0.35943000000000003</v>
      </c>
      <c r="K142" s="560">
        <v>0.38225399999999998</v>
      </c>
      <c r="L142" s="560">
        <v>0.58463299999999996</v>
      </c>
      <c r="M142" s="560">
        <v>30138.416023000002</v>
      </c>
      <c r="N142" s="560">
        <v>31259.044953000001</v>
      </c>
      <c r="O142" s="560">
        <v>9125.1939490000004</v>
      </c>
      <c r="P142" s="560">
        <v>1093.6233070000001</v>
      </c>
      <c r="Q142" s="560">
        <v>728.29779199999996</v>
      </c>
      <c r="R142" s="560">
        <v>2387.7618889999999</v>
      </c>
      <c r="S142" s="560">
        <v>1596.8462239999999</v>
      </c>
      <c r="T142" s="560">
        <v>1862.0303699999999</v>
      </c>
      <c r="U142" s="560">
        <v>444.86369200000001</v>
      </c>
      <c r="V142" s="560">
        <v>39.265481999999999</v>
      </c>
      <c r="W142" s="560">
        <v>9.0028819999999996</v>
      </c>
      <c r="X142" s="560">
        <v>0</v>
      </c>
      <c r="Y142" s="560">
        <v>43.526356</v>
      </c>
      <c r="Z142" s="560">
        <v>142.70340400000001</v>
      </c>
      <c r="AA142" s="560">
        <v>88885.527512999994</v>
      </c>
      <c r="AB142" s="560">
        <v>91872.143849</v>
      </c>
      <c r="AC142" s="560">
        <v>61357.665385</v>
      </c>
      <c r="AD142" s="560">
        <v>50762.994938000003</v>
      </c>
      <c r="AE142" s="560">
        <v>1040.7034619999999</v>
      </c>
      <c r="AF142" s="560">
        <v>25790.579871000002</v>
      </c>
      <c r="AG142" s="560">
        <v>28446.202471000001</v>
      </c>
      <c r="AH142" s="560">
        <v>6838.5196489999998</v>
      </c>
      <c r="AI142" s="560">
        <v>17.850000000000001</v>
      </c>
      <c r="AJ142" s="560">
        <v>1602.307978</v>
      </c>
      <c r="AK142" s="560">
        <v>0</v>
      </c>
      <c r="AL142" s="560">
        <v>200.75</v>
      </c>
      <c r="AM142" s="560">
        <v>0</v>
      </c>
      <c r="AN142" s="560">
        <v>0</v>
      </c>
      <c r="AO142" s="560">
        <v>0</v>
      </c>
      <c r="AP142" s="560">
        <v>0</v>
      </c>
      <c r="AQ142" s="560" t="s">
        <v>859</v>
      </c>
      <c r="AR142" s="560" t="s">
        <v>1729</v>
      </c>
      <c r="AS142" s="560">
        <v>0</v>
      </c>
      <c r="AT142" s="560">
        <v>0</v>
      </c>
      <c r="AU142" s="560">
        <v>0</v>
      </c>
      <c r="AV142" s="560">
        <v>69</v>
      </c>
      <c r="AW142" s="560">
        <v>64</v>
      </c>
      <c r="AX142" s="560">
        <v>74</v>
      </c>
      <c r="AY142" s="560">
        <v>78</v>
      </c>
      <c r="AZ142" s="560">
        <v>1</v>
      </c>
      <c r="BA142" s="560">
        <v>3099</v>
      </c>
      <c r="BB142" s="560">
        <v>0</v>
      </c>
      <c r="BC142" s="560">
        <v>0.5</v>
      </c>
      <c r="BD142" s="560">
        <v>0</v>
      </c>
      <c r="BE142" s="560" t="s">
        <v>1798</v>
      </c>
      <c r="BF142" s="560">
        <v>4</v>
      </c>
      <c r="BG142" s="560">
        <v>17.399999999999999</v>
      </c>
      <c r="BH142" s="560">
        <v>1</v>
      </c>
      <c r="BI142" s="560">
        <v>2</v>
      </c>
      <c r="BJ142" s="560">
        <v>35</v>
      </c>
      <c r="BK142" s="560">
        <v>0</v>
      </c>
      <c r="BL142" s="560" t="s">
        <v>1747</v>
      </c>
      <c r="BM142" s="560">
        <v>0.02</v>
      </c>
      <c r="BN142" s="560">
        <v>0</v>
      </c>
      <c r="BO142" s="560">
        <v>4.5</v>
      </c>
      <c r="BP142" s="560" t="s">
        <v>1747</v>
      </c>
      <c r="BQ142" s="560">
        <v>0.03</v>
      </c>
      <c r="BR142" s="560">
        <v>60</v>
      </c>
      <c r="BS142" s="560">
        <v>4.9000000000000004</v>
      </c>
      <c r="BT142" s="560">
        <v>5000</v>
      </c>
      <c r="BU142" s="560">
        <v>40100</v>
      </c>
      <c r="BV142" s="560">
        <v>200</v>
      </c>
      <c r="BW142" s="560">
        <v>26.8</v>
      </c>
      <c r="BX142" s="560">
        <v>2788</v>
      </c>
      <c r="BY142" s="560">
        <v>11.4</v>
      </c>
      <c r="BZ142" s="560">
        <v>1800</v>
      </c>
      <c r="CA142" s="560">
        <v>35</v>
      </c>
      <c r="CB142" s="560">
        <v>0.85</v>
      </c>
      <c r="CC142" s="560">
        <v>187.5</v>
      </c>
      <c r="CD142" s="560">
        <v>187.5</v>
      </c>
      <c r="CE142" s="560">
        <v>187.5</v>
      </c>
      <c r="CF142" s="560">
        <v>187.5</v>
      </c>
      <c r="CG142" s="560">
        <v>0.29299999999999998</v>
      </c>
      <c r="CH142" s="560">
        <v>0.3</v>
      </c>
      <c r="CI142" s="560">
        <v>0.54</v>
      </c>
      <c r="CJ142" s="560">
        <v>40</v>
      </c>
      <c r="CK142" s="560">
        <v>5</v>
      </c>
      <c r="CL142" s="560">
        <v>4</v>
      </c>
      <c r="CM142" s="562">
        <v>1600</v>
      </c>
      <c r="CN142" s="562">
        <v>164</v>
      </c>
      <c r="CO142" s="562">
        <v>26.8</v>
      </c>
      <c r="CP142" s="562">
        <v>0</v>
      </c>
      <c r="CQ142" s="562">
        <v>0</v>
      </c>
      <c r="CR142" s="562" t="s">
        <v>1718</v>
      </c>
      <c r="CS142" s="562">
        <v>0</v>
      </c>
      <c r="CT142" s="562">
        <v>0</v>
      </c>
      <c r="CU142" s="562">
        <v>0.75</v>
      </c>
      <c r="CV142" s="562">
        <v>0.5</v>
      </c>
      <c r="CW142" s="562">
        <v>17.856999999999999</v>
      </c>
      <c r="CX142" s="562">
        <v>6.5</v>
      </c>
      <c r="CY142" s="562">
        <v>17.856999999999999</v>
      </c>
      <c r="CZ142" s="560">
        <v>4678.3333329999996</v>
      </c>
      <c r="DA142" s="560">
        <v>26.5625</v>
      </c>
      <c r="DB142" s="560" t="s">
        <v>1719</v>
      </c>
      <c r="DC142" s="560">
        <v>50</v>
      </c>
      <c r="DD142" s="560">
        <v>4</v>
      </c>
      <c r="DE142" s="560" t="s">
        <v>1720</v>
      </c>
      <c r="DF142" s="560">
        <v>5</v>
      </c>
      <c r="DG142" s="560">
        <v>0</v>
      </c>
      <c r="DH142" s="560">
        <v>4.5</v>
      </c>
      <c r="DI142" s="560">
        <v>4.5</v>
      </c>
      <c r="DJ142" s="560">
        <v>0</v>
      </c>
      <c r="DK142" s="560">
        <v>0</v>
      </c>
      <c r="DL142" s="560">
        <v>0</v>
      </c>
      <c r="DM142" s="560">
        <v>0</v>
      </c>
      <c r="DN142" s="560">
        <v>0</v>
      </c>
      <c r="DO142" s="560">
        <v>0</v>
      </c>
    </row>
    <row r="143" spans="1:119">
      <c r="A143" s="560" t="s">
        <v>860</v>
      </c>
      <c r="B143" s="560" t="s">
        <v>1713</v>
      </c>
      <c r="C143" s="560" t="s">
        <v>782</v>
      </c>
      <c r="D143" s="560">
        <v>3</v>
      </c>
      <c r="E143" s="560">
        <v>844.42966200000001</v>
      </c>
      <c r="F143" s="560">
        <v>57.74568</v>
      </c>
      <c r="G143" s="560">
        <v>6644.9655000000002</v>
      </c>
      <c r="H143" s="560">
        <v>391.60199999999998</v>
      </c>
      <c r="I143" s="560">
        <v>0.91800700000000002</v>
      </c>
      <c r="J143" s="560">
        <v>0.35943000000000003</v>
      </c>
      <c r="K143" s="560">
        <v>0.38225399999999998</v>
      </c>
      <c r="L143" s="560">
        <v>0.58463299999999996</v>
      </c>
      <c r="M143" s="560">
        <v>30138.416023000002</v>
      </c>
      <c r="N143" s="560">
        <v>31259.044953000001</v>
      </c>
      <c r="O143" s="560">
        <v>9125.1939490000004</v>
      </c>
      <c r="P143" s="560">
        <v>1093.6233070000001</v>
      </c>
      <c r="Q143" s="560">
        <v>728.29779199999996</v>
      </c>
      <c r="R143" s="560">
        <v>2387.7618889999999</v>
      </c>
      <c r="S143" s="560">
        <v>3321.23855</v>
      </c>
      <c r="T143" s="560">
        <v>3701.3894089999999</v>
      </c>
      <c r="U143" s="560">
        <v>881.28218600000002</v>
      </c>
      <c r="V143" s="560">
        <v>37.897804999999998</v>
      </c>
      <c r="W143" s="560">
        <v>4.5234620000000003</v>
      </c>
      <c r="X143" s="560">
        <v>0</v>
      </c>
      <c r="Y143" s="560">
        <v>88.059094999999999</v>
      </c>
      <c r="Z143" s="560">
        <v>288.70628599999998</v>
      </c>
      <c r="AA143" s="560">
        <v>88885.527512999994</v>
      </c>
      <c r="AB143" s="560">
        <v>91872.143849</v>
      </c>
      <c r="AC143" s="560">
        <v>61357.665385</v>
      </c>
      <c r="AD143" s="560">
        <v>50762.994938000003</v>
      </c>
      <c r="AE143" s="560">
        <v>1040.7034619999999</v>
      </c>
      <c r="AF143" s="560">
        <v>34669.544845999997</v>
      </c>
      <c r="AG143" s="560">
        <v>39332.855111999997</v>
      </c>
      <c r="AH143" s="560">
        <v>9303.8260449999998</v>
      </c>
      <c r="AI143" s="560">
        <v>17.850000000000001</v>
      </c>
      <c r="AJ143" s="560">
        <v>1602.307978</v>
      </c>
      <c r="AK143" s="560">
        <v>0</v>
      </c>
      <c r="AL143" s="560">
        <v>200.75</v>
      </c>
      <c r="AM143" s="560">
        <v>0</v>
      </c>
      <c r="AN143" s="560">
        <v>0</v>
      </c>
      <c r="AO143" s="560">
        <v>0</v>
      </c>
      <c r="AP143" s="560">
        <v>0</v>
      </c>
      <c r="AQ143" s="560" t="s">
        <v>860</v>
      </c>
      <c r="AR143" s="560" t="s">
        <v>1731</v>
      </c>
      <c r="AS143" s="560">
        <v>0</v>
      </c>
      <c r="AT143" s="560">
        <v>0</v>
      </c>
      <c r="AU143" s="560">
        <v>0</v>
      </c>
      <c r="AV143" s="560">
        <v>69</v>
      </c>
      <c r="AW143" s="560">
        <v>64</v>
      </c>
      <c r="AX143" s="560">
        <v>74</v>
      </c>
      <c r="AY143" s="560">
        <v>78</v>
      </c>
      <c r="AZ143" s="560">
        <v>1</v>
      </c>
      <c r="BA143" s="560">
        <v>3099</v>
      </c>
      <c r="BB143" s="560">
        <v>0</v>
      </c>
      <c r="BC143" s="560">
        <v>0.5</v>
      </c>
      <c r="BD143" s="560">
        <v>0</v>
      </c>
      <c r="BE143" s="560" t="s">
        <v>1798</v>
      </c>
      <c r="BF143" s="560">
        <v>4</v>
      </c>
      <c r="BG143" s="560">
        <v>17.399999999999999</v>
      </c>
      <c r="BH143" s="560">
        <v>1</v>
      </c>
      <c r="BI143" s="560">
        <v>2</v>
      </c>
      <c r="BJ143" s="560">
        <v>35</v>
      </c>
      <c r="BK143" s="560">
        <v>0</v>
      </c>
      <c r="BL143" s="560" t="s">
        <v>1747</v>
      </c>
      <c r="BM143" s="560">
        <v>0.02</v>
      </c>
      <c r="BN143" s="560">
        <v>0</v>
      </c>
      <c r="BO143" s="560">
        <v>4.5</v>
      </c>
      <c r="BP143" s="560" t="s">
        <v>1747</v>
      </c>
      <c r="BQ143" s="560">
        <v>0.03</v>
      </c>
      <c r="BR143" s="560">
        <v>60</v>
      </c>
      <c r="BS143" s="560">
        <v>4.9000000000000004</v>
      </c>
      <c r="BT143" s="560">
        <v>5000</v>
      </c>
      <c r="BU143" s="560">
        <v>40100</v>
      </c>
      <c r="BV143" s="560">
        <v>200</v>
      </c>
      <c r="BW143" s="560">
        <v>26.8</v>
      </c>
      <c r="BX143" s="560">
        <v>2788</v>
      </c>
      <c r="BY143" s="560">
        <v>11.4</v>
      </c>
      <c r="BZ143" s="560">
        <v>1800</v>
      </c>
      <c r="CA143" s="560">
        <v>35</v>
      </c>
      <c r="CB143" s="560">
        <v>0.85</v>
      </c>
      <c r="CC143" s="560">
        <v>187.5</v>
      </c>
      <c r="CD143" s="560">
        <v>187.5</v>
      </c>
      <c r="CE143" s="560">
        <v>187.5</v>
      </c>
      <c r="CF143" s="560">
        <v>187.5</v>
      </c>
      <c r="CG143" s="560">
        <v>0.29299999999999998</v>
      </c>
      <c r="CH143" s="560">
        <v>0.3</v>
      </c>
      <c r="CI143" s="560">
        <v>0.54</v>
      </c>
      <c r="CJ143" s="560">
        <v>40</v>
      </c>
      <c r="CK143" s="560">
        <v>5</v>
      </c>
      <c r="CL143" s="560">
        <v>4</v>
      </c>
      <c r="CM143" s="562">
        <v>1600</v>
      </c>
      <c r="CN143" s="562">
        <v>164</v>
      </c>
      <c r="CO143" s="562">
        <v>26.8</v>
      </c>
      <c r="CP143" s="562">
        <v>0</v>
      </c>
      <c r="CQ143" s="562">
        <v>0</v>
      </c>
      <c r="CR143" s="562" t="s">
        <v>1718</v>
      </c>
      <c r="CS143" s="562">
        <v>0</v>
      </c>
      <c r="CT143" s="562">
        <v>0</v>
      </c>
      <c r="CU143" s="562">
        <v>0.75</v>
      </c>
      <c r="CV143" s="562">
        <v>0.5</v>
      </c>
      <c r="CW143" s="562">
        <v>17.856999999999999</v>
      </c>
      <c r="CX143" s="562">
        <v>6.5</v>
      </c>
      <c r="CY143" s="562">
        <v>17.856999999999999</v>
      </c>
      <c r="CZ143" s="560">
        <v>4678.3333329999996</v>
      </c>
      <c r="DA143" s="560">
        <v>26.5625</v>
      </c>
      <c r="DB143" s="560" t="s">
        <v>1719</v>
      </c>
      <c r="DC143" s="560">
        <v>50</v>
      </c>
      <c r="DD143" s="560">
        <v>4</v>
      </c>
      <c r="DE143" s="560" t="s">
        <v>1720</v>
      </c>
      <c r="DF143" s="560">
        <v>5</v>
      </c>
      <c r="DG143" s="560">
        <v>0</v>
      </c>
      <c r="DH143" s="560">
        <v>4.5</v>
      </c>
      <c r="DI143" s="560">
        <v>4.5</v>
      </c>
      <c r="DJ143" s="560">
        <v>0</v>
      </c>
      <c r="DK143" s="560">
        <v>0</v>
      </c>
      <c r="DL143" s="560">
        <v>0</v>
      </c>
      <c r="DM143" s="560">
        <v>0</v>
      </c>
      <c r="DN143" s="560">
        <v>0</v>
      </c>
      <c r="DO143" s="560">
        <v>0</v>
      </c>
    </row>
    <row r="144" spans="1:119">
      <c r="A144" s="560" t="s">
        <v>861</v>
      </c>
      <c r="B144" s="560" t="s">
        <v>1713</v>
      </c>
      <c r="C144" s="560" t="s">
        <v>785</v>
      </c>
      <c r="D144" s="560">
        <v>3</v>
      </c>
      <c r="E144" s="560">
        <v>844.42966200000001</v>
      </c>
      <c r="F144" s="560">
        <v>57.74568</v>
      </c>
      <c r="G144" s="560">
        <v>6644.9655000000002</v>
      </c>
      <c r="H144" s="560">
        <v>755.94</v>
      </c>
      <c r="I144" s="560">
        <v>0.91800700000000002</v>
      </c>
      <c r="J144" s="560">
        <v>0.35943000000000003</v>
      </c>
      <c r="K144" s="560">
        <v>0.38225399999999998</v>
      </c>
      <c r="L144" s="560">
        <v>0.58463299999999996</v>
      </c>
      <c r="M144" s="560">
        <v>30138.416023000002</v>
      </c>
      <c r="N144" s="560">
        <v>31259.044953000001</v>
      </c>
      <c r="O144" s="560">
        <v>9125.1939490000004</v>
      </c>
      <c r="P144" s="560">
        <v>1093.6233070000001</v>
      </c>
      <c r="Q144" s="560">
        <v>728.29779199999996</v>
      </c>
      <c r="R144" s="560">
        <v>2387.7618889999999</v>
      </c>
      <c r="S144" s="560">
        <v>5623.3454689999999</v>
      </c>
      <c r="T144" s="560">
        <v>6064.2102720000003</v>
      </c>
      <c r="U144" s="560">
        <v>1449.887874</v>
      </c>
      <c r="V144" s="560">
        <v>12.964788</v>
      </c>
      <c r="W144" s="560">
        <v>0.89419199999999999</v>
      </c>
      <c r="X144" s="560">
        <v>0</v>
      </c>
      <c r="Y144" s="560">
        <v>147.24055200000001</v>
      </c>
      <c r="Z144" s="560">
        <v>482.735748</v>
      </c>
      <c r="AA144" s="560">
        <v>88885.527512999994</v>
      </c>
      <c r="AB144" s="560">
        <v>91872.143849</v>
      </c>
      <c r="AC144" s="560">
        <v>61357.665385</v>
      </c>
      <c r="AD144" s="560">
        <v>50762.994938000003</v>
      </c>
      <c r="AE144" s="560">
        <v>1040.7034619999999</v>
      </c>
      <c r="AF144" s="560">
        <v>37296.619207000003</v>
      </c>
      <c r="AG144" s="560">
        <v>40736.073655</v>
      </c>
      <c r="AH144" s="560">
        <v>10174.625516</v>
      </c>
      <c r="AI144" s="560">
        <v>17.850000000000001</v>
      </c>
      <c r="AJ144" s="560">
        <v>1602.307978</v>
      </c>
      <c r="AK144" s="560">
        <v>0</v>
      </c>
      <c r="AL144" s="560">
        <v>200.75</v>
      </c>
      <c r="AM144" s="560">
        <v>0</v>
      </c>
      <c r="AN144" s="560">
        <v>0</v>
      </c>
      <c r="AO144" s="560">
        <v>0</v>
      </c>
      <c r="AP144" s="560">
        <v>0</v>
      </c>
      <c r="AQ144" s="560" t="s">
        <v>861</v>
      </c>
      <c r="AR144" s="560" t="s">
        <v>1733</v>
      </c>
      <c r="AS144" s="560">
        <v>0</v>
      </c>
      <c r="AT144" s="560">
        <v>0</v>
      </c>
      <c r="AU144" s="560">
        <v>0</v>
      </c>
      <c r="AV144" s="560">
        <v>69</v>
      </c>
      <c r="AW144" s="560">
        <v>64</v>
      </c>
      <c r="AX144" s="560">
        <v>74</v>
      </c>
      <c r="AY144" s="560">
        <v>78</v>
      </c>
      <c r="AZ144" s="560">
        <v>1</v>
      </c>
      <c r="BA144" s="560">
        <v>3099</v>
      </c>
      <c r="BB144" s="560">
        <v>0</v>
      </c>
      <c r="BC144" s="560">
        <v>0.5</v>
      </c>
      <c r="BD144" s="560">
        <v>0</v>
      </c>
      <c r="BE144" s="560" t="s">
        <v>1798</v>
      </c>
      <c r="BF144" s="560">
        <v>4</v>
      </c>
      <c r="BG144" s="560">
        <v>17.399999999999999</v>
      </c>
      <c r="BH144" s="560">
        <v>1</v>
      </c>
      <c r="BI144" s="560">
        <v>2</v>
      </c>
      <c r="BJ144" s="560">
        <v>35</v>
      </c>
      <c r="BK144" s="560">
        <v>0</v>
      </c>
      <c r="BL144" s="560" t="s">
        <v>1747</v>
      </c>
      <c r="BM144" s="560">
        <v>0.02</v>
      </c>
      <c r="BN144" s="560">
        <v>0</v>
      </c>
      <c r="BO144" s="560">
        <v>4.5</v>
      </c>
      <c r="BP144" s="560" t="s">
        <v>1747</v>
      </c>
      <c r="BQ144" s="560">
        <v>0.03</v>
      </c>
      <c r="BR144" s="560">
        <v>60</v>
      </c>
      <c r="BS144" s="560">
        <v>4.9000000000000004</v>
      </c>
      <c r="BT144" s="560">
        <v>5000</v>
      </c>
      <c r="BU144" s="560">
        <v>40100</v>
      </c>
      <c r="BV144" s="560">
        <v>200</v>
      </c>
      <c r="BW144" s="560">
        <v>26.8</v>
      </c>
      <c r="BX144" s="560">
        <v>2788</v>
      </c>
      <c r="BY144" s="560">
        <v>11.4</v>
      </c>
      <c r="BZ144" s="560">
        <v>1800</v>
      </c>
      <c r="CA144" s="560">
        <v>35</v>
      </c>
      <c r="CB144" s="560">
        <v>0.85</v>
      </c>
      <c r="CC144" s="560">
        <v>187.5</v>
      </c>
      <c r="CD144" s="560">
        <v>187.5</v>
      </c>
      <c r="CE144" s="560">
        <v>187.5</v>
      </c>
      <c r="CF144" s="560">
        <v>187.5</v>
      </c>
      <c r="CG144" s="560">
        <v>0.29299999999999998</v>
      </c>
      <c r="CH144" s="560">
        <v>0.3</v>
      </c>
      <c r="CI144" s="560">
        <v>0.54</v>
      </c>
      <c r="CJ144" s="560">
        <v>40</v>
      </c>
      <c r="CK144" s="560">
        <v>5</v>
      </c>
      <c r="CL144" s="560">
        <v>4</v>
      </c>
      <c r="CM144" s="562">
        <v>1600</v>
      </c>
      <c r="CN144" s="562">
        <v>164</v>
      </c>
      <c r="CO144" s="562">
        <v>26.8</v>
      </c>
      <c r="CP144" s="562">
        <v>0</v>
      </c>
      <c r="CQ144" s="562">
        <v>0</v>
      </c>
      <c r="CR144" s="562" t="s">
        <v>1718</v>
      </c>
      <c r="CS144" s="562">
        <v>0</v>
      </c>
      <c r="CT144" s="562">
        <v>0</v>
      </c>
      <c r="CU144" s="562">
        <v>0.75</v>
      </c>
      <c r="CV144" s="562">
        <v>0.5</v>
      </c>
      <c r="CW144" s="562">
        <v>17.856999999999999</v>
      </c>
      <c r="CX144" s="562">
        <v>6.5</v>
      </c>
      <c r="CY144" s="562">
        <v>17.856999999999999</v>
      </c>
      <c r="CZ144" s="560">
        <v>4678.3333329999996</v>
      </c>
      <c r="DA144" s="560">
        <v>26.5625</v>
      </c>
      <c r="DB144" s="560" t="s">
        <v>1719</v>
      </c>
      <c r="DC144" s="560">
        <v>50</v>
      </c>
      <c r="DD144" s="560">
        <v>4</v>
      </c>
      <c r="DE144" s="560" t="s">
        <v>1720</v>
      </c>
      <c r="DF144" s="560">
        <v>5</v>
      </c>
      <c r="DG144" s="560">
        <v>0</v>
      </c>
      <c r="DH144" s="560">
        <v>4.5</v>
      </c>
      <c r="DI144" s="560">
        <v>4.5</v>
      </c>
      <c r="DJ144" s="560">
        <v>0</v>
      </c>
      <c r="DK144" s="560">
        <v>0</v>
      </c>
      <c r="DL144" s="560">
        <v>0</v>
      </c>
      <c r="DM144" s="560">
        <v>0</v>
      </c>
      <c r="DN144" s="560">
        <v>0</v>
      </c>
      <c r="DO144" s="560">
        <v>0</v>
      </c>
    </row>
    <row r="145" spans="1:119">
      <c r="A145" s="560" t="s">
        <v>862</v>
      </c>
      <c r="B145" s="560" t="s">
        <v>1713</v>
      </c>
      <c r="C145" s="560" t="s">
        <v>794</v>
      </c>
      <c r="D145" s="560">
        <v>3</v>
      </c>
      <c r="E145" s="560">
        <v>770.03105200000005</v>
      </c>
      <c r="F145" s="560">
        <v>56.52948</v>
      </c>
      <c r="G145" s="560">
        <v>7927.5</v>
      </c>
      <c r="H145" s="560">
        <v>139.9665</v>
      </c>
      <c r="I145" s="560">
        <v>0.90101900000000001</v>
      </c>
      <c r="J145" s="560">
        <v>0.35499999999999998</v>
      </c>
      <c r="K145" s="560">
        <v>0.37614999999999998</v>
      </c>
      <c r="L145" s="560">
        <v>0.60127200000000003</v>
      </c>
      <c r="M145" s="560">
        <v>33789.151351</v>
      </c>
      <c r="N145" s="560">
        <v>34959.241534000001</v>
      </c>
      <c r="O145" s="560">
        <v>11078.35907</v>
      </c>
      <c r="P145" s="560">
        <v>2567.4964289999998</v>
      </c>
      <c r="Q145" s="560">
        <v>776.36386500000003</v>
      </c>
      <c r="R145" s="560">
        <v>2908.9702729999999</v>
      </c>
      <c r="S145" s="560">
        <v>1565.4039110000001</v>
      </c>
      <c r="T145" s="560">
        <v>1822.7976309999999</v>
      </c>
      <c r="U145" s="560">
        <v>434.82343700000001</v>
      </c>
      <c r="V145" s="560">
        <v>38.004997000000003</v>
      </c>
      <c r="W145" s="560">
        <v>8.8888879999999997</v>
      </c>
      <c r="X145" s="560">
        <v>0</v>
      </c>
      <c r="Y145" s="560">
        <v>42.625425</v>
      </c>
      <c r="Z145" s="560">
        <v>159.71389199999999</v>
      </c>
      <c r="AA145" s="560">
        <v>92517.468301999994</v>
      </c>
      <c r="AB145" s="560">
        <v>95362.810486000002</v>
      </c>
      <c r="AC145" s="560">
        <v>73195.654272</v>
      </c>
      <c r="AD145" s="560">
        <v>64113.592726000003</v>
      </c>
      <c r="AE145" s="560">
        <v>910.61553000000004</v>
      </c>
      <c r="AF145" s="560">
        <v>24469.419308</v>
      </c>
      <c r="AG145" s="560">
        <v>26949.146476999998</v>
      </c>
      <c r="AH145" s="560">
        <v>6445.447075</v>
      </c>
      <c r="AI145" s="560">
        <v>19</v>
      </c>
      <c r="AJ145" s="560">
        <v>1629.866274</v>
      </c>
      <c r="AK145" s="560">
        <v>0</v>
      </c>
      <c r="AL145" s="560">
        <v>200.75</v>
      </c>
      <c r="AM145" s="560">
        <v>0</v>
      </c>
      <c r="AN145" s="560">
        <v>0</v>
      </c>
      <c r="AO145" s="560">
        <v>0</v>
      </c>
      <c r="AP145" s="560">
        <v>0</v>
      </c>
      <c r="AQ145" s="560" t="s">
        <v>862</v>
      </c>
      <c r="AR145" s="560" t="s">
        <v>1738</v>
      </c>
      <c r="AS145" s="560">
        <v>0</v>
      </c>
      <c r="AT145" s="560">
        <v>0</v>
      </c>
      <c r="AU145" s="560">
        <v>0</v>
      </c>
      <c r="AV145" s="560">
        <v>69</v>
      </c>
      <c r="AW145" s="560">
        <v>64</v>
      </c>
      <c r="AX145" s="560">
        <v>74</v>
      </c>
      <c r="AY145" s="560">
        <v>78</v>
      </c>
      <c r="AZ145" s="560">
        <v>1</v>
      </c>
      <c r="BA145" s="560">
        <v>3099</v>
      </c>
      <c r="BB145" s="560">
        <v>0</v>
      </c>
      <c r="BC145" s="560">
        <v>0.5</v>
      </c>
      <c r="BD145" s="560">
        <v>0</v>
      </c>
      <c r="BE145" s="560" t="s">
        <v>1798</v>
      </c>
      <c r="BF145" s="560">
        <v>3.5</v>
      </c>
      <c r="BG145" s="560">
        <v>17.399999999999999</v>
      </c>
      <c r="BH145" s="560">
        <v>1</v>
      </c>
      <c r="BI145" s="560">
        <v>2</v>
      </c>
      <c r="BJ145" s="560">
        <v>35</v>
      </c>
      <c r="BK145" s="560">
        <v>0</v>
      </c>
      <c r="BL145" s="560" t="s">
        <v>1747</v>
      </c>
      <c r="BM145" s="560">
        <v>0.02</v>
      </c>
      <c r="BN145" s="560">
        <v>0</v>
      </c>
      <c r="BO145" s="560">
        <v>6</v>
      </c>
      <c r="BP145" s="560" t="s">
        <v>1747</v>
      </c>
      <c r="BQ145" s="560">
        <v>0.03</v>
      </c>
      <c r="BR145" s="560">
        <v>60</v>
      </c>
      <c r="BS145" s="560">
        <v>6</v>
      </c>
      <c r="BT145" s="560">
        <v>5000</v>
      </c>
      <c r="BU145" s="560">
        <v>40100</v>
      </c>
      <c r="BV145" s="560">
        <v>200</v>
      </c>
      <c r="BW145" s="560">
        <v>30.609376350000002</v>
      </c>
      <c r="BX145" s="560">
        <v>2788</v>
      </c>
      <c r="BY145" s="560">
        <v>17.543859650000002</v>
      </c>
      <c r="BZ145" s="560">
        <v>1800</v>
      </c>
      <c r="CA145" s="560">
        <v>37.664196859999997</v>
      </c>
      <c r="CB145" s="560">
        <v>0.85</v>
      </c>
      <c r="CC145" s="560">
        <v>187.5</v>
      </c>
      <c r="CD145" s="560">
        <v>187.5</v>
      </c>
      <c r="CE145" s="560">
        <v>187.5</v>
      </c>
      <c r="CF145" s="560">
        <v>187.5</v>
      </c>
      <c r="CG145" s="560">
        <v>0.29299999999999998</v>
      </c>
      <c r="CH145" s="560">
        <v>0.3</v>
      </c>
      <c r="CI145" s="560">
        <v>0.54</v>
      </c>
      <c r="CJ145" s="560">
        <v>40</v>
      </c>
      <c r="CK145" s="560">
        <v>5</v>
      </c>
      <c r="CL145" s="560">
        <v>4</v>
      </c>
      <c r="CM145" s="562">
        <v>1600</v>
      </c>
      <c r="CN145" s="562">
        <v>164</v>
      </c>
      <c r="CO145" s="562">
        <v>30.609376350000002</v>
      </c>
      <c r="CP145" s="562">
        <v>0</v>
      </c>
      <c r="CQ145" s="562">
        <v>0</v>
      </c>
      <c r="CR145" s="562" t="s">
        <v>1718</v>
      </c>
      <c r="CS145" s="562">
        <v>0</v>
      </c>
      <c r="CT145" s="562">
        <v>0</v>
      </c>
      <c r="CU145" s="562">
        <v>0.75</v>
      </c>
      <c r="CV145" s="562">
        <v>0.5</v>
      </c>
      <c r="CW145" s="562">
        <v>17.856999999999999</v>
      </c>
      <c r="CX145" s="562">
        <v>6.5</v>
      </c>
      <c r="CY145" s="562">
        <v>17.856999999999999</v>
      </c>
      <c r="CZ145" s="560">
        <v>4678.3333329999996</v>
      </c>
      <c r="DA145" s="560">
        <v>26.5625</v>
      </c>
      <c r="DB145" s="560" t="s">
        <v>1719</v>
      </c>
      <c r="DC145" s="560">
        <v>50</v>
      </c>
      <c r="DD145" s="560">
        <v>4</v>
      </c>
      <c r="DE145" s="560" t="s">
        <v>1720</v>
      </c>
      <c r="DF145" s="560">
        <v>5</v>
      </c>
      <c r="DG145" s="560">
        <v>0</v>
      </c>
      <c r="DH145" s="560">
        <v>4.5</v>
      </c>
      <c r="DI145" s="560">
        <v>4.5</v>
      </c>
      <c r="DJ145" s="560">
        <v>0</v>
      </c>
      <c r="DK145" s="560">
        <v>0</v>
      </c>
      <c r="DL145" s="560">
        <v>0</v>
      </c>
      <c r="DM145" s="560">
        <v>0</v>
      </c>
      <c r="DN145" s="560">
        <v>0</v>
      </c>
      <c r="DO145" s="560">
        <v>0</v>
      </c>
    </row>
    <row r="146" spans="1:119">
      <c r="A146" s="560" t="s">
        <v>863</v>
      </c>
      <c r="B146" s="560" t="s">
        <v>1713</v>
      </c>
      <c r="C146" s="560" t="s">
        <v>797</v>
      </c>
      <c r="D146" s="560">
        <v>3</v>
      </c>
      <c r="E146" s="560">
        <v>770.03105200000005</v>
      </c>
      <c r="F146" s="560">
        <v>56.52948</v>
      </c>
      <c r="G146" s="560">
        <v>7927.5</v>
      </c>
      <c r="H146" s="560">
        <v>391.60199999999998</v>
      </c>
      <c r="I146" s="560">
        <v>0.90101900000000001</v>
      </c>
      <c r="J146" s="560">
        <v>0.35499999999999998</v>
      </c>
      <c r="K146" s="560">
        <v>0.37614999999999998</v>
      </c>
      <c r="L146" s="560">
        <v>0.60127200000000003</v>
      </c>
      <c r="M146" s="560">
        <v>33789.151351</v>
      </c>
      <c r="N146" s="560">
        <v>34959.241534000001</v>
      </c>
      <c r="O146" s="560">
        <v>11078.35907</v>
      </c>
      <c r="P146" s="560">
        <v>2567.4964289999998</v>
      </c>
      <c r="Q146" s="560">
        <v>776.36386500000003</v>
      </c>
      <c r="R146" s="560">
        <v>2908.9702729999999</v>
      </c>
      <c r="S146" s="560">
        <v>3214.2091620000001</v>
      </c>
      <c r="T146" s="560">
        <v>3579.3639600000001</v>
      </c>
      <c r="U146" s="560">
        <v>850.30146000000002</v>
      </c>
      <c r="V146" s="560">
        <v>36.394246000000003</v>
      </c>
      <c r="W146" s="560">
        <v>4.4777370000000003</v>
      </c>
      <c r="X146" s="560">
        <v>0</v>
      </c>
      <c r="Y146" s="560">
        <v>85.179267999999993</v>
      </c>
      <c r="Z146" s="560">
        <v>319.15957300000002</v>
      </c>
      <c r="AA146" s="560">
        <v>92517.468301999994</v>
      </c>
      <c r="AB146" s="560">
        <v>95362.810486000002</v>
      </c>
      <c r="AC146" s="560">
        <v>73195.654272</v>
      </c>
      <c r="AD146" s="560">
        <v>64113.592726000003</v>
      </c>
      <c r="AE146" s="560">
        <v>910.61553000000004</v>
      </c>
      <c r="AF146" s="560">
        <v>32652.549271</v>
      </c>
      <c r="AG146" s="560">
        <v>36906.554162</v>
      </c>
      <c r="AH146" s="560">
        <v>8647.7728019999995</v>
      </c>
      <c r="AI146" s="560">
        <v>19</v>
      </c>
      <c r="AJ146" s="560">
        <v>1629.866274</v>
      </c>
      <c r="AK146" s="560">
        <v>0</v>
      </c>
      <c r="AL146" s="560">
        <v>200.75</v>
      </c>
      <c r="AM146" s="560">
        <v>0</v>
      </c>
      <c r="AN146" s="560">
        <v>0</v>
      </c>
      <c r="AO146" s="560">
        <v>0</v>
      </c>
      <c r="AP146" s="560">
        <v>0</v>
      </c>
      <c r="AQ146" s="560" t="s">
        <v>863</v>
      </c>
      <c r="AR146" s="560" t="s">
        <v>1740</v>
      </c>
      <c r="AS146" s="560">
        <v>0</v>
      </c>
      <c r="AT146" s="560">
        <v>0</v>
      </c>
      <c r="AU146" s="560">
        <v>0</v>
      </c>
      <c r="AV146" s="560">
        <v>69</v>
      </c>
      <c r="AW146" s="560">
        <v>64</v>
      </c>
      <c r="AX146" s="560">
        <v>74</v>
      </c>
      <c r="AY146" s="560">
        <v>78</v>
      </c>
      <c r="AZ146" s="560">
        <v>1</v>
      </c>
      <c r="BA146" s="560">
        <v>3099</v>
      </c>
      <c r="BB146" s="560">
        <v>0</v>
      </c>
      <c r="BC146" s="560">
        <v>0.5</v>
      </c>
      <c r="BD146" s="560">
        <v>0</v>
      </c>
      <c r="BE146" s="560" t="s">
        <v>1798</v>
      </c>
      <c r="BF146" s="560">
        <v>3.5</v>
      </c>
      <c r="BG146" s="560">
        <v>17.399999999999999</v>
      </c>
      <c r="BH146" s="560">
        <v>1</v>
      </c>
      <c r="BI146" s="560">
        <v>2</v>
      </c>
      <c r="BJ146" s="560">
        <v>35</v>
      </c>
      <c r="BK146" s="560">
        <v>0</v>
      </c>
      <c r="BL146" s="560" t="s">
        <v>1747</v>
      </c>
      <c r="BM146" s="560">
        <v>0.02</v>
      </c>
      <c r="BN146" s="560">
        <v>0</v>
      </c>
      <c r="BO146" s="560">
        <v>6</v>
      </c>
      <c r="BP146" s="560" t="s">
        <v>1747</v>
      </c>
      <c r="BQ146" s="560">
        <v>0.03</v>
      </c>
      <c r="BR146" s="560">
        <v>60</v>
      </c>
      <c r="BS146" s="560">
        <v>6</v>
      </c>
      <c r="BT146" s="560">
        <v>5000</v>
      </c>
      <c r="BU146" s="560">
        <v>40100</v>
      </c>
      <c r="BV146" s="560">
        <v>200</v>
      </c>
      <c r="BW146" s="560">
        <v>30.609376350000002</v>
      </c>
      <c r="BX146" s="560">
        <v>2788</v>
      </c>
      <c r="BY146" s="560">
        <v>17.543859650000002</v>
      </c>
      <c r="BZ146" s="560">
        <v>1800</v>
      </c>
      <c r="CA146" s="560">
        <v>37.664196859999997</v>
      </c>
      <c r="CB146" s="560">
        <v>0.85</v>
      </c>
      <c r="CC146" s="560">
        <v>187.5</v>
      </c>
      <c r="CD146" s="560">
        <v>187.5</v>
      </c>
      <c r="CE146" s="560">
        <v>187.5</v>
      </c>
      <c r="CF146" s="560">
        <v>187.5</v>
      </c>
      <c r="CG146" s="560">
        <v>0.29299999999999998</v>
      </c>
      <c r="CH146" s="560">
        <v>0.3</v>
      </c>
      <c r="CI146" s="560">
        <v>0.54</v>
      </c>
      <c r="CJ146" s="560">
        <v>40</v>
      </c>
      <c r="CK146" s="560">
        <v>5</v>
      </c>
      <c r="CL146" s="560">
        <v>4</v>
      </c>
      <c r="CM146" s="562">
        <v>1600</v>
      </c>
      <c r="CN146" s="562">
        <v>164</v>
      </c>
      <c r="CO146" s="562">
        <v>30.609376350000002</v>
      </c>
      <c r="CP146" s="562">
        <v>0</v>
      </c>
      <c r="CQ146" s="562">
        <v>0</v>
      </c>
      <c r="CR146" s="562" t="s">
        <v>1718</v>
      </c>
      <c r="CS146" s="562">
        <v>0</v>
      </c>
      <c r="CT146" s="562">
        <v>0</v>
      </c>
      <c r="CU146" s="562">
        <v>0.75</v>
      </c>
      <c r="CV146" s="562">
        <v>0.5</v>
      </c>
      <c r="CW146" s="562">
        <v>17.856999999999999</v>
      </c>
      <c r="CX146" s="562">
        <v>6.5</v>
      </c>
      <c r="CY146" s="562">
        <v>17.856999999999999</v>
      </c>
      <c r="CZ146" s="560">
        <v>4678.3333329999996</v>
      </c>
      <c r="DA146" s="560">
        <v>26.5625</v>
      </c>
      <c r="DB146" s="560" t="s">
        <v>1719</v>
      </c>
      <c r="DC146" s="560">
        <v>50</v>
      </c>
      <c r="DD146" s="560">
        <v>4</v>
      </c>
      <c r="DE146" s="560" t="s">
        <v>1720</v>
      </c>
      <c r="DF146" s="560">
        <v>5</v>
      </c>
      <c r="DG146" s="560">
        <v>0</v>
      </c>
      <c r="DH146" s="560">
        <v>4.5</v>
      </c>
      <c r="DI146" s="560">
        <v>4.5</v>
      </c>
      <c r="DJ146" s="560">
        <v>0</v>
      </c>
      <c r="DK146" s="560">
        <v>0</v>
      </c>
      <c r="DL146" s="560">
        <v>0</v>
      </c>
      <c r="DM146" s="560">
        <v>0</v>
      </c>
      <c r="DN146" s="560">
        <v>0</v>
      </c>
      <c r="DO146" s="560">
        <v>0</v>
      </c>
    </row>
    <row r="147" spans="1:119">
      <c r="A147" s="560" t="s">
        <v>864</v>
      </c>
      <c r="B147" s="560" t="s">
        <v>1713</v>
      </c>
      <c r="C147" s="560" t="s">
        <v>800</v>
      </c>
      <c r="D147" s="560">
        <v>3</v>
      </c>
      <c r="E147" s="560">
        <v>770.03105200000005</v>
      </c>
      <c r="F147" s="560">
        <v>56.52948</v>
      </c>
      <c r="G147" s="560">
        <v>7927.5</v>
      </c>
      <c r="H147" s="560">
        <v>755.94</v>
      </c>
      <c r="I147" s="560">
        <v>0.90101900000000001</v>
      </c>
      <c r="J147" s="560">
        <v>0.35499999999999998</v>
      </c>
      <c r="K147" s="560">
        <v>0.37614999999999998</v>
      </c>
      <c r="L147" s="560">
        <v>0.60127200000000003</v>
      </c>
      <c r="M147" s="560">
        <v>33789.151351</v>
      </c>
      <c r="N147" s="560">
        <v>34959.241534000001</v>
      </c>
      <c r="O147" s="560">
        <v>11078.35907</v>
      </c>
      <c r="P147" s="560">
        <v>2567.4964289999998</v>
      </c>
      <c r="Q147" s="560">
        <v>776.36386500000003</v>
      </c>
      <c r="R147" s="560">
        <v>2908.9702729999999</v>
      </c>
      <c r="S147" s="560">
        <v>5415.0853800000004</v>
      </c>
      <c r="T147" s="560">
        <v>5835.6239919999998</v>
      </c>
      <c r="U147" s="560">
        <v>1391.288996</v>
      </c>
      <c r="V147" s="560">
        <v>12.43976</v>
      </c>
      <c r="W147" s="560">
        <v>0.89411799999999997</v>
      </c>
      <c r="X147" s="560">
        <v>0</v>
      </c>
      <c r="Y147" s="560">
        <v>141.73085399999999</v>
      </c>
      <c r="Z147" s="560">
        <v>531.05362000000002</v>
      </c>
      <c r="AA147" s="560">
        <v>92517.468301999994</v>
      </c>
      <c r="AB147" s="560">
        <v>95362.810486000002</v>
      </c>
      <c r="AC147" s="560">
        <v>73195.654272</v>
      </c>
      <c r="AD147" s="560">
        <v>64113.592726000003</v>
      </c>
      <c r="AE147" s="560">
        <v>910.61553000000004</v>
      </c>
      <c r="AF147" s="560">
        <v>33299.537197999998</v>
      </c>
      <c r="AG147" s="560">
        <v>36747.496987999999</v>
      </c>
      <c r="AH147" s="560">
        <v>8913.1093359999995</v>
      </c>
      <c r="AI147" s="560">
        <v>19</v>
      </c>
      <c r="AJ147" s="560">
        <v>1629.866274</v>
      </c>
      <c r="AK147" s="560">
        <v>0</v>
      </c>
      <c r="AL147" s="560">
        <v>200.75</v>
      </c>
      <c r="AM147" s="560">
        <v>0</v>
      </c>
      <c r="AN147" s="560">
        <v>0</v>
      </c>
      <c r="AO147" s="560">
        <v>0</v>
      </c>
      <c r="AP147" s="560">
        <v>0</v>
      </c>
      <c r="AQ147" s="560" t="s">
        <v>864</v>
      </c>
      <c r="AR147" s="560" t="s">
        <v>1742</v>
      </c>
      <c r="AS147" s="560">
        <v>0</v>
      </c>
      <c r="AT147" s="560">
        <v>0</v>
      </c>
      <c r="AU147" s="560">
        <v>0</v>
      </c>
      <c r="AV147" s="560">
        <v>69</v>
      </c>
      <c r="AW147" s="560">
        <v>64</v>
      </c>
      <c r="AX147" s="560">
        <v>74</v>
      </c>
      <c r="AY147" s="560">
        <v>78</v>
      </c>
      <c r="AZ147" s="560">
        <v>1</v>
      </c>
      <c r="BA147" s="560">
        <v>3099</v>
      </c>
      <c r="BB147" s="560">
        <v>0</v>
      </c>
      <c r="BC147" s="560">
        <v>0.5</v>
      </c>
      <c r="BD147" s="560">
        <v>0</v>
      </c>
      <c r="BE147" s="560" t="s">
        <v>1798</v>
      </c>
      <c r="BF147" s="560">
        <v>3.5</v>
      </c>
      <c r="BG147" s="560">
        <v>17.399999999999999</v>
      </c>
      <c r="BH147" s="560">
        <v>1</v>
      </c>
      <c r="BI147" s="560">
        <v>2</v>
      </c>
      <c r="BJ147" s="560">
        <v>35</v>
      </c>
      <c r="BK147" s="560">
        <v>0</v>
      </c>
      <c r="BL147" s="560" t="s">
        <v>1747</v>
      </c>
      <c r="BM147" s="560">
        <v>0.02</v>
      </c>
      <c r="BN147" s="560">
        <v>0</v>
      </c>
      <c r="BO147" s="560">
        <v>6</v>
      </c>
      <c r="BP147" s="560" t="s">
        <v>1747</v>
      </c>
      <c r="BQ147" s="560">
        <v>0.03</v>
      </c>
      <c r="BR147" s="560">
        <v>60</v>
      </c>
      <c r="BS147" s="560">
        <v>6</v>
      </c>
      <c r="BT147" s="560">
        <v>5000</v>
      </c>
      <c r="BU147" s="560">
        <v>40100</v>
      </c>
      <c r="BV147" s="560">
        <v>200</v>
      </c>
      <c r="BW147" s="560">
        <v>30.609376350000002</v>
      </c>
      <c r="BX147" s="560">
        <v>2788</v>
      </c>
      <c r="BY147" s="560">
        <v>17.543859650000002</v>
      </c>
      <c r="BZ147" s="560">
        <v>1800</v>
      </c>
      <c r="CA147" s="560">
        <v>37.664196859999997</v>
      </c>
      <c r="CB147" s="560">
        <v>0.85</v>
      </c>
      <c r="CC147" s="560">
        <v>187.5</v>
      </c>
      <c r="CD147" s="560">
        <v>187.5</v>
      </c>
      <c r="CE147" s="560">
        <v>187.5</v>
      </c>
      <c r="CF147" s="560">
        <v>187.5</v>
      </c>
      <c r="CG147" s="560">
        <v>0.29299999999999998</v>
      </c>
      <c r="CH147" s="560">
        <v>0.3</v>
      </c>
      <c r="CI147" s="560">
        <v>0.54</v>
      </c>
      <c r="CJ147" s="560">
        <v>40</v>
      </c>
      <c r="CK147" s="560">
        <v>5</v>
      </c>
      <c r="CL147" s="560">
        <v>4</v>
      </c>
      <c r="CM147" s="562">
        <v>1600</v>
      </c>
      <c r="CN147" s="562">
        <v>164</v>
      </c>
      <c r="CO147" s="562">
        <v>30.609376350000002</v>
      </c>
      <c r="CP147" s="562">
        <v>0</v>
      </c>
      <c r="CQ147" s="562">
        <v>0</v>
      </c>
      <c r="CR147" s="562" t="s">
        <v>1718</v>
      </c>
      <c r="CS147" s="562">
        <v>0</v>
      </c>
      <c r="CT147" s="562">
        <v>0</v>
      </c>
      <c r="CU147" s="562">
        <v>0.75</v>
      </c>
      <c r="CV147" s="562">
        <v>0.5</v>
      </c>
      <c r="CW147" s="562">
        <v>17.856999999999999</v>
      </c>
      <c r="CX147" s="562">
        <v>6.5</v>
      </c>
      <c r="CY147" s="562">
        <v>17.856999999999999</v>
      </c>
      <c r="CZ147" s="560">
        <v>4678.3333329999996</v>
      </c>
      <c r="DA147" s="560">
        <v>26.5625</v>
      </c>
      <c r="DB147" s="560" t="s">
        <v>1719</v>
      </c>
      <c r="DC147" s="560">
        <v>50</v>
      </c>
      <c r="DD147" s="560">
        <v>4</v>
      </c>
      <c r="DE147" s="560" t="s">
        <v>1720</v>
      </c>
      <c r="DF147" s="560">
        <v>5</v>
      </c>
      <c r="DG147" s="560">
        <v>0</v>
      </c>
      <c r="DH147" s="560">
        <v>4.5</v>
      </c>
      <c r="DI147" s="560">
        <v>4.5</v>
      </c>
      <c r="DJ147" s="560">
        <v>0</v>
      </c>
      <c r="DK147" s="560">
        <v>0</v>
      </c>
      <c r="DL147" s="560">
        <v>0</v>
      </c>
      <c r="DM147" s="560">
        <v>0</v>
      </c>
      <c r="DN147" s="560">
        <v>0</v>
      </c>
      <c r="DO147" s="560">
        <v>0</v>
      </c>
    </row>
    <row r="148" spans="1:119">
      <c r="A148" s="560" t="s">
        <v>865</v>
      </c>
      <c r="B148" s="560" t="s">
        <v>1713</v>
      </c>
      <c r="C148" s="560" t="s">
        <v>794</v>
      </c>
      <c r="D148" s="560">
        <v>3</v>
      </c>
      <c r="E148" s="560">
        <v>832.29929900000002</v>
      </c>
      <c r="F148" s="560">
        <v>57.098308000000003</v>
      </c>
      <c r="G148" s="560">
        <v>7927.5</v>
      </c>
      <c r="H148" s="560">
        <v>139.9665</v>
      </c>
      <c r="I148" s="560">
        <v>0.90101900000000001</v>
      </c>
      <c r="J148" s="560">
        <v>0.35641200000000001</v>
      </c>
      <c r="K148" s="560">
        <v>0.370894</v>
      </c>
      <c r="L148" s="560">
        <v>0.60665999999999998</v>
      </c>
      <c r="M148" s="560">
        <v>37113.541555999996</v>
      </c>
      <c r="N148" s="560">
        <v>38414.827816999998</v>
      </c>
      <c r="O148" s="560">
        <v>11703.323515</v>
      </c>
      <c r="P148" s="560">
        <v>2155.2469500000002</v>
      </c>
      <c r="Q148" s="560">
        <v>868.88342599999999</v>
      </c>
      <c r="R148" s="560">
        <v>2848.6791450000001</v>
      </c>
      <c r="S148" s="560">
        <v>1596.8462239999999</v>
      </c>
      <c r="T148" s="560">
        <v>1862.0303699999999</v>
      </c>
      <c r="U148" s="560">
        <v>444.86369200000001</v>
      </c>
      <c r="V148" s="560">
        <v>39.265481999999999</v>
      </c>
      <c r="W148" s="560">
        <v>9.0028819999999996</v>
      </c>
      <c r="X148" s="560">
        <v>0</v>
      </c>
      <c r="Y148" s="560">
        <v>43.526356</v>
      </c>
      <c r="Z148" s="560">
        <v>142.70340400000001</v>
      </c>
      <c r="AA148" s="560">
        <v>96514.780778</v>
      </c>
      <c r="AB148" s="560">
        <v>99565.899934000001</v>
      </c>
      <c r="AC148" s="560">
        <v>74231.919003999996</v>
      </c>
      <c r="AD148" s="560">
        <v>63852.413572999998</v>
      </c>
      <c r="AE148" s="560">
        <v>1040.7034619999999</v>
      </c>
      <c r="AF148" s="560">
        <v>25790.579871000002</v>
      </c>
      <c r="AG148" s="560">
        <v>28446.202471000001</v>
      </c>
      <c r="AH148" s="560">
        <v>6838.5196489999998</v>
      </c>
      <c r="AI148" s="560">
        <v>12</v>
      </c>
      <c r="AJ148" s="560">
        <v>1816.26811</v>
      </c>
      <c r="AK148" s="560">
        <v>0</v>
      </c>
      <c r="AL148" s="560">
        <v>200.75</v>
      </c>
      <c r="AM148" s="560">
        <v>0</v>
      </c>
      <c r="AN148" s="560">
        <v>0</v>
      </c>
      <c r="AO148" s="560">
        <v>0</v>
      </c>
      <c r="AP148" s="560">
        <v>0</v>
      </c>
      <c r="AQ148" s="560" t="s">
        <v>865</v>
      </c>
      <c r="AR148" s="560" t="s">
        <v>1738</v>
      </c>
      <c r="AS148" s="560">
        <v>0</v>
      </c>
      <c r="AT148" s="560">
        <v>0</v>
      </c>
      <c r="AU148" s="560">
        <v>0</v>
      </c>
      <c r="AV148" s="560">
        <v>69</v>
      </c>
      <c r="AW148" s="560">
        <v>64</v>
      </c>
      <c r="AX148" s="560">
        <v>74</v>
      </c>
      <c r="AY148" s="560">
        <v>78</v>
      </c>
      <c r="AZ148" s="560">
        <v>1</v>
      </c>
      <c r="BA148" s="560">
        <v>3099</v>
      </c>
      <c r="BB148" s="560">
        <v>0</v>
      </c>
      <c r="BC148" s="560">
        <v>0.5</v>
      </c>
      <c r="BD148" s="560">
        <v>0</v>
      </c>
      <c r="BE148" s="560" t="s">
        <v>1798</v>
      </c>
      <c r="BF148" s="560">
        <v>4</v>
      </c>
      <c r="BG148" s="560">
        <v>17.399999999999999</v>
      </c>
      <c r="BH148" s="560">
        <v>1</v>
      </c>
      <c r="BI148" s="560">
        <v>2</v>
      </c>
      <c r="BJ148" s="560">
        <v>35</v>
      </c>
      <c r="BK148" s="560">
        <v>0</v>
      </c>
      <c r="BL148" s="560" t="s">
        <v>1747</v>
      </c>
      <c r="BM148" s="560">
        <v>0.02</v>
      </c>
      <c r="BN148" s="560">
        <v>0</v>
      </c>
      <c r="BO148" s="560">
        <v>4.5</v>
      </c>
      <c r="BP148" s="560" t="s">
        <v>1747</v>
      </c>
      <c r="BQ148" s="560">
        <v>0.03</v>
      </c>
      <c r="BR148" s="560">
        <v>60</v>
      </c>
      <c r="BS148" s="560">
        <v>4.9000000000000004</v>
      </c>
      <c r="BT148" s="560">
        <v>5000</v>
      </c>
      <c r="BU148" s="560">
        <v>40100</v>
      </c>
      <c r="BV148" s="560">
        <v>200</v>
      </c>
      <c r="BW148" s="560">
        <v>26.8</v>
      </c>
      <c r="BX148" s="560">
        <v>2788</v>
      </c>
      <c r="BY148" s="560">
        <v>11.4</v>
      </c>
      <c r="BZ148" s="560">
        <v>1800</v>
      </c>
      <c r="CA148" s="560">
        <v>35</v>
      </c>
      <c r="CB148" s="560">
        <v>0.85</v>
      </c>
      <c r="CC148" s="560">
        <v>187.5</v>
      </c>
      <c r="CD148" s="560">
        <v>187.5</v>
      </c>
      <c r="CE148" s="560">
        <v>187.5</v>
      </c>
      <c r="CF148" s="560">
        <v>187.5</v>
      </c>
      <c r="CG148" s="560">
        <v>0.29299999999999998</v>
      </c>
      <c r="CH148" s="560">
        <v>0.3</v>
      </c>
      <c r="CI148" s="560">
        <v>0.54</v>
      </c>
      <c r="CJ148" s="560">
        <v>40</v>
      </c>
      <c r="CK148" s="560">
        <v>5</v>
      </c>
      <c r="CL148" s="560">
        <v>4</v>
      </c>
      <c r="CM148" s="562">
        <v>1600</v>
      </c>
      <c r="CN148" s="562">
        <v>164</v>
      </c>
      <c r="CO148" s="562">
        <v>26.8</v>
      </c>
      <c r="CP148" s="562">
        <v>0</v>
      </c>
      <c r="CQ148" s="562">
        <v>0</v>
      </c>
      <c r="CR148" s="562" t="s">
        <v>1718</v>
      </c>
      <c r="CS148" s="562">
        <v>0</v>
      </c>
      <c r="CT148" s="562">
        <v>0</v>
      </c>
      <c r="CU148" s="562">
        <v>0.75</v>
      </c>
      <c r="CV148" s="562">
        <v>0.5</v>
      </c>
      <c r="CW148" s="562">
        <v>17.856999999999999</v>
      </c>
      <c r="CX148" s="562">
        <v>6.5</v>
      </c>
      <c r="CY148" s="562">
        <v>17.856999999999999</v>
      </c>
      <c r="CZ148" s="560">
        <v>4678.3333329999996</v>
      </c>
      <c r="DA148" s="560">
        <v>26.5625</v>
      </c>
      <c r="DB148" s="560" t="s">
        <v>1719</v>
      </c>
      <c r="DC148" s="560">
        <v>50</v>
      </c>
      <c r="DD148" s="560">
        <v>4</v>
      </c>
      <c r="DE148" s="560" t="s">
        <v>1720</v>
      </c>
      <c r="DF148" s="560">
        <v>5</v>
      </c>
      <c r="DG148" s="560">
        <v>0</v>
      </c>
      <c r="DH148" s="560">
        <v>4.5</v>
      </c>
      <c r="DI148" s="560">
        <v>4.5</v>
      </c>
      <c r="DJ148" s="560">
        <v>0</v>
      </c>
      <c r="DK148" s="560">
        <v>0</v>
      </c>
      <c r="DL148" s="560">
        <v>0</v>
      </c>
      <c r="DM148" s="560">
        <v>0</v>
      </c>
      <c r="DN148" s="560">
        <v>0</v>
      </c>
      <c r="DO148" s="560">
        <v>0</v>
      </c>
    </row>
    <row r="149" spans="1:119">
      <c r="A149" s="560" t="s">
        <v>866</v>
      </c>
      <c r="B149" s="560" t="s">
        <v>1713</v>
      </c>
      <c r="C149" s="560" t="s">
        <v>797</v>
      </c>
      <c r="D149" s="560">
        <v>3</v>
      </c>
      <c r="E149" s="560">
        <v>832.29929900000002</v>
      </c>
      <c r="F149" s="560">
        <v>57.098308000000003</v>
      </c>
      <c r="G149" s="560">
        <v>7927.5</v>
      </c>
      <c r="H149" s="560">
        <v>391.60199999999998</v>
      </c>
      <c r="I149" s="560">
        <v>0.90101900000000001</v>
      </c>
      <c r="J149" s="560">
        <v>0.35641200000000001</v>
      </c>
      <c r="K149" s="560">
        <v>0.370894</v>
      </c>
      <c r="L149" s="560">
        <v>0.60665999999999998</v>
      </c>
      <c r="M149" s="560">
        <v>37113.541555999996</v>
      </c>
      <c r="N149" s="560">
        <v>38414.827816999998</v>
      </c>
      <c r="O149" s="560">
        <v>11703.323515</v>
      </c>
      <c r="P149" s="560">
        <v>2155.2469500000002</v>
      </c>
      <c r="Q149" s="560">
        <v>868.88342599999999</v>
      </c>
      <c r="R149" s="560">
        <v>2848.6791450000001</v>
      </c>
      <c r="S149" s="560">
        <v>3321.23855</v>
      </c>
      <c r="T149" s="560">
        <v>3701.3894089999999</v>
      </c>
      <c r="U149" s="560">
        <v>881.28218600000002</v>
      </c>
      <c r="V149" s="560">
        <v>37.897804999999998</v>
      </c>
      <c r="W149" s="560">
        <v>4.5234620000000003</v>
      </c>
      <c r="X149" s="560">
        <v>0</v>
      </c>
      <c r="Y149" s="560">
        <v>88.059094999999999</v>
      </c>
      <c r="Z149" s="560">
        <v>288.70628599999998</v>
      </c>
      <c r="AA149" s="560">
        <v>96514.780778</v>
      </c>
      <c r="AB149" s="560">
        <v>99565.899934000001</v>
      </c>
      <c r="AC149" s="560">
        <v>74231.919003999996</v>
      </c>
      <c r="AD149" s="560">
        <v>63852.413572999998</v>
      </c>
      <c r="AE149" s="560">
        <v>1040.7034619999999</v>
      </c>
      <c r="AF149" s="560">
        <v>34669.544845999997</v>
      </c>
      <c r="AG149" s="560">
        <v>39332.855111999997</v>
      </c>
      <c r="AH149" s="560">
        <v>9303.8260449999998</v>
      </c>
      <c r="AI149" s="560">
        <v>12</v>
      </c>
      <c r="AJ149" s="560">
        <v>1816.26811</v>
      </c>
      <c r="AK149" s="560">
        <v>0</v>
      </c>
      <c r="AL149" s="560">
        <v>200.75</v>
      </c>
      <c r="AM149" s="560">
        <v>0</v>
      </c>
      <c r="AN149" s="560">
        <v>0</v>
      </c>
      <c r="AO149" s="560">
        <v>0</v>
      </c>
      <c r="AP149" s="560">
        <v>0</v>
      </c>
      <c r="AQ149" s="560" t="s">
        <v>866</v>
      </c>
      <c r="AR149" s="560" t="s">
        <v>1740</v>
      </c>
      <c r="AS149" s="560">
        <v>0</v>
      </c>
      <c r="AT149" s="560">
        <v>0</v>
      </c>
      <c r="AU149" s="560">
        <v>0</v>
      </c>
      <c r="AV149" s="560">
        <v>69</v>
      </c>
      <c r="AW149" s="560">
        <v>64</v>
      </c>
      <c r="AX149" s="560">
        <v>74</v>
      </c>
      <c r="AY149" s="560">
        <v>78</v>
      </c>
      <c r="AZ149" s="560">
        <v>1</v>
      </c>
      <c r="BA149" s="560">
        <v>3099</v>
      </c>
      <c r="BB149" s="560">
        <v>0</v>
      </c>
      <c r="BC149" s="560">
        <v>0.5</v>
      </c>
      <c r="BD149" s="560">
        <v>0</v>
      </c>
      <c r="BE149" s="560" t="s">
        <v>1798</v>
      </c>
      <c r="BF149" s="560">
        <v>4</v>
      </c>
      <c r="BG149" s="560">
        <v>17.399999999999999</v>
      </c>
      <c r="BH149" s="560">
        <v>1</v>
      </c>
      <c r="BI149" s="560">
        <v>2</v>
      </c>
      <c r="BJ149" s="560">
        <v>35</v>
      </c>
      <c r="BK149" s="560">
        <v>0</v>
      </c>
      <c r="BL149" s="560" t="s">
        <v>1747</v>
      </c>
      <c r="BM149" s="560">
        <v>0.02</v>
      </c>
      <c r="BN149" s="560">
        <v>0</v>
      </c>
      <c r="BO149" s="560">
        <v>4.5</v>
      </c>
      <c r="BP149" s="560" t="s">
        <v>1747</v>
      </c>
      <c r="BQ149" s="560">
        <v>0.03</v>
      </c>
      <c r="BR149" s="560">
        <v>60</v>
      </c>
      <c r="BS149" s="560">
        <v>4.9000000000000004</v>
      </c>
      <c r="BT149" s="560">
        <v>5000</v>
      </c>
      <c r="BU149" s="560">
        <v>40100</v>
      </c>
      <c r="BV149" s="560">
        <v>200</v>
      </c>
      <c r="BW149" s="560">
        <v>26.8</v>
      </c>
      <c r="BX149" s="560">
        <v>2788</v>
      </c>
      <c r="BY149" s="560">
        <v>11.4</v>
      </c>
      <c r="BZ149" s="560">
        <v>1800</v>
      </c>
      <c r="CA149" s="560">
        <v>35</v>
      </c>
      <c r="CB149" s="560">
        <v>0.85</v>
      </c>
      <c r="CC149" s="560">
        <v>187.5</v>
      </c>
      <c r="CD149" s="560">
        <v>187.5</v>
      </c>
      <c r="CE149" s="560">
        <v>187.5</v>
      </c>
      <c r="CF149" s="560">
        <v>187.5</v>
      </c>
      <c r="CG149" s="560">
        <v>0.29299999999999998</v>
      </c>
      <c r="CH149" s="560">
        <v>0.3</v>
      </c>
      <c r="CI149" s="560">
        <v>0.54</v>
      </c>
      <c r="CJ149" s="560">
        <v>40</v>
      </c>
      <c r="CK149" s="560">
        <v>5</v>
      </c>
      <c r="CL149" s="560">
        <v>4</v>
      </c>
      <c r="CM149" s="562">
        <v>1600</v>
      </c>
      <c r="CN149" s="562">
        <v>164</v>
      </c>
      <c r="CO149" s="562">
        <v>26.8</v>
      </c>
      <c r="CP149" s="562">
        <v>0</v>
      </c>
      <c r="CQ149" s="562">
        <v>0</v>
      </c>
      <c r="CR149" s="562" t="s">
        <v>1718</v>
      </c>
      <c r="CS149" s="562">
        <v>0</v>
      </c>
      <c r="CT149" s="562">
        <v>0</v>
      </c>
      <c r="CU149" s="562">
        <v>0.75</v>
      </c>
      <c r="CV149" s="562">
        <v>0.5</v>
      </c>
      <c r="CW149" s="562">
        <v>17.856999999999999</v>
      </c>
      <c r="CX149" s="562">
        <v>6.5</v>
      </c>
      <c r="CY149" s="562">
        <v>17.856999999999999</v>
      </c>
      <c r="CZ149" s="560">
        <v>4678.3333329999996</v>
      </c>
      <c r="DA149" s="560">
        <v>26.5625</v>
      </c>
      <c r="DB149" s="560" t="s">
        <v>1719</v>
      </c>
      <c r="DC149" s="560">
        <v>50</v>
      </c>
      <c r="DD149" s="560">
        <v>4</v>
      </c>
      <c r="DE149" s="560" t="s">
        <v>1720</v>
      </c>
      <c r="DF149" s="560">
        <v>5</v>
      </c>
      <c r="DG149" s="560">
        <v>0</v>
      </c>
      <c r="DH149" s="560">
        <v>4.5</v>
      </c>
      <c r="DI149" s="560">
        <v>4.5</v>
      </c>
      <c r="DJ149" s="560">
        <v>0</v>
      </c>
      <c r="DK149" s="560">
        <v>0</v>
      </c>
      <c r="DL149" s="560">
        <v>0</v>
      </c>
      <c r="DM149" s="560">
        <v>0</v>
      </c>
      <c r="DN149" s="560">
        <v>0</v>
      </c>
      <c r="DO149" s="560">
        <v>0</v>
      </c>
    </row>
    <row r="150" spans="1:119">
      <c r="A150" s="560" t="s">
        <v>867</v>
      </c>
      <c r="B150" s="560" t="s">
        <v>1713</v>
      </c>
      <c r="C150" s="560" t="s">
        <v>800</v>
      </c>
      <c r="D150" s="560">
        <v>3</v>
      </c>
      <c r="E150" s="560">
        <v>832.29929900000002</v>
      </c>
      <c r="F150" s="560">
        <v>57.098308000000003</v>
      </c>
      <c r="G150" s="560">
        <v>7927.5</v>
      </c>
      <c r="H150" s="560">
        <v>755.94</v>
      </c>
      <c r="I150" s="560">
        <v>0.90101900000000001</v>
      </c>
      <c r="J150" s="560">
        <v>0.35641200000000001</v>
      </c>
      <c r="K150" s="560">
        <v>0.370894</v>
      </c>
      <c r="L150" s="560">
        <v>0.60665999999999998</v>
      </c>
      <c r="M150" s="560">
        <v>37113.541555999996</v>
      </c>
      <c r="N150" s="560">
        <v>38414.827816999998</v>
      </c>
      <c r="O150" s="560">
        <v>11703.323515</v>
      </c>
      <c r="P150" s="560">
        <v>2155.2469500000002</v>
      </c>
      <c r="Q150" s="560">
        <v>868.88342599999999</v>
      </c>
      <c r="R150" s="560">
        <v>2848.6791450000001</v>
      </c>
      <c r="S150" s="560">
        <v>5623.3454689999999</v>
      </c>
      <c r="T150" s="560">
        <v>6064.2102720000003</v>
      </c>
      <c r="U150" s="560">
        <v>1449.887874</v>
      </c>
      <c r="V150" s="560">
        <v>12.964788</v>
      </c>
      <c r="W150" s="560">
        <v>0.89419199999999999</v>
      </c>
      <c r="X150" s="560">
        <v>0</v>
      </c>
      <c r="Y150" s="560">
        <v>147.24055200000001</v>
      </c>
      <c r="Z150" s="560">
        <v>482.735748</v>
      </c>
      <c r="AA150" s="560">
        <v>96514.780778</v>
      </c>
      <c r="AB150" s="560">
        <v>99565.899934000001</v>
      </c>
      <c r="AC150" s="560">
        <v>74231.919003999996</v>
      </c>
      <c r="AD150" s="560">
        <v>63852.413572999998</v>
      </c>
      <c r="AE150" s="560">
        <v>1040.7034619999999</v>
      </c>
      <c r="AF150" s="560">
        <v>37296.619207000003</v>
      </c>
      <c r="AG150" s="560">
        <v>40736.073655</v>
      </c>
      <c r="AH150" s="560">
        <v>10174.625516</v>
      </c>
      <c r="AI150" s="560">
        <v>12</v>
      </c>
      <c r="AJ150" s="560">
        <v>1816.26811</v>
      </c>
      <c r="AK150" s="560">
        <v>0</v>
      </c>
      <c r="AL150" s="560">
        <v>200.75</v>
      </c>
      <c r="AM150" s="560">
        <v>0</v>
      </c>
      <c r="AN150" s="560">
        <v>0</v>
      </c>
      <c r="AO150" s="560">
        <v>0</v>
      </c>
      <c r="AP150" s="560">
        <v>0</v>
      </c>
      <c r="AQ150" s="560" t="s">
        <v>867</v>
      </c>
      <c r="AR150" s="560" t="s">
        <v>1742</v>
      </c>
      <c r="AS150" s="560">
        <v>0</v>
      </c>
      <c r="AT150" s="560">
        <v>0</v>
      </c>
      <c r="AU150" s="560">
        <v>0</v>
      </c>
      <c r="AV150" s="560">
        <v>69</v>
      </c>
      <c r="AW150" s="560">
        <v>64</v>
      </c>
      <c r="AX150" s="560">
        <v>74</v>
      </c>
      <c r="AY150" s="560">
        <v>78</v>
      </c>
      <c r="AZ150" s="560">
        <v>1</v>
      </c>
      <c r="BA150" s="560">
        <v>3099</v>
      </c>
      <c r="BB150" s="560">
        <v>0</v>
      </c>
      <c r="BC150" s="560">
        <v>0.5</v>
      </c>
      <c r="BD150" s="560">
        <v>0</v>
      </c>
      <c r="BE150" s="560" t="s">
        <v>1798</v>
      </c>
      <c r="BF150" s="560">
        <v>4</v>
      </c>
      <c r="BG150" s="560">
        <v>17.399999999999999</v>
      </c>
      <c r="BH150" s="560">
        <v>1</v>
      </c>
      <c r="BI150" s="560">
        <v>2</v>
      </c>
      <c r="BJ150" s="560">
        <v>35</v>
      </c>
      <c r="BK150" s="560">
        <v>0</v>
      </c>
      <c r="BL150" s="560" t="s">
        <v>1747</v>
      </c>
      <c r="BM150" s="560">
        <v>0.02</v>
      </c>
      <c r="BN150" s="560">
        <v>0</v>
      </c>
      <c r="BO150" s="560">
        <v>4.5</v>
      </c>
      <c r="BP150" s="560" t="s">
        <v>1747</v>
      </c>
      <c r="BQ150" s="560">
        <v>0.03</v>
      </c>
      <c r="BR150" s="560">
        <v>60</v>
      </c>
      <c r="BS150" s="560">
        <v>4.9000000000000004</v>
      </c>
      <c r="BT150" s="560">
        <v>5000</v>
      </c>
      <c r="BU150" s="560">
        <v>40100</v>
      </c>
      <c r="BV150" s="560">
        <v>200</v>
      </c>
      <c r="BW150" s="560">
        <v>26.8</v>
      </c>
      <c r="BX150" s="560">
        <v>2788</v>
      </c>
      <c r="BY150" s="560">
        <v>11.4</v>
      </c>
      <c r="BZ150" s="560">
        <v>1800</v>
      </c>
      <c r="CA150" s="560">
        <v>35</v>
      </c>
      <c r="CB150" s="560">
        <v>0.85</v>
      </c>
      <c r="CC150" s="560">
        <v>187.5</v>
      </c>
      <c r="CD150" s="560">
        <v>187.5</v>
      </c>
      <c r="CE150" s="560">
        <v>187.5</v>
      </c>
      <c r="CF150" s="560">
        <v>187.5</v>
      </c>
      <c r="CG150" s="560">
        <v>0.29299999999999998</v>
      </c>
      <c r="CH150" s="560">
        <v>0.3</v>
      </c>
      <c r="CI150" s="560">
        <v>0.54</v>
      </c>
      <c r="CJ150" s="560">
        <v>40</v>
      </c>
      <c r="CK150" s="560">
        <v>5</v>
      </c>
      <c r="CL150" s="560">
        <v>4</v>
      </c>
      <c r="CM150" s="562">
        <v>1600</v>
      </c>
      <c r="CN150" s="562">
        <v>164</v>
      </c>
      <c r="CO150" s="562">
        <v>26.8</v>
      </c>
      <c r="CP150" s="562">
        <v>0</v>
      </c>
      <c r="CQ150" s="562">
        <v>0</v>
      </c>
      <c r="CR150" s="562" t="s">
        <v>1718</v>
      </c>
      <c r="CS150" s="562">
        <v>0</v>
      </c>
      <c r="CT150" s="562">
        <v>0</v>
      </c>
      <c r="CU150" s="562">
        <v>0.75</v>
      </c>
      <c r="CV150" s="562">
        <v>0.5</v>
      </c>
      <c r="CW150" s="562">
        <v>17.856999999999999</v>
      </c>
      <c r="CX150" s="562">
        <v>6.5</v>
      </c>
      <c r="CY150" s="562">
        <v>17.856999999999999</v>
      </c>
      <c r="CZ150" s="560">
        <v>4678.3333329999996</v>
      </c>
      <c r="DA150" s="560">
        <v>26.5625</v>
      </c>
      <c r="DB150" s="560" t="s">
        <v>1719</v>
      </c>
      <c r="DC150" s="560">
        <v>50</v>
      </c>
      <c r="DD150" s="560">
        <v>4</v>
      </c>
      <c r="DE150" s="560" t="s">
        <v>1720</v>
      </c>
      <c r="DF150" s="560">
        <v>5</v>
      </c>
      <c r="DG150" s="560">
        <v>0</v>
      </c>
      <c r="DH150" s="560">
        <v>4.5</v>
      </c>
      <c r="DI150" s="560">
        <v>4.5</v>
      </c>
      <c r="DJ150" s="560">
        <v>0</v>
      </c>
      <c r="DK150" s="560">
        <v>0</v>
      </c>
      <c r="DL150" s="560">
        <v>0</v>
      </c>
      <c r="DM150" s="560">
        <v>0</v>
      </c>
      <c r="DN150" s="560">
        <v>0</v>
      </c>
      <c r="DO150" s="560">
        <v>0</v>
      </c>
    </row>
    <row r="151" spans="1:119">
      <c r="A151" s="560" t="s">
        <v>868</v>
      </c>
      <c r="B151" s="560" t="s">
        <v>1713</v>
      </c>
      <c r="C151" s="560" t="s">
        <v>764</v>
      </c>
      <c r="D151" s="560">
        <v>3</v>
      </c>
      <c r="E151" s="560">
        <v>339.39983799999999</v>
      </c>
      <c r="F151" s="560">
        <v>58.029017000000003</v>
      </c>
      <c r="G151" s="560">
        <v>4974.4274999999998</v>
      </c>
      <c r="H151" s="560">
        <v>139.9665</v>
      </c>
      <c r="I151" s="560">
        <v>0.968943</v>
      </c>
      <c r="J151" s="560">
        <v>0.26503599999999999</v>
      </c>
      <c r="K151" s="560">
        <v>0.28255000000000002</v>
      </c>
      <c r="L151" s="560">
        <v>0.39023600000000003</v>
      </c>
      <c r="M151" s="560">
        <v>7154.7710669999997</v>
      </c>
      <c r="N151" s="560">
        <v>8032.2167239999999</v>
      </c>
      <c r="O151" s="560">
        <v>2679.8694479999999</v>
      </c>
      <c r="P151" s="560">
        <v>101.732322</v>
      </c>
      <c r="Q151" s="560">
        <v>229.89274399999999</v>
      </c>
      <c r="R151" s="560">
        <v>1507.4304480000001</v>
      </c>
      <c r="S151" s="560">
        <v>985.31700799999999</v>
      </c>
      <c r="T151" s="560">
        <v>1229.192225</v>
      </c>
      <c r="U151" s="560">
        <v>290.641097</v>
      </c>
      <c r="V151" s="560">
        <v>40.900975000000003</v>
      </c>
      <c r="W151" s="560">
        <v>14.200132999999999</v>
      </c>
      <c r="X151" s="560">
        <v>0</v>
      </c>
      <c r="Y151" s="560">
        <v>28.525451</v>
      </c>
      <c r="Z151" s="560">
        <v>187.04432499999999</v>
      </c>
      <c r="AA151" s="560">
        <v>26074.473419999998</v>
      </c>
      <c r="AB151" s="560">
        <v>29200.135700999999</v>
      </c>
      <c r="AC151" s="560">
        <v>18126.265987999999</v>
      </c>
      <c r="AD151" s="560">
        <v>12889.979036000001</v>
      </c>
      <c r="AE151" s="560">
        <v>520.35173099999997</v>
      </c>
      <c r="AF151" s="560">
        <v>10317.157386000001</v>
      </c>
      <c r="AG151" s="560">
        <v>11765.672456</v>
      </c>
      <c r="AH151" s="560">
        <v>2905.028675</v>
      </c>
      <c r="AI151" s="560">
        <v>4.0999999999999996</v>
      </c>
      <c r="AJ151" s="560">
        <v>532.46719599999994</v>
      </c>
      <c r="AK151" s="560">
        <v>1843.627669</v>
      </c>
      <c r="AL151" s="560">
        <v>200.75</v>
      </c>
      <c r="AM151" s="560">
        <v>0</v>
      </c>
      <c r="AN151" s="560">
        <v>0</v>
      </c>
      <c r="AO151" s="560">
        <v>0</v>
      </c>
      <c r="AP151" s="560">
        <v>0</v>
      </c>
      <c r="AQ151" s="560" t="s">
        <v>868</v>
      </c>
      <c r="AR151" s="560" t="s">
        <v>1714</v>
      </c>
      <c r="AS151" s="560">
        <v>0</v>
      </c>
      <c r="AT151" s="560">
        <v>0</v>
      </c>
      <c r="AU151" s="560">
        <v>0</v>
      </c>
      <c r="AV151" s="560">
        <v>69</v>
      </c>
      <c r="AW151" s="560">
        <v>64</v>
      </c>
      <c r="AX151" s="560">
        <v>74</v>
      </c>
      <c r="AY151" s="560">
        <v>78</v>
      </c>
      <c r="AZ151" s="560">
        <v>1</v>
      </c>
      <c r="BA151" s="560">
        <v>2085</v>
      </c>
      <c r="BB151" s="560">
        <v>0</v>
      </c>
      <c r="BC151" s="560">
        <v>0.5</v>
      </c>
      <c r="BD151" s="560">
        <v>0</v>
      </c>
      <c r="BE151" s="560" t="s">
        <v>1799</v>
      </c>
      <c r="BF151" s="560">
        <v>2</v>
      </c>
      <c r="BG151" s="560">
        <v>13</v>
      </c>
      <c r="BH151" s="560">
        <v>1</v>
      </c>
      <c r="BI151" s="560">
        <v>2</v>
      </c>
      <c r="BJ151" s="560">
        <v>35</v>
      </c>
      <c r="BK151" s="560">
        <v>0</v>
      </c>
      <c r="BL151" s="560" t="s">
        <v>1716</v>
      </c>
      <c r="BM151" s="560">
        <v>0.05</v>
      </c>
      <c r="BN151" s="560">
        <v>200</v>
      </c>
      <c r="BO151" s="560">
        <v>20</v>
      </c>
      <c r="BP151" s="560" t="s">
        <v>1717</v>
      </c>
      <c r="BQ151" s="560">
        <v>0</v>
      </c>
      <c r="BR151" s="560">
        <v>0</v>
      </c>
      <c r="BS151" s="560">
        <v>555</v>
      </c>
      <c r="BT151" s="560">
        <v>1568</v>
      </c>
      <c r="BU151" s="560">
        <v>12544</v>
      </c>
      <c r="BV151" s="560">
        <v>0</v>
      </c>
      <c r="BW151" s="560">
        <v>0</v>
      </c>
      <c r="BX151" s="560">
        <v>1344</v>
      </c>
      <c r="BY151" s="560">
        <v>12.82</v>
      </c>
      <c r="BZ151" s="560">
        <v>1568</v>
      </c>
      <c r="CA151" s="560">
        <v>26.5</v>
      </c>
      <c r="CB151" s="560">
        <v>0.85</v>
      </c>
      <c r="CC151" s="560">
        <v>49</v>
      </c>
      <c r="CD151" s="560">
        <v>49</v>
      </c>
      <c r="CE151" s="560">
        <v>49</v>
      </c>
      <c r="CF151" s="560">
        <v>49</v>
      </c>
      <c r="CG151" s="560">
        <v>0.29299999999999998</v>
      </c>
      <c r="CH151" s="560">
        <v>0.3</v>
      </c>
      <c r="CI151" s="560">
        <v>0.54</v>
      </c>
      <c r="CJ151" s="560">
        <v>40</v>
      </c>
      <c r="CK151" s="560">
        <v>5</v>
      </c>
      <c r="CL151" s="560">
        <v>1</v>
      </c>
      <c r="CM151" s="562">
        <v>1568</v>
      </c>
      <c r="CN151" s="562">
        <v>168</v>
      </c>
      <c r="CO151" s="562">
        <v>20.45</v>
      </c>
      <c r="CP151" s="562">
        <v>0</v>
      </c>
      <c r="CQ151" s="562">
        <v>0</v>
      </c>
      <c r="CR151" s="562" t="s">
        <v>1718</v>
      </c>
      <c r="CS151" s="562">
        <v>0</v>
      </c>
      <c r="CT151" s="562">
        <v>0</v>
      </c>
      <c r="CU151" s="562">
        <v>0.75</v>
      </c>
      <c r="CV151" s="562">
        <v>2</v>
      </c>
      <c r="CW151" s="562">
        <v>1.75</v>
      </c>
      <c r="CX151" s="562">
        <v>1</v>
      </c>
      <c r="CY151" s="562">
        <v>0.65</v>
      </c>
      <c r="CZ151" s="560">
        <v>1463.4666669999999</v>
      </c>
      <c r="DA151" s="560">
        <v>8.5</v>
      </c>
      <c r="DB151" s="560" t="s">
        <v>1719</v>
      </c>
      <c r="DC151" s="560">
        <v>50</v>
      </c>
      <c r="DD151" s="560">
        <v>4</v>
      </c>
      <c r="DE151" s="560" t="s">
        <v>1720</v>
      </c>
      <c r="DF151" s="560">
        <v>5</v>
      </c>
      <c r="DG151" s="560">
        <v>0</v>
      </c>
      <c r="DH151" s="560">
        <v>4.5</v>
      </c>
      <c r="DI151" s="560">
        <v>4.5</v>
      </c>
      <c r="DJ151" s="560">
        <v>0</v>
      </c>
      <c r="DK151" s="560">
        <v>0</v>
      </c>
      <c r="DL151" s="560">
        <v>0</v>
      </c>
      <c r="DM151" s="560">
        <v>0</v>
      </c>
      <c r="DN151" s="560">
        <v>0</v>
      </c>
      <c r="DO151" s="560">
        <v>0</v>
      </c>
    </row>
    <row r="152" spans="1:119" hidden="1">
      <c r="A152" s="560" t="s">
        <v>869</v>
      </c>
      <c r="B152" s="560" t="s">
        <v>1713</v>
      </c>
      <c r="C152" s="560" t="s">
        <v>767</v>
      </c>
      <c r="D152" s="560">
        <v>3</v>
      </c>
      <c r="E152" s="560">
        <v>339.39983799999999</v>
      </c>
      <c r="F152" s="560">
        <v>58.029017000000003</v>
      </c>
      <c r="G152" s="560">
        <v>4974.4274999999998</v>
      </c>
      <c r="H152" s="560">
        <v>391.60199999999998</v>
      </c>
      <c r="I152" s="560">
        <v>0.968943</v>
      </c>
      <c r="J152" s="560">
        <v>0.26503599999999999</v>
      </c>
      <c r="K152" s="560">
        <v>0.28255000000000002</v>
      </c>
      <c r="L152" s="560">
        <v>0.39023600000000003</v>
      </c>
      <c r="M152" s="560">
        <v>7154.7710669999997</v>
      </c>
      <c r="N152" s="560">
        <v>8032.2167239999999</v>
      </c>
      <c r="O152" s="560">
        <v>2679.8694479999999</v>
      </c>
      <c r="P152" s="560">
        <v>101.732322</v>
      </c>
      <c r="Q152" s="560">
        <v>229.89274399999999</v>
      </c>
      <c r="R152" s="560">
        <v>1507.4304480000001</v>
      </c>
      <c r="S152" s="560">
        <v>1787.6994709999999</v>
      </c>
      <c r="T152" s="560">
        <v>2100.0795349999999</v>
      </c>
      <c r="U152" s="560">
        <v>495.13447600000001</v>
      </c>
      <c r="V152" s="560">
        <v>40.391958000000002</v>
      </c>
      <c r="W152" s="560">
        <v>8.3329219999999999</v>
      </c>
      <c r="X152" s="560">
        <v>0</v>
      </c>
      <c r="Y152" s="560">
        <v>49.315492999999996</v>
      </c>
      <c r="Z152" s="560">
        <v>323.36677800000001</v>
      </c>
      <c r="AA152" s="560">
        <v>26074.473419999998</v>
      </c>
      <c r="AB152" s="560">
        <v>29200.135700999999</v>
      </c>
      <c r="AC152" s="560">
        <v>18126.265987999999</v>
      </c>
      <c r="AD152" s="560">
        <v>12889.979036000001</v>
      </c>
      <c r="AE152" s="560">
        <v>520.35173099999997</v>
      </c>
      <c r="AF152" s="560">
        <v>13228.264456999999</v>
      </c>
      <c r="AG152" s="560">
        <v>15610.327031000001</v>
      </c>
      <c r="AH152" s="560">
        <v>3648.1591109999999</v>
      </c>
      <c r="AI152" s="560">
        <v>4.0999999999999996</v>
      </c>
      <c r="AJ152" s="560">
        <v>532.46719599999994</v>
      </c>
      <c r="AK152" s="560">
        <v>1843.627669</v>
      </c>
      <c r="AL152" s="560">
        <v>200.75</v>
      </c>
      <c r="AM152" s="560">
        <v>0</v>
      </c>
      <c r="AN152" s="560">
        <v>0</v>
      </c>
      <c r="AO152" s="560">
        <v>0</v>
      </c>
      <c r="AP152" s="560">
        <v>0</v>
      </c>
      <c r="AQ152" s="560" t="s">
        <v>869</v>
      </c>
      <c r="AR152" s="560" t="s">
        <v>1722</v>
      </c>
      <c r="AS152" s="560">
        <v>0</v>
      </c>
      <c r="AT152" s="560">
        <v>0</v>
      </c>
      <c r="AU152" s="560">
        <v>0</v>
      </c>
      <c r="AV152" s="560">
        <v>69</v>
      </c>
      <c r="AW152" s="560">
        <v>64</v>
      </c>
      <c r="AX152" s="560">
        <v>74</v>
      </c>
      <c r="AY152" s="560">
        <v>78</v>
      </c>
      <c r="AZ152" s="560">
        <v>1</v>
      </c>
      <c r="BA152" s="560">
        <v>2085</v>
      </c>
      <c r="BB152" s="560">
        <v>0</v>
      </c>
      <c r="BC152" s="560">
        <v>0.5</v>
      </c>
      <c r="BD152" s="560">
        <v>0</v>
      </c>
      <c r="BE152" s="560" t="s">
        <v>1799</v>
      </c>
      <c r="BF152" s="560">
        <v>2</v>
      </c>
      <c r="BG152" s="560">
        <v>13</v>
      </c>
      <c r="BH152" s="560">
        <v>1</v>
      </c>
      <c r="BI152" s="560">
        <v>2</v>
      </c>
      <c r="BJ152" s="560">
        <v>35</v>
      </c>
      <c r="BK152" s="560">
        <v>0</v>
      </c>
      <c r="BL152" s="560" t="s">
        <v>1716</v>
      </c>
      <c r="BM152" s="560">
        <v>0.05</v>
      </c>
      <c r="BN152" s="560">
        <v>200</v>
      </c>
      <c r="BO152" s="560">
        <v>20</v>
      </c>
      <c r="BP152" s="560" t="s">
        <v>1717</v>
      </c>
      <c r="BQ152" s="560">
        <v>0</v>
      </c>
      <c r="BR152" s="560">
        <v>0</v>
      </c>
      <c r="BS152" s="560">
        <v>555</v>
      </c>
      <c r="BT152" s="560">
        <v>1568</v>
      </c>
      <c r="BU152" s="560">
        <v>12544</v>
      </c>
      <c r="BV152" s="560">
        <v>0</v>
      </c>
      <c r="BW152" s="560">
        <v>0</v>
      </c>
      <c r="BX152" s="560">
        <v>1344</v>
      </c>
      <c r="BY152" s="560">
        <v>12.82</v>
      </c>
      <c r="BZ152" s="560">
        <v>1568</v>
      </c>
      <c r="CA152" s="560">
        <v>26.5</v>
      </c>
      <c r="CB152" s="560">
        <v>0.85</v>
      </c>
      <c r="CC152" s="560">
        <v>49</v>
      </c>
      <c r="CD152" s="560">
        <v>49</v>
      </c>
      <c r="CE152" s="560">
        <v>49</v>
      </c>
      <c r="CF152" s="560">
        <v>49</v>
      </c>
      <c r="CG152" s="560">
        <v>0.29299999999999998</v>
      </c>
      <c r="CH152" s="560">
        <v>0.3</v>
      </c>
      <c r="CI152" s="560">
        <v>0.54</v>
      </c>
      <c r="CJ152" s="560">
        <v>40</v>
      </c>
      <c r="CK152" s="560">
        <v>5</v>
      </c>
      <c r="CL152" s="560">
        <v>1</v>
      </c>
      <c r="CM152" s="562">
        <v>1568</v>
      </c>
      <c r="CN152" s="562">
        <v>168</v>
      </c>
      <c r="CO152" s="562">
        <v>20.45</v>
      </c>
      <c r="CP152" s="562">
        <v>0</v>
      </c>
      <c r="CQ152" s="562">
        <v>0</v>
      </c>
      <c r="CR152" s="562" t="s">
        <v>1718</v>
      </c>
      <c r="CS152" s="562">
        <v>0</v>
      </c>
      <c r="CT152" s="562">
        <v>0</v>
      </c>
      <c r="CU152" s="562">
        <v>0.75</v>
      </c>
      <c r="CV152" s="562">
        <v>2</v>
      </c>
      <c r="CW152" s="562">
        <v>1.75</v>
      </c>
      <c r="CX152" s="562">
        <v>1</v>
      </c>
      <c r="CY152" s="562">
        <v>0.65</v>
      </c>
      <c r="CZ152" s="560">
        <v>1463.4666669999999</v>
      </c>
      <c r="DA152" s="560">
        <v>8.5</v>
      </c>
      <c r="DB152" s="560" t="s">
        <v>1719</v>
      </c>
      <c r="DC152" s="560">
        <v>50</v>
      </c>
      <c r="DD152" s="560">
        <v>4</v>
      </c>
      <c r="DE152" s="560" t="s">
        <v>1720</v>
      </c>
      <c r="DF152" s="560">
        <v>5</v>
      </c>
      <c r="DG152" s="560">
        <v>0</v>
      </c>
      <c r="DH152" s="560">
        <v>4.5</v>
      </c>
      <c r="DI152" s="560">
        <v>4.5</v>
      </c>
      <c r="DJ152" s="560">
        <v>0</v>
      </c>
      <c r="DK152" s="560">
        <v>0</v>
      </c>
      <c r="DL152" s="560">
        <v>0</v>
      </c>
      <c r="DM152" s="560">
        <v>0</v>
      </c>
      <c r="DN152" s="560">
        <v>0</v>
      </c>
      <c r="DO152" s="560">
        <v>0</v>
      </c>
    </row>
    <row r="153" spans="1:119" hidden="1">
      <c r="A153" s="560" t="s">
        <v>870</v>
      </c>
      <c r="B153" s="560" t="s">
        <v>1713</v>
      </c>
      <c r="C153" s="560" t="s">
        <v>770</v>
      </c>
      <c r="D153" s="560">
        <v>3</v>
      </c>
      <c r="E153" s="560">
        <v>339.39983799999999</v>
      </c>
      <c r="F153" s="560">
        <v>58.029017000000003</v>
      </c>
      <c r="G153" s="560">
        <v>4974.4274999999998</v>
      </c>
      <c r="H153" s="560">
        <v>755.94</v>
      </c>
      <c r="I153" s="560">
        <v>0.968943</v>
      </c>
      <c r="J153" s="560">
        <v>0.26503599999999999</v>
      </c>
      <c r="K153" s="560">
        <v>0.28255000000000002</v>
      </c>
      <c r="L153" s="560">
        <v>0.39023600000000003</v>
      </c>
      <c r="M153" s="560">
        <v>7154.7710669999997</v>
      </c>
      <c r="N153" s="560">
        <v>8032.2167239999999</v>
      </c>
      <c r="O153" s="560">
        <v>2679.8694479999999</v>
      </c>
      <c r="P153" s="560">
        <v>101.732322</v>
      </c>
      <c r="Q153" s="560">
        <v>229.89274399999999</v>
      </c>
      <c r="R153" s="560">
        <v>1507.4304480000001</v>
      </c>
      <c r="S153" s="560">
        <v>2780.9150530000002</v>
      </c>
      <c r="T153" s="560">
        <v>3129.7347730000001</v>
      </c>
      <c r="U153" s="560">
        <v>735.77215899999999</v>
      </c>
      <c r="V153" s="560">
        <v>27.045278</v>
      </c>
      <c r="W153" s="560">
        <v>3.6757680000000001</v>
      </c>
      <c r="X153" s="560">
        <v>0</v>
      </c>
      <c r="Y153" s="560">
        <v>74.255300000000005</v>
      </c>
      <c r="Z153" s="560">
        <v>486.89966500000003</v>
      </c>
      <c r="AA153" s="560">
        <v>26074.473419999998</v>
      </c>
      <c r="AB153" s="560">
        <v>29200.135700999999</v>
      </c>
      <c r="AC153" s="560">
        <v>18126.265987999999</v>
      </c>
      <c r="AD153" s="560">
        <v>12889.979036000001</v>
      </c>
      <c r="AE153" s="560">
        <v>520.35173099999997</v>
      </c>
      <c r="AF153" s="560">
        <v>13765.477707</v>
      </c>
      <c r="AG153" s="560">
        <v>18058.511778</v>
      </c>
      <c r="AH153" s="560">
        <v>3940.3028669999999</v>
      </c>
      <c r="AI153" s="560">
        <v>4.0999999999999996</v>
      </c>
      <c r="AJ153" s="560">
        <v>532.46719599999994</v>
      </c>
      <c r="AK153" s="560">
        <v>1843.627669</v>
      </c>
      <c r="AL153" s="560">
        <v>200.75</v>
      </c>
      <c r="AM153" s="560">
        <v>0</v>
      </c>
      <c r="AN153" s="560">
        <v>0</v>
      </c>
      <c r="AO153" s="560">
        <v>0</v>
      </c>
      <c r="AP153" s="560">
        <v>0</v>
      </c>
      <c r="AQ153" s="560" t="s">
        <v>870</v>
      </c>
      <c r="AR153" s="560" t="s">
        <v>1724</v>
      </c>
      <c r="AS153" s="560">
        <v>0</v>
      </c>
      <c r="AT153" s="560">
        <v>0</v>
      </c>
      <c r="AU153" s="560">
        <v>0</v>
      </c>
      <c r="AV153" s="560">
        <v>69</v>
      </c>
      <c r="AW153" s="560">
        <v>64</v>
      </c>
      <c r="AX153" s="560">
        <v>74</v>
      </c>
      <c r="AY153" s="560">
        <v>78</v>
      </c>
      <c r="AZ153" s="560">
        <v>1</v>
      </c>
      <c r="BA153" s="560">
        <v>2085</v>
      </c>
      <c r="BB153" s="560">
        <v>0</v>
      </c>
      <c r="BC153" s="560">
        <v>0.5</v>
      </c>
      <c r="BD153" s="560">
        <v>0</v>
      </c>
      <c r="BE153" s="560" t="s">
        <v>1799</v>
      </c>
      <c r="BF153" s="560">
        <v>2</v>
      </c>
      <c r="BG153" s="560">
        <v>13</v>
      </c>
      <c r="BH153" s="560">
        <v>1</v>
      </c>
      <c r="BI153" s="560">
        <v>2</v>
      </c>
      <c r="BJ153" s="560">
        <v>35</v>
      </c>
      <c r="BK153" s="560">
        <v>0</v>
      </c>
      <c r="BL153" s="560" t="s">
        <v>1716</v>
      </c>
      <c r="BM153" s="560">
        <v>0.05</v>
      </c>
      <c r="BN153" s="560">
        <v>200</v>
      </c>
      <c r="BO153" s="560">
        <v>20</v>
      </c>
      <c r="BP153" s="560" t="s">
        <v>1717</v>
      </c>
      <c r="BQ153" s="560">
        <v>0</v>
      </c>
      <c r="BR153" s="560">
        <v>0</v>
      </c>
      <c r="BS153" s="560">
        <v>555</v>
      </c>
      <c r="BT153" s="560">
        <v>1568</v>
      </c>
      <c r="BU153" s="560">
        <v>12544</v>
      </c>
      <c r="BV153" s="560">
        <v>0</v>
      </c>
      <c r="BW153" s="560">
        <v>0</v>
      </c>
      <c r="BX153" s="560">
        <v>1344</v>
      </c>
      <c r="BY153" s="560">
        <v>12.82</v>
      </c>
      <c r="BZ153" s="560">
        <v>1568</v>
      </c>
      <c r="CA153" s="560">
        <v>26.5</v>
      </c>
      <c r="CB153" s="560">
        <v>0.85</v>
      </c>
      <c r="CC153" s="560">
        <v>49</v>
      </c>
      <c r="CD153" s="560">
        <v>49</v>
      </c>
      <c r="CE153" s="560">
        <v>49</v>
      </c>
      <c r="CF153" s="560">
        <v>49</v>
      </c>
      <c r="CG153" s="560">
        <v>0.29299999999999998</v>
      </c>
      <c r="CH153" s="560">
        <v>0.3</v>
      </c>
      <c r="CI153" s="560">
        <v>0.54</v>
      </c>
      <c r="CJ153" s="560">
        <v>40</v>
      </c>
      <c r="CK153" s="560">
        <v>5</v>
      </c>
      <c r="CL153" s="560">
        <v>1</v>
      </c>
      <c r="CM153" s="562">
        <v>1568</v>
      </c>
      <c r="CN153" s="562">
        <v>168</v>
      </c>
      <c r="CO153" s="562">
        <v>20.45</v>
      </c>
      <c r="CP153" s="562">
        <v>0</v>
      </c>
      <c r="CQ153" s="562">
        <v>0</v>
      </c>
      <c r="CR153" s="562" t="s">
        <v>1718</v>
      </c>
      <c r="CS153" s="562">
        <v>0</v>
      </c>
      <c r="CT153" s="562">
        <v>0</v>
      </c>
      <c r="CU153" s="562">
        <v>0.75</v>
      </c>
      <c r="CV153" s="562">
        <v>2</v>
      </c>
      <c r="CW153" s="562">
        <v>1.75</v>
      </c>
      <c r="CX153" s="562">
        <v>1</v>
      </c>
      <c r="CY153" s="562">
        <v>0.65</v>
      </c>
      <c r="CZ153" s="560">
        <v>1463.4666669999999</v>
      </c>
      <c r="DA153" s="560">
        <v>8.5</v>
      </c>
      <c r="DB153" s="560" t="s">
        <v>1719</v>
      </c>
      <c r="DC153" s="560">
        <v>50</v>
      </c>
      <c r="DD153" s="560">
        <v>4</v>
      </c>
      <c r="DE153" s="560" t="s">
        <v>1720</v>
      </c>
      <c r="DF153" s="560">
        <v>5</v>
      </c>
      <c r="DG153" s="560">
        <v>0</v>
      </c>
      <c r="DH153" s="560">
        <v>4.5</v>
      </c>
      <c r="DI153" s="560">
        <v>4.5</v>
      </c>
      <c r="DJ153" s="560">
        <v>0</v>
      </c>
      <c r="DK153" s="560">
        <v>0</v>
      </c>
      <c r="DL153" s="560">
        <v>0</v>
      </c>
      <c r="DM153" s="560">
        <v>0</v>
      </c>
      <c r="DN153" s="560">
        <v>0</v>
      </c>
      <c r="DO153" s="560">
        <v>0</v>
      </c>
    </row>
    <row r="154" spans="1:119" hidden="1">
      <c r="A154" s="560" t="s">
        <v>871</v>
      </c>
      <c r="B154" s="560" t="s">
        <v>1713</v>
      </c>
      <c r="C154" s="560" t="s">
        <v>764</v>
      </c>
      <c r="D154" s="560">
        <v>3</v>
      </c>
      <c r="E154" s="560">
        <v>378.43549400000001</v>
      </c>
      <c r="F154" s="560">
        <v>58.74644</v>
      </c>
      <c r="G154" s="560">
        <v>4974.4274999999998</v>
      </c>
      <c r="H154" s="560">
        <v>139.9665</v>
      </c>
      <c r="I154" s="560">
        <v>0.968943</v>
      </c>
      <c r="J154" s="560">
        <v>0.267208</v>
      </c>
      <c r="K154" s="560">
        <v>0.28195500000000001</v>
      </c>
      <c r="L154" s="560">
        <v>0.396561</v>
      </c>
      <c r="M154" s="560">
        <v>8311.0549960000008</v>
      </c>
      <c r="N154" s="560">
        <v>9313.4076729999997</v>
      </c>
      <c r="O154" s="560">
        <v>3110.4661940000001</v>
      </c>
      <c r="P154" s="560">
        <v>147.440595</v>
      </c>
      <c r="Q154" s="560">
        <v>265.19451299999997</v>
      </c>
      <c r="R154" s="560">
        <v>1738.907792</v>
      </c>
      <c r="S154" s="560">
        <v>905.50490300000001</v>
      </c>
      <c r="T154" s="560">
        <v>1126.787941</v>
      </c>
      <c r="U154" s="560">
        <v>266.89881100000002</v>
      </c>
      <c r="V154" s="560">
        <v>36.679031999999999</v>
      </c>
      <c r="W154" s="560">
        <v>13.913122</v>
      </c>
      <c r="X154" s="560">
        <v>0</v>
      </c>
      <c r="Y154" s="560">
        <v>26.186242</v>
      </c>
      <c r="Z154" s="560">
        <v>171.705893</v>
      </c>
      <c r="AA154" s="560">
        <v>27504.972716</v>
      </c>
      <c r="AB154" s="560">
        <v>30707.049498</v>
      </c>
      <c r="AC154" s="560">
        <v>19616.461782999999</v>
      </c>
      <c r="AD154" s="560">
        <v>14380.174832000001</v>
      </c>
      <c r="AE154" s="560">
        <v>520.35173099999997</v>
      </c>
      <c r="AF154" s="560">
        <v>10729.709881999999</v>
      </c>
      <c r="AG154" s="560">
        <v>12228.436027</v>
      </c>
      <c r="AH154" s="560">
        <v>3012.5692530000001</v>
      </c>
      <c r="AI154" s="560">
        <v>15.85</v>
      </c>
      <c r="AJ154" s="560">
        <v>598.03422599999999</v>
      </c>
      <c r="AK154" s="560">
        <v>2075.1822280000001</v>
      </c>
      <c r="AL154" s="560">
        <v>200.75</v>
      </c>
      <c r="AM154" s="560">
        <v>0</v>
      </c>
      <c r="AN154" s="560">
        <v>0</v>
      </c>
      <c r="AO154" s="560">
        <v>0</v>
      </c>
      <c r="AP154" s="560">
        <v>0</v>
      </c>
      <c r="AQ154" s="560" t="s">
        <v>871</v>
      </c>
      <c r="AR154" s="560" t="s">
        <v>1714</v>
      </c>
      <c r="AS154" s="560">
        <v>0</v>
      </c>
      <c r="AT154" s="560">
        <v>0</v>
      </c>
      <c r="AU154" s="560">
        <v>0</v>
      </c>
      <c r="AV154" s="560">
        <v>69</v>
      </c>
      <c r="AW154" s="560">
        <v>64</v>
      </c>
      <c r="AX154" s="560">
        <v>74</v>
      </c>
      <c r="AY154" s="560">
        <v>78</v>
      </c>
      <c r="AZ154" s="560">
        <v>1</v>
      </c>
      <c r="BA154" s="560">
        <v>2085</v>
      </c>
      <c r="BB154" s="560">
        <v>0</v>
      </c>
      <c r="BC154" s="560">
        <v>0.5</v>
      </c>
      <c r="BD154" s="560">
        <v>0</v>
      </c>
      <c r="BE154" s="560" t="s">
        <v>1799</v>
      </c>
      <c r="BF154" s="560">
        <v>2</v>
      </c>
      <c r="BG154" s="560">
        <v>13</v>
      </c>
      <c r="BH154" s="560">
        <v>1</v>
      </c>
      <c r="BI154" s="560">
        <v>2</v>
      </c>
      <c r="BJ154" s="560">
        <v>35</v>
      </c>
      <c r="BK154" s="560">
        <v>0</v>
      </c>
      <c r="BL154" s="560" t="s">
        <v>1716</v>
      </c>
      <c r="BM154" s="560">
        <v>0.05</v>
      </c>
      <c r="BN154" s="560">
        <v>200</v>
      </c>
      <c r="BO154" s="560">
        <v>20</v>
      </c>
      <c r="BP154" s="560" t="s">
        <v>1717</v>
      </c>
      <c r="BQ154" s="560">
        <v>0</v>
      </c>
      <c r="BR154" s="560">
        <v>0</v>
      </c>
      <c r="BS154" s="560">
        <v>555</v>
      </c>
      <c r="BT154" s="560">
        <v>1568</v>
      </c>
      <c r="BU154" s="560">
        <v>12544</v>
      </c>
      <c r="BV154" s="560">
        <v>0</v>
      </c>
      <c r="BW154" s="560">
        <v>0</v>
      </c>
      <c r="BX154" s="560">
        <v>1344</v>
      </c>
      <c r="BY154" s="560">
        <v>10.3</v>
      </c>
      <c r="BZ154" s="560">
        <v>1568</v>
      </c>
      <c r="CA154" s="560">
        <v>26.5</v>
      </c>
      <c r="CB154" s="560">
        <v>0.85</v>
      </c>
      <c r="CC154" s="560">
        <v>49</v>
      </c>
      <c r="CD154" s="560">
        <v>49</v>
      </c>
      <c r="CE154" s="560">
        <v>49</v>
      </c>
      <c r="CF154" s="560">
        <v>49</v>
      </c>
      <c r="CG154" s="560">
        <v>0.29299999999999998</v>
      </c>
      <c r="CH154" s="560">
        <v>0.3</v>
      </c>
      <c r="CI154" s="560">
        <v>0.54</v>
      </c>
      <c r="CJ154" s="560">
        <v>40</v>
      </c>
      <c r="CK154" s="560">
        <v>5</v>
      </c>
      <c r="CL154" s="560">
        <v>1</v>
      </c>
      <c r="CM154" s="562">
        <v>1568</v>
      </c>
      <c r="CN154" s="562">
        <v>168</v>
      </c>
      <c r="CO154" s="562">
        <v>15.8</v>
      </c>
      <c r="CP154" s="562">
        <v>0</v>
      </c>
      <c r="CQ154" s="562">
        <v>0</v>
      </c>
      <c r="CR154" s="562" t="s">
        <v>1718</v>
      </c>
      <c r="CS154" s="562">
        <v>0</v>
      </c>
      <c r="CT154" s="562">
        <v>0</v>
      </c>
      <c r="CU154" s="562">
        <v>0.75</v>
      </c>
      <c r="CV154" s="562">
        <v>2</v>
      </c>
      <c r="CW154" s="562">
        <v>1.75</v>
      </c>
      <c r="CX154" s="562">
        <v>1</v>
      </c>
      <c r="CY154" s="562">
        <v>0.65</v>
      </c>
      <c r="CZ154" s="560">
        <v>1463.4666669999999</v>
      </c>
      <c r="DA154" s="560">
        <v>8.5</v>
      </c>
      <c r="DB154" s="560" t="s">
        <v>1719</v>
      </c>
      <c r="DC154" s="560">
        <v>50</v>
      </c>
      <c r="DD154" s="560">
        <v>4</v>
      </c>
      <c r="DE154" s="560" t="s">
        <v>1720</v>
      </c>
      <c r="DF154" s="560">
        <v>5</v>
      </c>
      <c r="DG154" s="560">
        <v>0</v>
      </c>
      <c r="DH154" s="560">
        <v>4.5</v>
      </c>
      <c r="DI154" s="560">
        <v>4.5</v>
      </c>
      <c r="DJ154" s="560">
        <v>0</v>
      </c>
      <c r="DK154" s="560">
        <v>0</v>
      </c>
      <c r="DL154" s="560">
        <v>0</v>
      </c>
      <c r="DM154" s="560">
        <v>0</v>
      </c>
      <c r="DN154" s="560">
        <v>0</v>
      </c>
      <c r="DO154" s="560">
        <v>0</v>
      </c>
    </row>
    <row r="155" spans="1:119" hidden="1">
      <c r="A155" s="560" t="s">
        <v>872</v>
      </c>
      <c r="B155" s="560" t="s">
        <v>1713</v>
      </c>
      <c r="C155" s="560" t="s">
        <v>767</v>
      </c>
      <c r="D155" s="560">
        <v>3</v>
      </c>
      <c r="E155" s="560">
        <v>378.43549400000001</v>
      </c>
      <c r="F155" s="560">
        <v>58.74644</v>
      </c>
      <c r="G155" s="560">
        <v>4974.4274999999998</v>
      </c>
      <c r="H155" s="560">
        <v>391.60199999999998</v>
      </c>
      <c r="I155" s="560">
        <v>0.968943</v>
      </c>
      <c r="J155" s="560">
        <v>0.267208</v>
      </c>
      <c r="K155" s="560">
        <v>0.28195500000000001</v>
      </c>
      <c r="L155" s="560">
        <v>0.396561</v>
      </c>
      <c r="M155" s="560">
        <v>8311.0549960000008</v>
      </c>
      <c r="N155" s="560">
        <v>9313.4076729999997</v>
      </c>
      <c r="O155" s="560">
        <v>3110.4661940000001</v>
      </c>
      <c r="P155" s="560">
        <v>147.440595</v>
      </c>
      <c r="Q155" s="560">
        <v>265.19451299999997</v>
      </c>
      <c r="R155" s="560">
        <v>1738.907792</v>
      </c>
      <c r="S155" s="560">
        <v>1732.3210610000001</v>
      </c>
      <c r="T155" s="560">
        <v>2029.9943350000001</v>
      </c>
      <c r="U155" s="560">
        <v>478.64828899999998</v>
      </c>
      <c r="V155" s="560">
        <v>37.496163000000003</v>
      </c>
      <c r="W155" s="560">
        <v>8.0570389999999996</v>
      </c>
      <c r="X155" s="560">
        <v>0</v>
      </c>
      <c r="Y155" s="560">
        <v>47.710692000000002</v>
      </c>
      <c r="Z155" s="560">
        <v>312.84393299999999</v>
      </c>
      <c r="AA155" s="560">
        <v>27504.972716</v>
      </c>
      <c r="AB155" s="560">
        <v>30707.049498</v>
      </c>
      <c r="AC155" s="560">
        <v>19616.461782999999</v>
      </c>
      <c r="AD155" s="560">
        <v>14380.174832000001</v>
      </c>
      <c r="AE155" s="560">
        <v>520.35173099999997</v>
      </c>
      <c r="AF155" s="560">
        <v>13882.312679000001</v>
      </c>
      <c r="AG155" s="560">
        <v>16367.500985000001</v>
      </c>
      <c r="AH155" s="560">
        <v>3812.7204579999998</v>
      </c>
      <c r="AI155" s="560">
        <v>15.85</v>
      </c>
      <c r="AJ155" s="560">
        <v>598.03422599999999</v>
      </c>
      <c r="AK155" s="560">
        <v>2075.1822280000001</v>
      </c>
      <c r="AL155" s="560">
        <v>200.75</v>
      </c>
      <c r="AM155" s="560">
        <v>0</v>
      </c>
      <c r="AN155" s="560">
        <v>0</v>
      </c>
      <c r="AO155" s="560">
        <v>0</v>
      </c>
      <c r="AP155" s="560">
        <v>0</v>
      </c>
      <c r="AQ155" s="560" t="s">
        <v>872</v>
      </c>
      <c r="AR155" s="560" t="s">
        <v>1722</v>
      </c>
      <c r="AS155" s="560">
        <v>0</v>
      </c>
      <c r="AT155" s="560">
        <v>0</v>
      </c>
      <c r="AU155" s="560">
        <v>0</v>
      </c>
      <c r="AV155" s="560">
        <v>69</v>
      </c>
      <c r="AW155" s="560">
        <v>64</v>
      </c>
      <c r="AX155" s="560">
        <v>74</v>
      </c>
      <c r="AY155" s="560">
        <v>78</v>
      </c>
      <c r="AZ155" s="560">
        <v>1</v>
      </c>
      <c r="BA155" s="560">
        <v>2085</v>
      </c>
      <c r="BB155" s="560">
        <v>0</v>
      </c>
      <c r="BC155" s="560">
        <v>0.5</v>
      </c>
      <c r="BD155" s="560">
        <v>0</v>
      </c>
      <c r="BE155" s="560" t="s">
        <v>1799</v>
      </c>
      <c r="BF155" s="560">
        <v>2</v>
      </c>
      <c r="BG155" s="560">
        <v>13</v>
      </c>
      <c r="BH155" s="560">
        <v>1</v>
      </c>
      <c r="BI155" s="560">
        <v>2</v>
      </c>
      <c r="BJ155" s="560">
        <v>35</v>
      </c>
      <c r="BK155" s="560">
        <v>0</v>
      </c>
      <c r="BL155" s="560" t="s">
        <v>1716</v>
      </c>
      <c r="BM155" s="560">
        <v>0.05</v>
      </c>
      <c r="BN155" s="560">
        <v>200</v>
      </c>
      <c r="BO155" s="560">
        <v>20</v>
      </c>
      <c r="BP155" s="560" t="s">
        <v>1717</v>
      </c>
      <c r="BQ155" s="560">
        <v>0</v>
      </c>
      <c r="BR155" s="560">
        <v>0</v>
      </c>
      <c r="BS155" s="560">
        <v>555</v>
      </c>
      <c r="BT155" s="560">
        <v>1568</v>
      </c>
      <c r="BU155" s="560">
        <v>12544</v>
      </c>
      <c r="BV155" s="560">
        <v>0</v>
      </c>
      <c r="BW155" s="560">
        <v>0</v>
      </c>
      <c r="BX155" s="560">
        <v>1344</v>
      </c>
      <c r="BY155" s="560">
        <v>10.3</v>
      </c>
      <c r="BZ155" s="560">
        <v>1568</v>
      </c>
      <c r="CA155" s="560">
        <v>26.5</v>
      </c>
      <c r="CB155" s="560">
        <v>0.85</v>
      </c>
      <c r="CC155" s="560">
        <v>49</v>
      </c>
      <c r="CD155" s="560">
        <v>49</v>
      </c>
      <c r="CE155" s="560">
        <v>49</v>
      </c>
      <c r="CF155" s="560">
        <v>49</v>
      </c>
      <c r="CG155" s="560">
        <v>0.29299999999999998</v>
      </c>
      <c r="CH155" s="560">
        <v>0.3</v>
      </c>
      <c r="CI155" s="560">
        <v>0.54</v>
      </c>
      <c r="CJ155" s="560">
        <v>40</v>
      </c>
      <c r="CK155" s="560">
        <v>5</v>
      </c>
      <c r="CL155" s="560">
        <v>1</v>
      </c>
      <c r="CM155" s="562">
        <v>1568</v>
      </c>
      <c r="CN155" s="562">
        <v>168</v>
      </c>
      <c r="CO155" s="562">
        <v>15.8</v>
      </c>
      <c r="CP155" s="562">
        <v>0</v>
      </c>
      <c r="CQ155" s="562">
        <v>0</v>
      </c>
      <c r="CR155" s="562" t="s">
        <v>1718</v>
      </c>
      <c r="CS155" s="562">
        <v>0</v>
      </c>
      <c r="CT155" s="562">
        <v>0</v>
      </c>
      <c r="CU155" s="562">
        <v>0.75</v>
      </c>
      <c r="CV155" s="562">
        <v>2</v>
      </c>
      <c r="CW155" s="562">
        <v>1.75</v>
      </c>
      <c r="CX155" s="562">
        <v>1</v>
      </c>
      <c r="CY155" s="562">
        <v>0.65</v>
      </c>
      <c r="CZ155" s="560">
        <v>1463.4666669999999</v>
      </c>
      <c r="DA155" s="560">
        <v>8.5</v>
      </c>
      <c r="DB155" s="560" t="s">
        <v>1719</v>
      </c>
      <c r="DC155" s="560">
        <v>50</v>
      </c>
      <c r="DD155" s="560">
        <v>4</v>
      </c>
      <c r="DE155" s="560" t="s">
        <v>1720</v>
      </c>
      <c r="DF155" s="560">
        <v>5</v>
      </c>
      <c r="DG155" s="560">
        <v>0</v>
      </c>
      <c r="DH155" s="560">
        <v>4.5</v>
      </c>
      <c r="DI155" s="560">
        <v>4.5</v>
      </c>
      <c r="DJ155" s="560">
        <v>0</v>
      </c>
      <c r="DK155" s="560">
        <v>0</v>
      </c>
      <c r="DL155" s="560">
        <v>0</v>
      </c>
      <c r="DM155" s="560">
        <v>0</v>
      </c>
      <c r="DN155" s="560">
        <v>0</v>
      </c>
      <c r="DO155" s="560">
        <v>0</v>
      </c>
    </row>
    <row r="156" spans="1:119" hidden="1">
      <c r="A156" s="560" t="s">
        <v>873</v>
      </c>
      <c r="B156" s="560" t="s">
        <v>1713</v>
      </c>
      <c r="C156" s="560" t="s">
        <v>770</v>
      </c>
      <c r="D156" s="560">
        <v>3</v>
      </c>
      <c r="E156" s="560">
        <v>378.43549400000001</v>
      </c>
      <c r="F156" s="560">
        <v>58.74644</v>
      </c>
      <c r="G156" s="560">
        <v>4974.4274999999998</v>
      </c>
      <c r="H156" s="560">
        <v>755.94</v>
      </c>
      <c r="I156" s="560">
        <v>0.968943</v>
      </c>
      <c r="J156" s="560">
        <v>0.267208</v>
      </c>
      <c r="K156" s="560">
        <v>0.28195500000000001</v>
      </c>
      <c r="L156" s="560">
        <v>0.396561</v>
      </c>
      <c r="M156" s="560">
        <v>8311.0549960000008</v>
      </c>
      <c r="N156" s="560">
        <v>9313.4076729999997</v>
      </c>
      <c r="O156" s="560">
        <v>3110.4661940000001</v>
      </c>
      <c r="P156" s="560">
        <v>147.440595</v>
      </c>
      <c r="Q156" s="560">
        <v>265.19451299999997</v>
      </c>
      <c r="R156" s="560">
        <v>1738.907792</v>
      </c>
      <c r="S156" s="560">
        <v>2765.041804</v>
      </c>
      <c r="T156" s="560">
        <v>3109.8409809999998</v>
      </c>
      <c r="U156" s="560">
        <v>730.41414699999996</v>
      </c>
      <c r="V156" s="560">
        <v>25.735634000000001</v>
      </c>
      <c r="W156" s="560">
        <v>3.5234299999999998</v>
      </c>
      <c r="X156" s="560">
        <v>0</v>
      </c>
      <c r="Y156" s="560">
        <v>73.803863000000007</v>
      </c>
      <c r="Z156" s="560">
        <v>483.93954300000001</v>
      </c>
      <c r="AA156" s="560">
        <v>27504.972716</v>
      </c>
      <c r="AB156" s="560">
        <v>30707.049498</v>
      </c>
      <c r="AC156" s="560">
        <v>19616.461782999999</v>
      </c>
      <c r="AD156" s="560">
        <v>14380.174832000001</v>
      </c>
      <c r="AE156" s="560">
        <v>520.35173099999997</v>
      </c>
      <c r="AF156" s="560">
        <v>14490.823257</v>
      </c>
      <c r="AG156" s="560">
        <v>17850.855529</v>
      </c>
      <c r="AH156" s="560">
        <v>3940.1710309999999</v>
      </c>
      <c r="AI156" s="560">
        <v>15.85</v>
      </c>
      <c r="AJ156" s="560">
        <v>598.03422599999999</v>
      </c>
      <c r="AK156" s="560">
        <v>2075.1822280000001</v>
      </c>
      <c r="AL156" s="560">
        <v>200.75</v>
      </c>
      <c r="AM156" s="560">
        <v>0</v>
      </c>
      <c r="AN156" s="560">
        <v>0</v>
      </c>
      <c r="AO156" s="560">
        <v>0</v>
      </c>
      <c r="AP156" s="560">
        <v>0</v>
      </c>
      <c r="AQ156" s="560" t="s">
        <v>873</v>
      </c>
      <c r="AR156" s="560" t="s">
        <v>1724</v>
      </c>
      <c r="AS156" s="560">
        <v>0</v>
      </c>
      <c r="AT156" s="560">
        <v>0</v>
      </c>
      <c r="AU156" s="560">
        <v>0</v>
      </c>
      <c r="AV156" s="560">
        <v>69</v>
      </c>
      <c r="AW156" s="560">
        <v>64</v>
      </c>
      <c r="AX156" s="560">
        <v>74</v>
      </c>
      <c r="AY156" s="560">
        <v>78</v>
      </c>
      <c r="AZ156" s="560">
        <v>1</v>
      </c>
      <c r="BA156" s="560">
        <v>2085</v>
      </c>
      <c r="BB156" s="560">
        <v>0</v>
      </c>
      <c r="BC156" s="560">
        <v>0.5</v>
      </c>
      <c r="BD156" s="560">
        <v>0</v>
      </c>
      <c r="BE156" s="560" t="s">
        <v>1799</v>
      </c>
      <c r="BF156" s="560">
        <v>2</v>
      </c>
      <c r="BG156" s="560">
        <v>13</v>
      </c>
      <c r="BH156" s="560">
        <v>1</v>
      </c>
      <c r="BI156" s="560">
        <v>2</v>
      </c>
      <c r="BJ156" s="560">
        <v>35</v>
      </c>
      <c r="BK156" s="560">
        <v>0</v>
      </c>
      <c r="BL156" s="560" t="s">
        <v>1716</v>
      </c>
      <c r="BM156" s="560">
        <v>0.05</v>
      </c>
      <c r="BN156" s="560">
        <v>200</v>
      </c>
      <c r="BO156" s="560">
        <v>20</v>
      </c>
      <c r="BP156" s="560" t="s">
        <v>1717</v>
      </c>
      <c r="BQ156" s="560">
        <v>0</v>
      </c>
      <c r="BR156" s="560">
        <v>0</v>
      </c>
      <c r="BS156" s="560">
        <v>555</v>
      </c>
      <c r="BT156" s="560">
        <v>1568</v>
      </c>
      <c r="BU156" s="560">
        <v>12544</v>
      </c>
      <c r="BV156" s="560">
        <v>0</v>
      </c>
      <c r="BW156" s="560">
        <v>0</v>
      </c>
      <c r="BX156" s="560">
        <v>1344</v>
      </c>
      <c r="BY156" s="560">
        <v>10.3</v>
      </c>
      <c r="BZ156" s="560">
        <v>1568</v>
      </c>
      <c r="CA156" s="560">
        <v>26.5</v>
      </c>
      <c r="CB156" s="560">
        <v>0.85</v>
      </c>
      <c r="CC156" s="560">
        <v>49</v>
      </c>
      <c r="CD156" s="560">
        <v>49</v>
      </c>
      <c r="CE156" s="560">
        <v>49</v>
      </c>
      <c r="CF156" s="560">
        <v>49</v>
      </c>
      <c r="CG156" s="560">
        <v>0.29299999999999998</v>
      </c>
      <c r="CH156" s="560">
        <v>0.3</v>
      </c>
      <c r="CI156" s="560">
        <v>0.54</v>
      </c>
      <c r="CJ156" s="560">
        <v>40</v>
      </c>
      <c r="CK156" s="560">
        <v>5</v>
      </c>
      <c r="CL156" s="560">
        <v>1</v>
      </c>
      <c r="CM156" s="562">
        <v>1568</v>
      </c>
      <c r="CN156" s="562">
        <v>168</v>
      </c>
      <c r="CO156" s="562">
        <v>15.8</v>
      </c>
      <c r="CP156" s="562">
        <v>0</v>
      </c>
      <c r="CQ156" s="562">
        <v>0</v>
      </c>
      <c r="CR156" s="562" t="s">
        <v>1718</v>
      </c>
      <c r="CS156" s="562">
        <v>0</v>
      </c>
      <c r="CT156" s="562">
        <v>0</v>
      </c>
      <c r="CU156" s="562">
        <v>0.75</v>
      </c>
      <c r="CV156" s="562">
        <v>2</v>
      </c>
      <c r="CW156" s="562">
        <v>1.75</v>
      </c>
      <c r="CX156" s="562">
        <v>1</v>
      </c>
      <c r="CY156" s="562">
        <v>0.65</v>
      </c>
      <c r="CZ156" s="560">
        <v>1463.4666669999999</v>
      </c>
      <c r="DA156" s="560">
        <v>8.5</v>
      </c>
      <c r="DB156" s="560" t="s">
        <v>1719</v>
      </c>
      <c r="DC156" s="560">
        <v>50</v>
      </c>
      <c r="DD156" s="560">
        <v>4</v>
      </c>
      <c r="DE156" s="560" t="s">
        <v>1720</v>
      </c>
      <c r="DF156" s="560">
        <v>5</v>
      </c>
      <c r="DG156" s="560">
        <v>0</v>
      </c>
      <c r="DH156" s="560">
        <v>4.5</v>
      </c>
      <c r="DI156" s="560">
        <v>4.5</v>
      </c>
      <c r="DJ156" s="560">
        <v>0</v>
      </c>
      <c r="DK156" s="560">
        <v>0</v>
      </c>
      <c r="DL156" s="560">
        <v>0</v>
      </c>
      <c r="DM156" s="560">
        <v>0</v>
      </c>
      <c r="DN156" s="560">
        <v>0</v>
      </c>
      <c r="DO156" s="560">
        <v>0</v>
      </c>
    </row>
    <row r="157" spans="1:119" hidden="1">
      <c r="A157" s="560" t="s">
        <v>874</v>
      </c>
      <c r="B157" s="560" t="s">
        <v>1713</v>
      </c>
      <c r="C157" s="560" t="s">
        <v>779</v>
      </c>
      <c r="D157" s="560">
        <v>3</v>
      </c>
      <c r="E157" s="560">
        <v>341.996756</v>
      </c>
      <c r="F157" s="560">
        <v>56.788761999999998</v>
      </c>
      <c r="G157" s="560">
        <v>6644.9655000000002</v>
      </c>
      <c r="H157" s="560">
        <v>139.9665</v>
      </c>
      <c r="I157" s="560">
        <v>0.91800700000000002</v>
      </c>
      <c r="J157" s="560">
        <v>0.29241099999999998</v>
      </c>
      <c r="K157" s="560">
        <v>0.31129699999999999</v>
      </c>
      <c r="L157" s="560">
        <v>0.44176399999999999</v>
      </c>
      <c r="M157" s="560">
        <v>10412.019538</v>
      </c>
      <c r="N157" s="560">
        <v>11783.611897999999</v>
      </c>
      <c r="O157" s="560">
        <v>3987.217733</v>
      </c>
      <c r="P157" s="560">
        <v>313.17498000000001</v>
      </c>
      <c r="Q157" s="560">
        <v>330.84457700000002</v>
      </c>
      <c r="R157" s="560">
        <v>2169.382036</v>
      </c>
      <c r="S157" s="560">
        <v>985.31700799999999</v>
      </c>
      <c r="T157" s="560">
        <v>1229.192225</v>
      </c>
      <c r="U157" s="560">
        <v>290.641097</v>
      </c>
      <c r="V157" s="560">
        <v>40.900975000000003</v>
      </c>
      <c r="W157" s="560">
        <v>14.200132999999999</v>
      </c>
      <c r="X157" s="560">
        <v>0</v>
      </c>
      <c r="Y157" s="560">
        <v>28.525451</v>
      </c>
      <c r="Z157" s="560">
        <v>187.04432499999999</v>
      </c>
      <c r="AA157" s="560">
        <v>30152.142168999999</v>
      </c>
      <c r="AB157" s="560">
        <v>33920.430230999998</v>
      </c>
      <c r="AC157" s="560">
        <v>21944.342711000001</v>
      </c>
      <c r="AD157" s="560">
        <v>16638.798559999999</v>
      </c>
      <c r="AE157" s="560">
        <v>520.35173099999997</v>
      </c>
      <c r="AF157" s="560">
        <v>10317.157386000001</v>
      </c>
      <c r="AG157" s="560">
        <v>11765.672456</v>
      </c>
      <c r="AH157" s="560">
        <v>2905.028675</v>
      </c>
      <c r="AI157" s="560">
        <v>5.3</v>
      </c>
      <c r="AJ157" s="560">
        <v>745.29355999999996</v>
      </c>
      <c r="AK157" s="560">
        <v>2578.0656220000001</v>
      </c>
      <c r="AL157" s="560">
        <v>200.75</v>
      </c>
      <c r="AM157" s="560">
        <v>0</v>
      </c>
      <c r="AN157" s="560">
        <v>0</v>
      </c>
      <c r="AO157" s="560">
        <v>0</v>
      </c>
      <c r="AP157" s="560">
        <v>0</v>
      </c>
      <c r="AQ157" s="560" t="s">
        <v>874</v>
      </c>
      <c r="AR157" s="560" t="s">
        <v>1729</v>
      </c>
      <c r="AS157" s="560">
        <v>0</v>
      </c>
      <c r="AT157" s="560">
        <v>0</v>
      </c>
      <c r="AU157" s="560">
        <v>0</v>
      </c>
      <c r="AV157" s="560">
        <v>69</v>
      </c>
      <c r="AW157" s="560">
        <v>64</v>
      </c>
      <c r="AX157" s="560">
        <v>74</v>
      </c>
      <c r="AY157" s="560">
        <v>78</v>
      </c>
      <c r="AZ157" s="560">
        <v>1</v>
      </c>
      <c r="BA157" s="560">
        <v>2085</v>
      </c>
      <c r="BB157" s="560">
        <v>0</v>
      </c>
      <c r="BC157" s="560">
        <v>0.5</v>
      </c>
      <c r="BD157" s="560">
        <v>0</v>
      </c>
      <c r="BE157" s="560" t="s">
        <v>1799</v>
      </c>
      <c r="BF157" s="560">
        <v>2</v>
      </c>
      <c r="BG157" s="560">
        <v>13</v>
      </c>
      <c r="BH157" s="560">
        <v>1</v>
      </c>
      <c r="BI157" s="560">
        <v>2</v>
      </c>
      <c r="BJ157" s="560">
        <v>35</v>
      </c>
      <c r="BK157" s="560">
        <v>0</v>
      </c>
      <c r="BL157" s="560" t="s">
        <v>1716</v>
      </c>
      <c r="BM157" s="560">
        <v>0.05</v>
      </c>
      <c r="BN157" s="560">
        <v>200</v>
      </c>
      <c r="BO157" s="560">
        <v>20</v>
      </c>
      <c r="BP157" s="560" t="s">
        <v>1717</v>
      </c>
      <c r="BQ157" s="560">
        <v>0</v>
      </c>
      <c r="BR157" s="560">
        <v>0</v>
      </c>
      <c r="BS157" s="560">
        <v>555</v>
      </c>
      <c r="BT157" s="560">
        <v>1568</v>
      </c>
      <c r="BU157" s="560">
        <v>12544</v>
      </c>
      <c r="BV157" s="560">
        <v>0</v>
      </c>
      <c r="BW157" s="560">
        <v>0</v>
      </c>
      <c r="BX157" s="560">
        <v>1344</v>
      </c>
      <c r="BY157" s="560">
        <v>12.82</v>
      </c>
      <c r="BZ157" s="560">
        <v>1568</v>
      </c>
      <c r="CA157" s="560">
        <v>26.5</v>
      </c>
      <c r="CB157" s="560">
        <v>0.85</v>
      </c>
      <c r="CC157" s="560">
        <v>49</v>
      </c>
      <c r="CD157" s="560">
        <v>49</v>
      </c>
      <c r="CE157" s="560">
        <v>49</v>
      </c>
      <c r="CF157" s="560">
        <v>49</v>
      </c>
      <c r="CG157" s="560">
        <v>0.29299999999999998</v>
      </c>
      <c r="CH157" s="560">
        <v>0.3</v>
      </c>
      <c r="CI157" s="560">
        <v>0.54</v>
      </c>
      <c r="CJ157" s="560">
        <v>40</v>
      </c>
      <c r="CK157" s="560">
        <v>5</v>
      </c>
      <c r="CL157" s="560">
        <v>1</v>
      </c>
      <c r="CM157" s="562">
        <v>1568</v>
      </c>
      <c r="CN157" s="562">
        <v>168</v>
      </c>
      <c r="CO157" s="562">
        <v>20.45</v>
      </c>
      <c r="CP157" s="562">
        <v>0</v>
      </c>
      <c r="CQ157" s="562">
        <v>0</v>
      </c>
      <c r="CR157" s="562" t="s">
        <v>1718</v>
      </c>
      <c r="CS157" s="562">
        <v>0</v>
      </c>
      <c r="CT157" s="562">
        <v>0</v>
      </c>
      <c r="CU157" s="562">
        <v>0.75</v>
      </c>
      <c r="CV157" s="562">
        <v>2</v>
      </c>
      <c r="CW157" s="562">
        <v>1.75</v>
      </c>
      <c r="CX157" s="562">
        <v>1</v>
      </c>
      <c r="CY157" s="562">
        <v>0.65</v>
      </c>
      <c r="CZ157" s="560">
        <v>1463.4666669999999</v>
      </c>
      <c r="DA157" s="560">
        <v>8.5</v>
      </c>
      <c r="DB157" s="560" t="s">
        <v>1719</v>
      </c>
      <c r="DC157" s="560">
        <v>50</v>
      </c>
      <c r="DD157" s="560">
        <v>4</v>
      </c>
      <c r="DE157" s="560" t="s">
        <v>1720</v>
      </c>
      <c r="DF157" s="560">
        <v>5</v>
      </c>
      <c r="DG157" s="560">
        <v>0</v>
      </c>
      <c r="DH157" s="560">
        <v>4.5</v>
      </c>
      <c r="DI157" s="560">
        <v>4.5</v>
      </c>
      <c r="DJ157" s="560">
        <v>0</v>
      </c>
      <c r="DK157" s="560">
        <v>0</v>
      </c>
      <c r="DL157" s="560">
        <v>0</v>
      </c>
      <c r="DM157" s="560">
        <v>0</v>
      </c>
      <c r="DN157" s="560">
        <v>0</v>
      </c>
      <c r="DO157" s="560">
        <v>0</v>
      </c>
    </row>
    <row r="158" spans="1:119" hidden="1">
      <c r="A158" s="560" t="s">
        <v>875</v>
      </c>
      <c r="B158" s="560" t="s">
        <v>1713</v>
      </c>
      <c r="C158" s="560" t="s">
        <v>782</v>
      </c>
      <c r="D158" s="560">
        <v>3</v>
      </c>
      <c r="E158" s="560">
        <v>341.996756</v>
      </c>
      <c r="F158" s="560">
        <v>56.788761999999998</v>
      </c>
      <c r="G158" s="560">
        <v>6644.9655000000002</v>
      </c>
      <c r="H158" s="560">
        <v>391.60199999999998</v>
      </c>
      <c r="I158" s="560">
        <v>0.91800700000000002</v>
      </c>
      <c r="J158" s="560">
        <v>0.29241099999999998</v>
      </c>
      <c r="K158" s="560">
        <v>0.31129699999999999</v>
      </c>
      <c r="L158" s="560">
        <v>0.44176399999999999</v>
      </c>
      <c r="M158" s="560">
        <v>10412.019538</v>
      </c>
      <c r="N158" s="560">
        <v>11783.611897999999</v>
      </c>
      <c r="O158" s="560">
        <v>3987.217733</v>
      </c>
      <c r="P158" s="560">
        <v>313.17498000000001</v>
      </c>
      <c r="Q158" s="560">
        <v>330.84457700000002</v>
      </c>
      <c r="R158" s="560">
        <v>2169.382036</v>
      </c>
      <c r="S158" s="560">
        <v>1787.6994709999999</v>
      </c>
      <c r="T158" s="560">
        <v>2100.0795349999999</v>
      </c>
      <c r="U158" s="560">
        <v>495.13447600000001</v>
      </c>
      <c r="V158" s="560">
        <v>40.391958000000002</v>
      </c>
      <c r="W158" s="560">
        <v>8.3329219999999999</v>
      </c>
      <c r="X158" s="560">
        <v>0</v>
      </c>
      <c r="Y158" s="560">
        <v>49.315492999999996</v>
      </c>
      <c r="Z158" s="560">
        <v>323.36677800000001</v>
      </c>
      <c r="AA158" s="560">
        <v>30152.142168999999</v>
      </c>
      <c r="AB158" s="560">
        <v>33920.430230999998</v>
      </c>
      <c r="AC158" s="560">
        <v>21944.342711000001</v>
      </c>
      <c r="AD158" s="560">
        <v>16638.798559999999</v>
      </c>
      <c r="AE158" s="560">
        <v>520.35173099999997</v>
      </c>
      <c r="AF158" s="560">
        <v>13228.264456999999</v>
      </c>
      <c r="AG158" s="560">
        <v>15610.327031000001</v>
      </c>
      <c r="AH158" s="560">
        <v>3648.1591109999999</v>
      </c>
      <c r="AI158" s="560">
        <v>5.3</v>
      </c>
      <c r="AJ158" s="560">
        <v>745.29355999999996</v>
      </c>
      <c r="AK158" s="560">
        <v>2578.0656220000001</v>
      </c>
      <c r="AL158" s="560">
        <v>200.75</v>
      </c>
      <c r="AM158" s="560">
        <v>0</v>
      </c>
      <c r="AN158" s="560">
        <v>0</v>
      </c>
      <c r="AO158" s="560">
        <v>0</v>
      </c>
      <c r="AP158" s="560">
        <v>0</v>
      </c>
      <c r="AQ158" s="560" t="s">
        <v>875</v>
      </c>
      <c r="AR158" s="560" t="s">
        <v>1731</v>
      </c>
      <c r="AS158" s="560">
        <v>0</v>
      </c>
      <c r="AT158" s="560">
        <v>0</v>
      </c>
      <c r="AU158" s="560">
        <v>0</v>
      </c>
      <c r="AV158" s="560">
        <v>69</v>
      </c>
      <c r="AW158" s="560">
        <v>64</v>
      </c>
      <c r="AX158" s="560">
        <v>74</v>
      </c>
      <c r="AY158" s="560">
        <v>78</v>
      </c>
      <c r="AZ158" s="560">
        <v>1</v>
      </c>
      <c r="BA158" s="560">
        <v>2085</v>
      </c>
      <c r="BB158" s="560">
        <v>0</v>
      </c>
      <c r="BC158" s="560">
        <v>0.5</v>
      </c>
      <c r="BD158" s="560">
        <v>0</v>
      </c>
      <c r="BE158" s="560" t="s">
        <v>1799</v>
      </c>
      <c r="BF158" s="560">
        <v>2</v>
      </c>
      <c r="BG158" s="560">
        <v>13</v>
      </c>
      <c r="BH158" s="560">
        <v>1</v>
      </c>
      <c r="BI158" s="560">
        <v>2</v>
      </c>
      <c r="BJ158" s="560">
        <v>35</v>
      </c>
      <c r="BK158" s="560">
        <v>0</v>
      </c>
      <c r="BL158" s="560" t="s">
        <v>1716</v>
      </c>
      <c r="BM158" s="560">
        <v>0.05</v>
      </c>
      <c r="BN158" s="560">
        <v>200</v>
      </c>
      <c r="BO158" s="560">
        <v>20</v>
      </c>
      <c r="BP158" s="560" t="s">
        <v>1717</v>
      </c>
      <c r="BQ158" s="560">
        <v>0</v>
      </c>
      <c r="BR158" s="560">
        <v>0</v>
      </c>
      <c r="BS158" s="560">
        <v>555</v>
      </c>
      <c r="BT158" s="560">
        <v>1568</v>
      </c>
      <c r="BU158" s="560">
        <v>12544</v>
      </c>
      <c r="BV158" s="560">
        <v>0</v>
      </c>
      <c r="BW158" s="560">
        <v>0</v>
      </c>
      <c r="BX158" s="560">
        <v>1344</v>
      </c>
      <c r="BY158" s="560">
        <v>12.82</v>
      </c>
      <c r="BZ158" s="560">
        <v>1568</v>
      </c>
      <c r="CA158" s="560">
        <v>26.5</v>
      </c>
      <c r="CB158" s="560">
        <v>0.85</v>
      </c>
      <c r="CC158" s="560">
        <v>49</v>
      </c>
      <c r="CD158" s="560">
        <v>49</v>
      </c>
      <c r="CE158" s="560">
        <v>49</v>
      </c>
      <c r="CF158" s="560">
        <v>49</v>
      </c>
      <c r="CG158" s="560">
        <v>0.29299999999999998</v>
      </c>
      <c r="CH158" s="560">
        <v>0.3</v>
      </c>
      <c r="CI158" s="560">
        <v>0.54</v>
      </c>
      <c r="CJ158" s="560">
        <v>40</v>
      </c>
      <c r="CK158" s="560">
        <v>5</v>
      </c>
      <c r="CL158" s="560">
        <v>1</v>
      </c>
      <c r="CM158" s="562">
        <v>1568</v>
      </c>
      <c r="CN158" s="562">
        <v>168</v>
      </c>
      <c r="CO158" s="562">
        <v>20.45</v>
      </c>
      <c r="CP158" s="562">
        <v>0</v>
      </c>
      <c r="CQ158" s="562">
        <v>0</v>
      </c>
      <c r="CR158" s="562" t="s">
        <v>1718</v>
      </c>
      <c r="CS158" s="562">
        <v>0</v>
      </c>
      <c r="CT158" s="562">
        <v>0</v>
      </c>
      <c r="CU158" s="562">
        <v>0.75</v>
      </c>
      <c r="CV158" s="562">
        <v>2</v>
      </c>
      <c r="CW158" s="562">
        <v>1.75</v>
      </c>
      <c r="CX158" s="562">
        <v>1</v>
      </c>
      <c r="CY158" s="562">
        <v>0.65</v>
      </c>
      <c r="CZ158" s="560">
        <v>1463.4666669999999</v>
      </c>
      <c r="DA158" s="560">
        <v>8.5</v>
      </c>
      <c r="DB158" s="560" t="s">
        <v>1719</v>
      </c>
      <c r="DC158" s="560">
        <v>50</v>
      </c>
      <c r="DD158" s="560">
        <v>4</v>
      </c>
      <c r="DE158" s="560" t="s">
        <v>1720</v>
      </c>
      <c r="DF158" s="560">
        <v>5</v>
      </c>
      <c r="DG158" s="560">
        <v>0</v>
      </c>
      <c r="DH158" s="560">
        <v>4.5</v>
      </c>
      <c r="DI158" s="560">
        <v>4.5</v>
      </c>
      <c r="DJ158" s="560">
        <v>0</v>
      </c>
      <c r="DK158" s="560">
        <v>0</v>
      </c>
      <c r="DL158" s="560">
        <v>0</v>
      </c>
      <c r="DM158" s="560">
        <v>0</v>
      </c>
      <c r="DN158" s="560">
        <v>0</v>
      </c>
      <c r="DO158" s="560">
        <v>0</v>
      </c>
    </row>
    <row r="159" spans="1:119" hidden="1">
      <c r="A159" s="560" t="s">
        <v>876</v>
      </c>
      <c r="B159" s="560" t="s">
        <v>1713</v>
      </c>
      <c r="C159" s="560" t="s">
        <v>785</v>
      </c>
      <c r="D159" s="560">
        <v>3</v>
      </c>
      <c r="E159" s="560">
        <v>341.996756</v>
      </c>
      <c r="F159" s="560">
        <v>56.788761999999998</v>
      </c>
      <c r="G159" s="560">
        <v>6644.9655000000002</v>
      </c>
      <c r="H159" s="560">
        <v>755.94</v>
      </c>
      <c r="I159" s="560">
        <v>0.91800700000000002</v>
      </c>
      <c r="J159" s="560">
        <v>0.29241099999999998</v>
      </c>
      <c r="K159" s="560">
        <v>0.31129699999999999</v>
      </c>
      <c r="L159" s="560">
        <v>0.44176399999999999</v>
      </c>
      <c r="M159" s="560">
        <v>10412.019538</v>
      </c>
      <c r="N159" s="560">
        <v>11783.611897999999</v>
      </c>
      <c r="O159" s="560">
        <v>3987.217733</v>
      </c>
      <c r="P159" s="560">
        <v>313.17498000000001</v>
      </c>
      <c r="Q159" s="560">
        <v>330.84457700000002</v>
      </c>
      <c r="R159" s="560">
        <v>2169.382036</v>
      </c>
      <c r="S159" s="560">
        <v>2780.9150530000002</v>
      </c>
      <c r="T159" s="560">
        <v>3129.7347730000001</v>
      </c>
      <c r="U159" s="560">
        <v>735.77215899999999</v>
      </c>
      <c r="V159" s="560">
        <v>27.045278</v>
      </c>
      <c r="W159" s="560">
        <v>3.6757680000000001</v>
      </c>
      <c r="X159" s="560">
        <v>0</v>
      </c>
      <c r="Y159" s="560">
        <v>74.255300000000005</v>
      </c>
      <c r="Z159" s="560">
        <v>486.89966500000003</v>
      </c>
      <c r="AA159" s="560">
        <v>30152.142168999999</v>
      </c>
      <c r="AB159" s="560">
        <v>33920.430230999998</v>
      </c>
      <c r="AC159" s="560">
        <v>21944.342711000001</v>
      </c>
      <c r="AD159" s="560">
        <v>16638.798559999999</v>
      </c>
      <c r="AE159" s="560">
        <v>520.35173099999997</v>
      </c>
      <c r="AF159" s="560">
        <v>13765.477707</v>
      </c>
      <c r="AG159" s="560">
        <v>18058.511778</v>
      </c>
      <c r="AH159" s="560">
        <v>3940.3028669999999</v>
      </c>
      <c r="AI159" s="560">
        <v>5.3</v>
      </c>
      <c r="AJ159" s="560">
        <v>745.29355999999996</v>
      </c>
      <c r="AK159" s="560">
        <v>2578.0656220000001</v>
      </c>
      <c r="AL159" s="560">
        <v>200.75</v>
      </c>
      <c r="AM159" s="560">
        <v>0</v>
      </c>
      <c r="AN159" s="560">
        <v>0</v>
      </c>
      <c r="AO159" s="560">
        <v>0</v>
      </c>
      <c r="AP159" s="560">
        <v>0</v>
      </c>
      <c r="AQ159" s="560" t="s">
        <v>876</v>
      </c>
      <c r="AR159" s="560" t="s">
        <v>1733</v>
      </c>
      <c r="AS159" s="560">
        <v>0</v>
      </c>
      <c r="AT159" s="560">
        <v>0</v>
      </c>
      <c r="AU159" s="560">
        <v>0</v>
      </c>
      <c r="AV159" s="560">
        <v>69</v>
      </c>
      <c r="AW159" s="560">
        <v>64</v>
      </c>
      <c r="AX159" s="560">
        <v>74</v>
      </c>
      <c r="AY159" s="560">
        <v>78</v>
      </c>
      <c r="AZ159" s="560">
        <v>1</v>
      </c>
      <c r="BA159" s="560">
        <v>2085</v>
      </c>
      <c r="BB159" s="560">
        <v>0</v>
      </c>
      <c r="BC159" s="560">
        <v>0.5</v>
      </c>
      <c r="BD159" s="560">
        <v>0</v>
      </c>
      <c r="BE159" s="560" t="s">
        <v>1799</v>
      </c>
      <c r="BF159" s="560">
        <v>2</v>
      </c>
      <c r="BG159" s="560">
        <v>13</v>
      </c>
      <c r="BH159" s="560">
        <v>1</v>
      </c>
      <c r="BI159" s="560">
        <v>2</v>
      </c>
      <c r="BJ159" s="560">
        <v>35</v>
      </c>
      <c r="BK159" s="560">
        <v>0</v>
      </c>
      <c r="BL159" s="560" t="s">
        <v>1716</v>
      </c>
      <c r="BM159" s="560">
        <v>0.05</v>
      </c>
      <c r="BN159" s="560">
        <v>200</v>
      </c>
      <c r="BO159" s="560">
        <v>20</v>
      </c>
      <c r="BP159" s="560" t="s">
        <v>1717</v>
      </c>
      <c r="BQ159" s="560">
        <v>0</v>
      </c>
      <c r="BR159" s="560">
        <v>0</v>
      </c>
      <c r="BS159" s="560">
        <v>555</v>
      </c>
      <c r="BT159" s="560">
        <v>1568</v>
      </c>
      <c r="BU159" s="560">
        <v>12544</v>
      </c>
      <c r="BV159" s="560">
        <v>0</v>
      </c>
      <c r="BW159" s="560">
        <v>0</v>
      </c>
      <c r="BX159" s="560">
        <v>1344</v>
      </c>
      <c r="BY159" s="560">
        <v>12.82</v>
      </c>
      <c r="BZ159" s="560">
        <v>1568</v>
      </c>
      <c r="CA159" s="560">
        <v>26.5</v>
      </c>
      <c r="CB159" s="560">
        <v>0.85</v>
      </c>
      <c r="CC159" s="560">
        <v>49</v>
      </c>
      <c r="CD159" s="560">
        <v>49</v>
      </c>
      <c r="CE159" s="560">
        <v>49</v>
      </c>
      <c r="CF159" s="560">
        <v>49</v>
      </c>
      <c r="CG159" s="560">
        <v>0.29299999999999998</v>
      </c>
      <c r="CH159" s="560">
        <v>0.3</v>
      </c>
      <c r="CI159" s="560">
        <v>0.54</v>
      </c>
      <c r="CJ159" s="560">
        <v>40</v>
      </c>
      <c r="CK159" s="560">
        <v>5</v>
      </c>
      <c r="CL159" s="560">
        <v>1</v>
      </c>
      <c r="CM159" s="562">
        <v>1568</v>
      </c>
      <c r="CN159" s="562">
        <v>168</v>
      </c>
      <c r="CO159" s="562">
        <v>20.45</v>
      </c>
      <c r="CP159" s="562">
        <v>0</v>
      </c>
      <c r="CQ159" s="562">
        <v>0</v>
      </c>
      <c r="CR159" s="562" t="s">
        <v>1718</v>
      </c>
      <c r="CS159" s="562">
        <v>0</v>
      </c>
      <c r="CT159" s="562">
        <v>0</v>
      </c>
      <c r="CU159" s="562">
        <v>0.75</v>
      </c>
      <c r="CV159" s="562">
        <v>2</v>
      </c>
      <c r="CW159" s="562">
        <v>1.75</v>
      </c>
      <c r="CX159" s="562">
        <v>1</v>
      </c>
      <c r="CY159" s="562">
        <v>0.65</v>
      </c>
      <c r="CZ159" s="560">
        <v>1463.4666669999999</v>
      </c>
      <c r="DA159" s="560">
        <v>8.5</v>
      </c>
      <c r="DB159" s="560" t="s">
        <v>1719</v>
      </c>
      <c r="DC159" s="560">
        <v>50</v>
      </c>
      <c r="DD159" s="560">
        <v>4</v>
      </c>
      <c r="DE159" s="560" t="s">
        <v>1720</v>
      </c>
      <c r="DF159" s="560">
        <v>5</v>
      </c>
      <c r="DG159" s="560">
        <v>0</v>
      </c>
      <c r="DH159" s="560">
        <v>4.5</v>
      </c>
      <c r="DI159" s="560">
        <v>4.5</v>
      </c>
      <c r="DJ159" s="560">
        <v>0</v>
      </c>
      <c r="DK159" s="560">
        <v>0</v>
      </c>
      <c r="DL159" s="560">
        <v>0</v>
      </c>
      <c r="DM159" s="560">
        <v>0</v>
      </c>
      <c r="DN159" s="560">
        <v>0</v>
      </c>
      <c r="DO159" s="560">
        <v>0</v>
      </c>
    </row>
    <row r="160" spans="1:119" hidden="1">
      <c r="A160" s="560" t="s">
        <v>877</v>
      </c>
      <c r="B160" s="560" t="s">
        <v>1713</v>
      </c>
      <c r="C160" s="560" t="s">
        <v>779</v>
      </c>
      <c r="D160" s="560">
        <v>3</v>
      </c>
      <c r="E160" s="560">
        <v>381.17033400000003</v>
      </c>
      <c r="F160" s="560">
        <v>57.820675999999999</v>
      </c>
      <c r="G160" s="560">
        <v>6644.9655000000002</v>
      </c>
      <c r="H160" s="560">
        <v>139.9665</v>
      </c>
      <c r="I160" s="560">
        <v>0.91800700000000002</v>
      </c>
      <c r="J160" s="560">
        <v>0.29541899999999999</v>
      </c>
      <c r="K160" s="560">
        <v>0.31180200000000002</v>
      </c>
      <c r="L160" s="560">
        <v>0.44772200000000001</v>
      </c>
      <c r="M160" s="560">
        <v>11922.403216000001</v>
      </c>
      <c r="N160" s="560">
        <v>13462.591581999999</v>
      </c>
      <c r="O160" s="560">
        <v>4593.0154030000003</v>
      </c>
      <c r="P160" s="560">
        <v>451.61827599999998</v>
      </c>
      <c r="Q160" s="560">
        <v>374.48535399999997</v>
      </c>
      <c r="R160" s="560">
        <v>2455.5391100000002</v>
      </c>
      <c r="S160" s="560">
        <v>905.50490300000001</v>
      </c>
      <c r="T160" s="560">
        <v>1126.787941</v>
      </c>
      <c r="U160" s="560">
        <v>266.89881100000002</v>
      </c>
      <c r="V160" s="560">
        <v>36.679031999999999</v>
      </c>
      <c r="W160" s="560">
        <v>13.913122</v>
      </c>
      <c r="X160" s="560">
        <v>0</v>
      </c>
      <c r="Y160" s="560">
        <v>26.186242</v>
      </c>
      <c r="Z160" s="560">
        <v>171.705893</v>
      </c>
      <c r="AA160" s="560">
        <v>31945.692986999999</v>
      </c>
      <c r="AB160" s="560">
        <v>35815.113740000001</v>
      </c>
      <c r="AC160" s="560">
        <v>23839.026221</v>
      </c>
      <c r="AD160" s="560">
        <v>18533.482069000002</v>
      </c>
      <c r="AE160" s="560">
        <v>520.35173099999997</v>
      </c>
      <c r="AF160" s="560">
        <v>10729.709881999999</v>
      </c>
      <c r="AG160" s="560">
        <v>12228.436027</v>
      </c>
      <c r="AH160" s="560">
        <v>3012.5692530000001</v>
      </c>
      <c r="AI160" s="560">
        <v>15.2</v>
      </c>
      <c r="AJ160" s="560">
        <v>828.57763999999997</v>
      </c>
      <c r="AK160" s="560">
        <v>2868.4571940000001</v>
      </c>
      <c r="AL160" s="560">
        <v>200.75</v>
      </c>
      <c r="AM160" s="560">
        <v>0</v>
      </c>
      <c r="AN160" s="560">
        <v>0</v>
      </c>
      <c r="AO160" s="560">
        <v>0</v>
      </c>
      <c r="AP160" s="560">
        <v>0</v>
      </c>
      <c r="AQ160" s="560" t="s">
        <v>877</v>
      </c>
      <c r="AR160" s="560" t="s">
        <v>1729</v>
      </c>
      <c r="AS160" s="560">
        <v>0</v>
      </c>
      <c r="AT160" s="560">
        <v>0</v>
      </c>
      <c r="AU160" s="560">
        <v>0</v>
      </c>
      <c r="AV160" s="560">
        <v>69</v>
      </c>
      <c r="AW160" s="560">
        <v>64</v>
      </c>
      <c r="AX160" s="560">
        <v>74</v>
      </c>
      <c r="AY160" s="560">
        <v>78</v>
      </c>
      <c r="AZ160" s="560">
        <v>1</v>
      </c>
      <c r="BA160" s="560">
        <v>2085</v>
      </c>
      <c r="BB160" s="560">
        <v>0</v>
      </c>
      <c r="BC160" s="560">
        <v>0.5</v>
      </c>
      <c r="BD160" s="560">
        <v>0</v>
      </c>
      <c r="BE160" s="560" t="s">
        <v>1799</v>
      </c>
      <c r="BF160" s="560">
        <v>2</v>
      </c>
      <c r="BG160" s="560">
        <v>13</v>
      </c>
      <c r="BH160" s="560">
        <v>1</v>
      </c>
      <c r="BI160" s="560">
        <v>2</v>
      </c>
      <c r="BJ160" s="560">
        <v>35</v>
      </c>
      <c r="BK160" s="560">
        <v>0</v>
      </c>
      <c r="BL160" s="560" t="s">
        <v>1716</v>
      </c>
      <c r="BM160" s="560">
        <v>0.05</v>
      </c>
      <c r="BN160" s="560">
        <v>200</v>
      </c>
      <c r="BO160" s="560">
        <v>20</v>
      </c>
      <c r="BP160" s="560" t="s">
        <v>1717</v>
      </c>
      <c r="BQ160" s="560">
        <v>0</v>
      </c>
      <c r="BR160" s="560">
        <v>0</v>
      </c>
      <c r="BS160" s="560">
        <v>555</v>
      </c>
      <c r="BT160" s="560">
        <v>1568</v>
      </c>
      <c r="BU160" s="560">
        <v>12544</v>
      </c>
      <c r="BV160" s="560">
        <v>0</v>
      </c>
      <c r="BW160" s="560">
        <v>0</v>
      </c>
      <c r="BX160" s="560">
        <v>1344</v>
      </c>
      <c r="BY160" s="560">
        <v>10.3</v>
      </c>
      <c r="BZ160" s="560">
        <v>1568</v>
      </c>
      <c r="CA160" s="560">
        <v>26.5</v>
      </c>
      <c r="CB160" s="560">
        <v>0.85</v>
      </c>
      <c r="CC160" s="560">
        <v>49</v>
      </c>
      <c r="CD160" s="560">
        <v>49</v>
      </c>
      <c r="CE160" s="560">
        <v>49</v>
      </c>
      <c r="CF160" s="560">
        <v>49</v>
      </c>
      <c r="CG160" s="560">
        <v>0.29299999999999998</v>
      </c>
      <c r="CH160" s="560">
        <v>0.3</v>
      </c>
      <c r="CI160" s="560">
        <v>0.54</v>
      </c>
      <c r="CJ160" s="560">
        <v>40</v>
      </c>
      <c r="CK160" s="560">
        <v>5</v>
      </c>
      <c r="CL160" s="560">
        <v>1</v>
      </c>
      <c r="CM160" s="562">
        <v>1568</v>
      </c>
      <c r="CN160" s="562">
        <v>168</v>
      </c>
      <c r="CO160" s="562">
        <v>15.8</v>
      </c>
      <c r="CP160" s="562">
        <v>0</v>
      </c>
      <c r="CQ160" s="562">
        <v>0</v>
      </c>
      <c r="CR160" s="562" t="s">
        <v>1718</v>
      </c>
      <c r="CS160" s="562">
        <v>0</v>
      </c>
      <c r="CT160" s="562">
        <v>0</v>
      </c>
      <c r="CU160" s="562">
        <v>0.75</v>
      </c>
      <c r="CV160" s="562">
        <v>2</v>
      </c>
      <c r="CW160" s="562">
        <v>1.75</v>
      </c>
      <c r="CX160" s="562">
        <v>1</v>
      </c>
      <c r="CY160" s="562">
        <v>0.65</v>
      </c>
      <c r="CZ160" s="560">
        <v>1463.4666669999999</v>
      </c>
      <c r="DA160" s="560">
        <v>8.5</v>
      </c>
      <c r="DB160" s="560" t="s">
        <v>1719</v>
      </c>
      <c r="DC160" s="560">
        <v>50</v>
      </c>
      <c r="DD160" s="560">
        <v>4</v>
      </c>
      <c r="DE160" s="560" t="s">
        <v>1720</v>
      </c>
      <c r="DF160" s="560">
        <v>5</v>
      </c>
      <c r="DG160" s="560">
        <v>0</v>
      </c>
      <c r="DH160" s="560">
        <v>4.5</v>
      </c>
      <c r="DI160" s="560">
        <v>4.5</v>
      </c>
      <c r="DJ160" s="560">
        <v>0</v>
      </c>
      <c r="DK160" s="560">
        <v>0</v>
      </c>
      <c r="DL160" s="560">
        <v>0</v>
      </c>
      <c r="DM160" s="560">
        <v>0</v>
      </c>
      <c r="DN160" s="560">
        <v>0</v>
      </c>
      <c r="DO160" s="560">
        <v>0</v>
      </c>
    </row>
    <row r="161" spans="1:119" hidden="1">
      <c r="A161" s="560" t="s">
        <v>878</v>
      </c>
      <c r="B161" s="560" t="s">
        <v>1713</v>
      </c>
      <c r="C161" s="560" t="s">
        <v>782</v>
      </c>
      <c r="D161" s="560">
        <v>3</v>
      </c>
      <c r="E161" s="560">
        <v>381.17033400000003</v>
      </c>
      <c r="F161" s="560">
        <v>57.820675999999999</v>
      </c>
      <c r="G161" s="560">
        <v>6644.9655000000002</v>
      </c>
      <c r="H161" s="560">
        <v>391.60199999999998</v>
      </c>
      <c r="I161" s="560">
        <v>0.91800700000000002</v>
      </c>
      <c r="J161" s="560">
        <v>0.29541899999999999</v>
      </c>
      <c r="K161" s="560">
        <v>0.31180200000000002</v>
      </c>
      <c r="L161" s="560">
        <v>0.44772200000000001</v>
      </c>
      <c r="M161" s="560">
        <v>11922.403216000001</v>
      </c>
      <c r="N161" s="560">
        <v>13462.591581999999</v>
      </c>
      <c r="O161" s="560">
        <v>4593.0154030000003</v>
      </c>
      <c r="P161" s="560">
        <v>451.61827599999998</v>
      </c>
      <c r="Q161" s="560">
        <v>374.48535399999997</v>
      </c>
      <c r="R161" s="560">
        <v>2455.5391100000002</v>
      </c>
      <c r="S161" s="560">
        <v>1732.3210610000001</v>
      </c>
      <c r="T161" s="560">
        <v>2029.9943350000001</v>
      </c>
      <c r="U161" s="560">
        <v>478.64828899999998</v>
      </c>
      <c r="V161" s="560">
        <v>37.496163000000003</v>
      </c>
      <c r="W161" s="560">
        <v>8.0570389999999996</v>
      </c>
      <c r="X161" s="560">
        <v>0</v>
      </c>
      <c r="Y161" s="560">
        <v>47.710692000000002</v>
      </c>
      <c r="Z161" s="560">
        <v>312.84393299999999</v>
      </c>
      <c r="AA161" s="560">
        <v>31945.692986999999</v>
      </c>
      <c r="AB161" s="560">
        <v>35815.113740000001</v>
      </c>
      <c r="AC161" s="560">
        <v>23839.026221</v>
      </c>
      <c r="AD161" s="560">
        <v>18533.482069000002</v>
      </c>
      <c r="AE161" s="560">
        <v>520.35173099999997</v>
      </c>
      <c r="AF161" s="560">
        <v>13882.312679000001</v>
      </c>
      <c r="AG161" s="560">
        <v>16367.500985000001</v>
      </c>
      <c r="AH161" s="560">
        <v>3812.7204579999998</v>
      </c>
      <c r="AI161" s="560">
        <v>15.2</v>
      </c>
      <c r="AJ161" s="560">
        <v>828.57763999999997</v>
      </c>
      <c r="AK161" s="560">
        <v>2868.4571940000001</v>
      </c>
      <c r="AL161" s="560">
        <v>200.75</v>
      </c>
      <c r="AM161" s="560">
        <v>0</v>
      </c>
      <c r="AN161" s="560">
        <v>0</v>
      </c>
      <c r="AO161" s="560">
        <v>0</v>
      </c>
      <c r="AP161" s="560">
        <v>0</v>
      </c>
      <c r="AQ161" s="560" t="s">
        <v>878</v>
      </c>
      <c r="AR161" s="560" t="s">
        <v>1731</v>
      </c>
      <c r="AS161" s="560">
        <v>0</v>
      </c>
      <c r="AT161" s="560">
        <v>0</v>
      </c>
      <c r="AU161" s="560">
        <v>0</v>
      </c>
      <c r="AV161" s="560">
        <v>69</v>
      </c>
      <c r="AW161" s="560">
        <v>64</v>
      </c>
      <c r="AX161" s="560">
        <v>74</v>
      </c>
      <c r="AY161" s="560">
        <v>78</v>
      </c>
      <c r="AZ161" s="560">
        <v>1</v>
      </c>
      <c r="BA161" s="560">
        <v>2085</v>
      </c>
      <c r="BB161" s="560">
        <v>0</v>
      </c>
      <c r="BC161" s="560">
        <v>0.5</v>
      </c>
      <c r="BD161" s="560">
        <v>0</v>
      </c>
      <c r="BE161" s="560" t="s">
        <v>1799</v>
      </c>
      <c r="BF161" s="560">
        <v>2</v>
      </c>
      <c r="BG161" s="560">
        <v>13</v>
      </c>
      <c r="BH161" s="560">
        <v>1</v>
      </c>
      <c r="BI161" s="560">
        <v>2</v>
      </c>
      <c r="BJ161" s="560">
        <v>35</v>
      </c>
      <c r="BK161" s="560">
        <v>0</v>
      </c>
      <c r="BL161" s="560" t="s">
        <v>1716</v>
      </c>
      <c r="BM161" s="560">
        <v>0.05</v>
      </c>
      <c r="BN161" s="560">
        <v>200</v>
      </c>
      <c r="BO161" s="560">
        <v>20</v>
      </c>
      <c r="BP161" s="560" t="s">
        <v>1717</v>
      </c>
      <c r="BQ161" s="560">
        <v>0</v>
      </c>
      <c r="BR161" s="560">
        <v>0</v>
      </c>
      <c r="BS161" s="560">
        <v>555</v>
      </c>
      <c r="BT161" s="560">
        <v>1568</v>
      </c>
      <c r="BU161" s="560">
        <v>12544</v>
      </c>
      <c r="BV161" s="560">
        <v>0</v>
      </c>
      <c r="BW161" s="560">
        <v>0</v>
      </c>
      <c r="BX161" s="560">
        <v>1344</v>
      </c>
      <c r="BY161" s="560">
        <v>10.3</v>
      </c>
      <c r="BZ161" s="560">
        <v>1568</v>
      </c>
      <c r="CA161" s="560">
        <v>26.5</v>
      </c>
      <c r="CB161" s="560">
        <v>0.85</v>
      </c>
      <c r="CC161" s="560">
        <v>49</v>
      </c>
      <c r="CD161" s="560">
        <v>49</v>
      </c>
      <c r="CE161" s="560">
        <v>49</v>
      </c>
      <c r="CF161" s="560">
        <v>49</v>
      </c>
      <c r="CG161" s="560">
        <v>0.29299999999999998</v>
      </c>
      <c r="CH161" s="560">
        <v>0.3</v>
      </c>
      <c r="CI161" s="560">
        <v>0.54</v>
      </c>
      <c r="CJ161" s="560">
        <v>40</v>
      </c>
      <c r="CK161" s="560">
        <v>5</v>
      </c>
      <c r="CL161" s="560">
        <v>1</v>
      </c>
      <c r="CM161" s="562">
        <v>1568</v>
      </c>
      <c r="CN161" s="562">
        <v>168</v>
      </c>
      <c r="CO161" s="562">
        <v>15.8</v>
      </c>
      <c r="CP161" s="562">
        <v>0</v>
      </c>
      <c r="CQ161" s="562">
        <v>0</v>
      </c>
      <c r="CR161" s="562" t="s">
        <v>1718</v>
      </c>
      <c r="CS161" s="562">
        <v>0</v>
      </c>
      <c r="CT161" s="562">
        <v>0</v>
      </c>
      <c r="CU161" s="562">
        <v>0.75</v>
      </c>
      <c r="CV161" s="562">
        <v>2</v>
      </c>
      <c r="CW161" s="562">
        <v>1.75</v>
      </c>
      <c r="CX161" s="562">
        <v>1</v>
      </c>
      <c r="CY161" s="562">
        <v>0.65</v>
      </c>
      <c r="CZ161" s="560">
        <v>1463.4666669999999</v>
      </c>
      <c r="DA161" s="560">
        <v>8.5</v>
      </c>
      <c r="DB161" s="560" t="s">
        <v>1719</v>
      </c>
      <c r="DC161" s="560">
        <v>50</v>
      </c>
      <c r="DD161" s="560">
        <v>4</v>
      </c>
      <c r="DE161" s="560" t="s">
        <v>1720</v>
      </c>
      <c r="DF161" s="560">
        <v>5</v>
      </c>
      <c r="DG161" s="560">
        <v>0</v>
      </c>
      <c r="DH161" s="560">
        <v>4.5</v>
      </c>
      <c r="DI161" s="560">
        <v>4.5</v>
      </c>
      <c r="DJ161" s="560">
        <v>0</v>
      </c>
      <c r="DK161" s="560">
        <v>0</v>
      </c>
      <c r="DL161" s="560">
        <v>0</v>
      </c>
      <c r="DM161" s="560">
        <v>0</v>
      </c>
      <c r="DN161" s="560">
        <v>0</v>
      </c>
      <c r="DO161" s="560">
        <v>0</v>
      </c>
    </row>
    <row r="162" spans="1:119" hidden="1">
      <c r="A162" s="560" t="s">
        <v>879</v>
      </c>
      <c r="B162" s="560" t="s">
        <v>1713</v>
      </c>
      <c r="C162" s="560" t="s">
        <v>785</v>
      </c>
      <c r="D162" s="560">
        <v>3</v>
      </c>
      <c r="E162" s="560">
        <v>381.17033400000003</v>
      </c>
      <c r="F162" s="560">
        <v>57.820675999999999</v>
      </c>
      <c r="G162" s="560">
        <v>6644.9655000000002</v>
      </c>
      <c r="H162" s="560">
        <v>755.94</v>
      </c>
      <c r="I162" s="560">
        <v>0.91800700000000002</v>
      </c>
      <c r="J162" s="560">
        <v>0.29541899999999999</v>
      </c>
      <c r="K162" s="560">
        <v>0.31180200000000002</v>
      </c>
      <c r="L162" s="560">
        <v>0.44772200000000001</v>
      </c>
      <c r="M162" s="560">
        <v>11922.403216000001</v>
      </c>
      <c r="N162" s="560">
        <v>13462.591581999999</v>
      </c>
      <c r="O162" s="560">
        <v>4593.0154030000003</v>
      </c>
      <c r="P162" s="560">
        <v>451.61827599999998</v>
      </c>
      <c r="Q162" s="560">
        <v>374.48535399999997</v>
      </c>
      <c r="R162" s="560">
        <v>2455.5391100000002</v>
      </c>
      <c r="S162" s="560">
        <v>2765.041804</v>
      </c>
      <c r="T162" s="560">
        <v>3109.8409809999998</v>
      </c>
      <c r="U162" s="560">
        <v>730.41414699999996</v>
      </c>
      <c r="V162" s="560">
        <v>25.735634000000001</v>
      </c>
      <c r="W162" s="560">
        <v>3.5234299999999998</v>
      </c>
      <c r="X162" s="560">
        <v>0</v>
      </c>
      <c r="Y162" s="560">
        <v>73.803863000000007</v>
      </c>
      <c r="Z162" s="560">
        <v>483.93954300000001</v>
      </c>
      <c r="AA162" s="560">
        <v>31945.692986999999</v>
      </c>
      <c r="AB162" s="560">
        <v>35815.113740000001</v>
      </c>
      <c r="AC162" s="560">
        <v>23839.026221</v>
      </c>
      <c r="AD162" s="560">
        <v>18533.482069000002</v>
      </c>
      <c r="AE162" s="560">
        <v>520.35173099999997</v>
      </c>
      <c r="AF162" s="560">
        <v>14490.823257</v>
      </c>
      <c r="AG162" s="560">
        <v>17850.855529</v>
      </c>
      <c r="AH162" s="560">
        <v>3940.1710309999999</v>
      </c>
      <c r="AI162" s="560">
        <v>15.2</v>
      </c>
      <c r="AJ162" s="560">
        <v>828.57763999999997</v>
      </c>
      <c r="AK162" s="560">
        <v>2868.4571940000001</v>
      </c>
      <c r="AL162" s="560">
        <v>200.75</v>
      </c>
      <c r="AM162" s="560">
        <v>0</v>
      </c>
      <c r="AN162" s="560">
        <v>0</v>
      </c>
      <c r="AO162" s="560">
        <v>0</v>
      </c>
      <c r="AP162" s="560">
        <v>0</v>
      </c>
      <c r="AQ162" s="560" t="s">
        <v>879</v>
      </c>
      <c r="AR162" s="560" t="s">
        <v>1733</v>
      </c>
      <c r="AS162" s="560">
        <v>0</v>
      </c>
      <c r="AT162" s="560">
        <v>0</v>
      </c>
      <c r="AU162" s="560">
        <v>0</v>
      </c>
      <c r="AV162" s="560">
        <v>69</v>
      </c>
      <c r="AW162" s="560">
        <v>64</v>
      </c>
      <c r="AX162" s="560">
        <v>74</v>
      </c>
      <c r="AY162" s="560">
        <v>78</v>
      </c>
      <c r="AZ162" s="560">
        <v>1</v>
      </c>
      <c r="BA162" s="560">
        <v>2085</v>
      </c>
      <c r="BB162" s="560">
        <v>0</v>
      </c>
      <c r="BC162" s="560">
        <v>0.5</v>
      </c>
      <c r="BD162" s="560">
        <v>0</v>
      </c>
      <c r="BE162" s="560" t="s">
        <v>1799</v>
      </c>
      <c r="BF162" s="560">
        <v>2</v>
      </c>
      <c r="BG162" s="560">
        <v>13</v>
      </c>
      <c r="BH162" s="560">
        <v>1</v>
      </c>
      <c r="BI162" s="560">
        <v>2</v>
      </c>
      <c r="BJ162" s="560">
        <v>35</v>
      </c>
      <c r="BK162" s="560">
        <v>0</v>
      </c>
      <c r="BL162" s="560" t="s">
        <v>1716</v>
      </c>
      <c r="BM162" s="560">
        <v>0.05</v>
      </c>
      <c r="BN162" s="560">
        <v>200</v>
      </c>
      <c r="BO162" s="560">
        <v>20</v>
      </c>
      <c r="BP162" s="560" t="s">
        <v>1717</v>
      </c>
      <c r="BQ162" s="560">
        <v>0</v>
      </c>
      <c r="BR162" s="560">
        <v>0</v>
      </c>
      <c r="BS162" s="560">
        <v>555</v>
      </c>
      <c r="BT162" s="560">
        <v>1568</v>
      </c>
      <c r="BU162" s="560">
        <v>12544</v>
      </c>
      <c r="BV162" s="560">
        <v>0</v>
      </c>
      <c r="BW162" s="560">
        <v>0</v>
      </c>
      <c r="BX162" s="560">
        <v>1344</v>
      </c>
      <c r="BY162" s="560">
        <v>10.3</v>
      </c>
      <c r="BZ162" s="560">
        <v>1568</v>
      </c>
      <c r="CA162" s="560">
        <v>26.5</v>
      </c>
      <c r="CB162" s="560">
        <v>0.85</v>
      </c>
      <c r="CC162" s="560">
        <v>49</v>
      </c>
      <c r="CD162" s="560">
        <v>49</v>
      </c>
      <c r="CE162" s="560">
        <v>49</v>
      </c>
      <c r="CF162" s="560">
        <v>49</v>
      </c>
      <c r="CG162" s="560">
        <v>0.29299999999999998</v>
      </c>
      <c r="CH162" s="560">
        <v>0.3</v>
      </c>
      <c r="CI162" s="560">
        <v>0.54</v>
      </c>
      <c r="CJ162" s="560">
        <v>40</v>
      </c>
      <c r="CK162" s="560">
        <v>5</v>
      </c>
      <c r="CL162" s="560">
        <v>1</v>
      </c>
      <c r="CM162" s="562">
        <v>1568</v>
      </c>
      <c r="CN162" s="562">
        <v>168</v>
      </c>
      <c r="CO162" s="562">
        <v>15.8</v>
      </c>
      <c r="CP162" s="562">
        <v>0</v>
      </c>
      <c r="CQ162" s="562">
        <v>0</v>
      </c>
      <c r="CR162" s="562" t="s">
        <v>1718</v>
      </c>
      <c r="CS162" s="562">
        <v>0</v>
      </c>
      <c r="CT162" s="562">
        <v>0</v>
      </c>
      <c r="CU162" s="562">
        <v>0.75</v>
      </c>
      <c r="CV162" s="562">
        <v>2</v>
      </c>
      <c r="CW162" s="562">
        <v>1.75</v>
      </c>
      <c r="CX162" s="562">
        <v>1</v>
      </c>
      <c r="CY162" s="562">
        <v>0.65</v>
      </c>
      <c r="CZ162" s="560">
        <v>1463.4666669999999</v>
      </c>
      <c r="DA162" s="560">
        <v>8.5</v>
      </c>
      <c r="DB162" s="560" t="s">
        <v>1719</v>
      </c>
      <c r="DC162" s="560">
        <v>50</v>
      </c>
      <c r="DD162" s="560">
        <v>4</v>
      </c>
      <c r="DE162" s="560" t="s">
        <v>1720</v>
      </c>
      <c r="DF162" s="560">
        <v>5</v>
      </c>
      <c r="DG162" s="560">
        <v>0</v>
      </c>
      <c r="DH162" s="560">
        <v>4.5</v>
      </c>
      <c r="DI162" s="560">
        <v>4.5</v>
      </c>
      <c r="DJ162" s="560">
        <v>0</v>
      </c>
      <c r="DK162" s="560">
        <v>0</v>
      </c>
      <c r="DL162" s="560">
        <v>0</v>
      </c>
      <c r="DM162" s="560">
        <v>0</v>
      </c>
      <c r="DN162" s="560">
        <v>0</v>
      </c>
      <c r="DO162" s="560">
        <v>0</v>
      </c>
    </row>
    <row r="163" spans="1:119" hidden="1">
      <c r="A163" s="560" t="s">
        <v>880</v>
      </c>
      <c r="B163" s="560" t="s">
        <v>1713</v>
      </c>
      <c r="C163" s="560" t="s">
        <v>794</v>
      </c>
      <c r="D163" s="560">
        <v>3</v>
      </c>
      <c r="E163" s="560">
        <v>339.59240499999999</v>
      </c>
      <c r="F163" s="560">
        <v>56.370984999999997</v>
      </c>
      <c r="G163" s="560">
        <v>7927.5</v>
      </c>
      <c r="H163" s="560">
        <v>139.9665</v>
      </c>
      <c r="I163" s="560">
        <v>0.90101900000000001</v>
      </c>
      <c r="J163" s="560">
        <v>0.28752699999999998</v>
      </c>
      <c r="K163" s="560">
        <v>0.30575799999999997</v>
      </c>
      <c r="L163" s="560">
        <v>0.45124799999999998</v>
      </c>
      <c r="M163" s="560">
        <v>12819.026712000001</v>
      </c>
      <c r="N163" s="560">
        <v>14593.423887999999</v>
      </c>
      <c r="O163" s="560">
        <v>5059.6412609999998</v>
      </c>
      <c r="P163" s="560">
        <v>633.75458300000003</v>
      </c>
      <c r="Q163" s="560">
        <v>400.314616</v>
      </c>
      <c r="R163" s="560">
        <v>2624.9042479999998</v>
      </c>
      <c r="S163" s="560">
        <v>985.31700799999999</v>
      </c>
      <c r="T163" s="560">
        <v>1229.192225</v>
      </c>
      <c r="U163" s="560">
        <v>290.641097</v>
      </c>
      <c r="V163" s="560">
        <v>40.900975000000003</v>
      </c>
      <c r="W163" s="560">
        <v>14.200132999999999</v>
      </c>
      <c r="X163" s="560">
        <v>0</v>
      </c>
      <c r="Y163" s="560">
        <v>28.525451</v>
      </c>
      <c r="Z163" s="560">
        <v>187.04432499999999</v>
      </c>
      <c r="AA163" s="560">
        <v>32089.759372</v>
      </c>
      <c r="AB163" s="560">
        <v>35954.922497</v>
      </c>
      <c r="AC163" s="560">
        <v>26080.753663</v>
      </c>
      <c r="AD163" s="560">
        <v>20888.554394999999</v>
      </c>
      <c r="AE163" s="560">
        <v>520.35173099999997</v>
      </c>
      <c r="AF163" s="560">
        <v>10317.157386000001</v>
      </c>
      <c r="AG163" s="560">
        <v>11765.672456</v>
      </c>
      <c r="AH163" s="560">
        <v>2905.028675</v>
      </c>
      <c r="AI163" s="560">
        <v>4</v>
      </c>
      <c r="AJ163" s="560">
        <v>852.43592200000001</v>
      </c>
      <c r="AK163" s="560">
        <v>2978.545811</v>
      </c>
      <c r="AL163" s="560">
        <v>200.75</v>
      </c>
      <c r="AM163" s="560">
        <v>0</v>
      </c>
      <c r="AN163" s="560">
        <v>0</v>
      </c>
      <c r="AO163" s="560">
        <v>0</v>
      </c>
      <c r="AP163" s="560">
        <v>0</v>
      </c>
      <c r="AQ163" s="560" t="s">
        <v>880</v>
      </c>
      <c r="AR163" s="560" t="s">
        <v>1738</v>
      </c>
      <c r="AS163" s="560">
        <v>0</v>
      </c>
      <c r="AT163" s="560">
        <v>0</v>
      </c>
      <c r="AU163" s="560">
        <v>0</v>
      </c>
      <c r="AV163" s="560">
        <v>69</v>
      </c>
      <c r="AW163" s="560">
        <v>64</v>
      </c>
      <c r="AX163" s="560">
        <v>74</v>
      </c>
      <c r="AY163" s="560">
        <v>78</v>
      </c>
      <c r="AZ163" s="560">
        <v>1</v>
      </c>
      <c r="BA163" s="560">
        <v>2085</v>
      </c>
      <c r="BB163" s="560">
        <v>0</v>
      </c>
      <c r="BC163" s="560">
        <v>0.5</v>
      </c>
      <c r="BD163" s="560">
        <v>0</v>
      </c>
      <c r="BE163" s="560" t="s">
        <v>1799</v>
      </c>
      <c r="BF163" s="560">
        <v>2</v>
      </c>
      <c r="BG163" s="560">
        <v>13</v>
      </c>
      <c r="BH163" s="560">
        <v>1</v>
      </c>
      <c r="BI163" s="560">
        <v>2</v>
      </c>
      <c r="BJ163" s="560">
        <v>35</v>
      </c>
      <c r="BK163" s="560">
        <v>0</v>
      </c>
      <c r="BL163" s="560" t="s">
        <v>1716</v>
      </c>
      <c r="BM163" s="560">
        <v>0.05</v>
      </c>
      <c r="BN163" s="560">
        <v>200</v>
      </c>
      <c r="BO163" s="560">
        <v>20</v>
      </c>
      <c r="BP163" s="560" t="s">
        <v>1717</v>
      </c>
      <c r="BQ163" s="560">
        <v>0</v>
      </c>
      <c r="BR163" s="560">
        <v>0</v>
      </c>
      <c r="BS163" s="560">
        <v>555</v>
      </c>
      <c r="BT163" s="560">
        <v>1568</v>
      </c>
      <c r="BU163" s="560">
        <v>12544</v>
      </c>
      <c r="BV163" s="560">
        <v>0</v>
      </c>
      <c r="BW163" s="560">
        <v>0</v>
      </c>
      <c r="BX163" s="560">
        <v>1344</v>
      </c>
      <c r="BY163" s="560">
        <v>12.82</v>
      </c>
      <c r="BZ163" s="560">
        <v>1568</v>
      </c>
      <c r="CA163" s="560">
        <v>26.5</v>
      </c>
      <c r="CB163" s="560">
        <v>0.85</v>
      </c>
      <c r="CC163" s="560">
        <v>49</v>
      </c>
      <c r="CD163" s="560">
        <v>49</v>
      </c>
      <c r="CE163" s="560">
        <v>49</v>
      </c>
      <c r="CF163" s="560">
        <v>49</v>
      </c>
      <c r="CG163" s="560">
        <v>0.29299999999999998</v>
      </c>
      <c r="CH163" s="560">
        <v>0.3</v>
      </c>
      <c r="CI163" s="560">
        <v>0.54</v>
      </c>
      <c r="CJ163" s="560">
        <v>40</v>
      </c>
      <c r="CK163" s="560">
        <v>5</v>
      </c>
      <c r="CL163" s="560">
        <v>1</v>
      </c>
      <c r="CM163" s="562">
        <v>1568</v>
      </c>
      <c r="CN163" s="562">
        <v>168</v>
      </c>
      <c r="CO163" s="562">
        <v>20.45</v>
      </c>
      <c r="CP163" s="562">
        <v>0</v>
      </c>
      <c r="CQ163" s="562">
        <v>0</v>
      </c>
      <c r="CR163" s="562" t="s">
        <v>1718</v>
      </c>
      <c r="CS163" s="562">
        <v>0</v>
      </c>
      <c r="CT163" s="562">
        <v>0</v>
      </c>
      <c r="CU163" s="562">
        <v>0.75</v>
      </c>
      <c r="CV163" s="562">
        <v>2</v>
      </c>
      <c r="CW163" s="562">
        <v>1.75</v>
      </c>
      <c r="CX163" s="562">
        <v>1</v>
      </c>
      <c r="CY163" s="562">
        <v>0.65</v>
      </c>
      <c r="CZ163" s="560">
        <v>1463.4666669999999</v>
      </c>
      <c r="DA163" s="560">
        <v>8.5</v>
      </c>
      <c r="DB163" s="560" t="s">
        <v>1719</v>
      </c>
      <c r="DC163" s="560">
        <v>50</v>
      </c>
      <c r="DD163" s="560">
        <v>4</v>
      </c>
      <c r="DE163" s="560" t="s">
        <v>1720</v>
      </c>
      <c r="DF163" s="560">
        <v>5</v>
      </c>
      <c r="DG163" s="560">
        <v>0</v>
      </c>
      <c r="DH163" s="560">
        <v>4.5</v>
      </c>
      <c r="DI163" s="560">
        <v>4.5</v>
      </c>
      <c r="DJ163" s="560">
        <v>0</v>
      </c>
      <c r="DK163" s="560">
        <v>0</v>
      </c>
      <c r="DL163" s="560">
        <v>0</v>
      </c>
      <c r="DM163" s="560">
        <v>0</v>
      </c>
      <c r="DN163" s="560">
        <v>0</v>
      </c>
      <c r="DO163" s="560">
        <v>0</v>
      </c>
    </row>
    <row r="164" spans="1:119" hidden="1">
      <c r="A164" s="560" t="s">
        <v>881</v>
      </c>
      <c r="B164" s="560" t="s">
        <v>1713</v>
      </c>
      <c r="C164" s="560" t="s">
        <v>797</v>
      </c>
      <c r="D164" s="560">
        <v>3</v>
      </c>
      <c r="E164" s="560">
        <v>339.59240499999999</v>
      </c>
      <c r="F164" s="560">
        <v>56.370984999999997</v>
      </c>
      <c r="G164" s="560">
        <v>7927.5</v>
      </c>
      <c r="H164" s="560">
        <v>391.60199999999998</v>
      </c>
      <c r="I164" s="560">
        <v>0.90101900000000001</v>
      </c>
      <c r="J164" s="560">
        <v>0.28752699999999998</v>
      </c>
      <c r="K164" s="560">
        <v>0.30575799999999997</v>
      </c>
      <c r="L164" s="560">
        <v>0.45124799999999998</v>
      </c>
      <c r="M164" s="560">
        <v>12819.026712000001</v>
      </c>
      <c r="N164" s="560">
        <v>14593.423887999999</v>
      </c>
      <c r="O164" s="560">
        <v>5059.6412609999998</v>
      </c>
      <c r="P164" s="560">
        <v>633.75458300000003</v>
      </c>
      <c r="Q164" s="560">
        <v>400.314616</v>
      </c>
      <c r="R164" s="560">
        <v>2624.9042479999998</v>
      </c>
      <c r="S164" s="560">
        <v>1787.6994709999999</v>
      </c>
      <c r="T164" s="560">
        <v>2100.0795349999999</v>
      </c>
      <c r="U164" s="560">
        <v>495.13447600000001</v>
      </c>
      <c r="V164" s="560">
        <v>40.391958000000002</v>
      </c>
      <c r="W164" s="560">
        <v>8.3329219999999999</v>
      </c>
      <c r="X164" s="560">
        <v>0</v>
      </c>
      <c r="Y164" s="560">
        <v>49.315492999999996</v>
      </c>
      <c r="Z164" s="560">
        <v>323.36677800000001</v>
      </c>
      <c r="AA164" s="560">
        <v>32089.759372</v>
      </c>
      <c r="AB164" s="560">
        <v>35954.922497</v>
      </c>
      <c r="AC164" s="560">
        <v>26080.753663</v>
      </c>
      <c r="AD164" s="560">
        <v>20888.554394999999</v>
      </c>
      <c r="AE164" s="560">
        <v>520.35173099999997</v>
      </c>
      <c r="AF164" s="560">
        <v>13228.264456999999</v>
      </c>
      <c r="AG164" s="560">
        <v>15610.327031000001</v>
      </c>
      <c r="AH164" s="560">
        <v>3648.1591109999999</v>
      </c>
      <c r="AI164" s="560">
        <v>4</v>
      </c>
      <c r="AJ164" s="560">
        <v>852.43592200000001</v>
      </c>
      <c r="AK164" s="560">
        <v>2978.545811</v>
      </c>
      <c r="AL164" s="560">
        <v>200.75</v>
      </c>
      <c r="AM164" s="560">
        <v>0</v>
      </c>
      <c r="AN164" s="560">
        <v>0</v>
      </c>
      <c r="AO164" s="560">
        <v>0</v>
      </c>
      <c r="AP164" s="560">
        <v>0</v>
      </c>
      <c r="AQ164" s="560" t="s">
        <v>881</v>
      </c>
      <c r="AR164" s="560" t="s">
        <v>1740</v>
      </c>
      <c r="AS164" s="560">
        <v>0</v>
      </c>
      <c r="AT164" s="560">
        <v>0</v>
      </c>
      <c r="AU164" s="560">
        <v>0</v>
      </c>
      <c r="AV164" s="560">
        <v>69</v>
      </c>
      <c r="AW164" s="560">
        <v>64</v>
      </c>
      <c r="AX164" s="560">
        <v>74</v>
      </c>
      <c r="AY164" s="560">
        <v>78</v>
      </c>
      <c r="AZ164" s="560">
        <v>1</v>
      </c>
      <c r="BA164" s="560">
        <v>2085</v>
      </c>
      <c r="BB164" s="560">
        <v>0</v>
      </c>
      <c r="BC164" s="560">
        <v>0.5</v>
      </c>
      <c r="BD164" s="560">
        <v>0</v>
      </c>
      <c r="BE164" s="560" t="s">
        <v>1799</v>
      </c>
      <c r="BF164" s="560">
        <v>2</v>
      </c>
      <c r="BG164" s="560">
        <v>13</v>
      </c>
      <c r="BH164" s="560">
        <v>1</v>
      </c>
      <c r="BI164" s="560">
        <v>2</v>
      </c>
      <c r="BJ164" s="560">
        <v>35</v>
      </c>
      <c r="BK164" s="560">
        <v>0</v>
      </c>
      <c r="BL164" s="560" t="s">
        <v>1716</v>
      </c>
      <c r="BM164" s="560">
        <v>0.05</v>
      </c>
      <c r="BN164" s="560">
        <v>200</v>
      </c>
      <c r="BO164" s="560">
        <v>20</v>
      </c>
      <c r="BP164" s="560" t="s">
        <v>1717</v>
      </c>
      <c r="BQ164" s="560">
        <v>0</v>
      </c>
      <c r="BR164" s="560">
        <v>0</v>
      </c>
      <c r="BS164" s="560">
        <v>555</v>
      </c>
      <c r="BT164" s="560">
        <v>1568</v>
      </c>
      <c r="BU164" s="560">
        <v>12544</v>
      </c>
      <c r="BV164" s="560">
        <v>0</v>
      </c>
      <c r="BW164" s="560">
        <v>0</v>
      </c>
      <c r="BX164" s="560">
        <v>1344</v>
      </c>
      <c r="BY164" s="560">
        <v>12.82</v>
      </c>
      <c r="BZ164" s="560">
        <v>1568</v>
      </c>
      <c r="CA164" s="560">
        <v>26.5</v>
      </c>
      <c r="CB164" s="560">
        <v>0.85</v>
      </c>
      <c r="CC164" s="560">
        <v>49</v>
      </c>
      <c r="CD164" s="560">
        <v>49</v>
      </c>
      <c r="CE164" s="560">
        <v>49</v>
      </c>
      <c r="CF164" s="560">
        <v>49</v>
      </c>
      <c r="CG164" s="560">
        <v>0.29299999999999998</v>
      </c>
      <c r="CH164" s="560">
        <v>0.3</v>
      </c>
      <c r="CI164" s="560">
        <v>0.54</v>
      </c>
      <c r="CJ164" s="560">
        <v>40</v>
      </c>
      <c r="CK164" s="560">
        <v>5</v>
      </c>
      <c r="CL164" s="560">
        <v>1</v>
      </c>
      <c r="CM164" s="562">
        <v>1568</v>
      </c>
      <c r="CN164" s="562">
        <v>168</v>
      </c>
      <c r="CO164" s="562">
        <v>20.45</v>
      </c>
      <c r="CP164" s="562">
        <v>0</v>
      </c>
      <c r="CQ164" s="562">
        <v>0</v>
      </c>
      <c r="CR164" s="562" t="s">
        <v>1718</v>
      </c>
      <c r="CS164" s="562">
        <v>0</v>
      </c>
      <c r="CT164" s="562">
        <v>0</v>
      </c>
      <c r="CU164" s="562">
        <v>0.75</v>
      </c>
      <c r="CV164" s="562">
        <v>2</v>
      </c>
      <c r="CW164" s="562">
        <v>1.75</v>
      </c>
      <c r="CX164" s="562">
        <v>1</v>
      </c>
      <c r="CY164" s="562">
        <v>0.65</v>
      </c>
      <c r="CZ164" s="560">
        <v>1463.4666669999999</v>
      </c>
      <c r="DA164" s="560">
        <v>8.5</v>
      </c>
      <c r="DB164" s="560" t="s">
        <v>1719</v>
      </c>
      <c r="DC164" s="560">
        <v>50</v>
      </c>
      <c r="DD164" s="560">
        <v>4</v>
      </c>
      <c r="DE164" s="560" t="s">
        <v>1720</v>
      </c>
      <c r="DF164" s="560">
        <v>5</v>
      </c>
      <c r="DG164" s="560">
        <v>0</v>
      </c>
      <c r="DH164" s="560">
        <v>4.5</v>
      </c>
      <c r="DI164" s="560">
        <v>4.5</v>
      </c>
      <c r="DJ164" s="560">
        <v>0</v>
      </c>
      <c r="DK164" s="560">
        <v>0</v>
      </c>
      <c r="DL164" s="560">
        <v>0</v>
      </c>
      <c r="DM164" s="560">
        <v>0</v>
      </c>
      <c r="DN164" s="560">
        <v>0</v>
      </c>
      <c r="DO164" s="560">
        <v>0</v>
      </c>
    </row>
    <row r="165" spans="1:119" hidden="1">
      <c r="A165" s="560" t="s">
        <v>882</v>
      </c>
      <c r="B165" s="560" t="s">
        <v>1713</v>
      </c>
      <c r="C165" s="560" t="s">
        <v>800</v>
      </c>
      <c r="D165" s="560">
        <v>3</v>
      </c>
      <c r="E165" s="560">
        <v>339.59240499999999</v>
      </c>
      <c r="F165" s="560">
        <v>56.370984999999997</v>
      </c>
      <c r="G165" s="560">
        <v>7927.5</v>
      </c>
      <c r="H165" s="560">
        <v>755.94</v>
      </c>
      <c r="I165" s="560">
        <v>0.90101900000000001</v>
      </c>
      <c r="J165" s="560">
        <v>0.28752699999999998</v>
      </c>
      <c r="K165" s="560">
        <v>0.30575799999999997</v>
      </c>
      <c r="L165" s="560">
        <v>0.45124799999999998</v>
      </c>
      <c r="M165" s="560">
        <v>12819.026712000001</v>
      </c>
      <c r="N165" s="560">
        <v>14593.423887999999</v>
      </c>
      <c r="O165" s="560">
        <v>5059.6412609999998</v>
      </c>
      <c r="P165" s="560">
        <v>633.75458300000003</v>
      </c>
      <c r="Q165" s="560">
        <v>400.314616</v>
      </c>
      <c r="R165" s="560">
        <v>2624.9042479999998</v>
      </c>
      <c r="S165" s="560">
        <v>2780.9150530000002</v>
      </c>
      <c r="T165" s="560">
        <v>3129.7347730000001</v>
      </c>
      <c r="U165" s="560">
        <v>735.77215899999999</v>
      </c>
      <c r="V165" s="560">
        <v>27.045278</v>
      </c>
      <c r="W165" s="560">
        <v>3.6757680000000001</v>
      </c>
      <c r="X165" s="560">
        <v>0</v>
      </c>
      <c r="Y165" s="560">
        <v>74.255300000000005</v>
      </c>
      <c r="Z165" s="560">
        <v>486.89966500000003</v>
      </c>
      <c r="AA165" s="560">
        <v>32089.759372</v>
      </c>
      <c r="AB165" s="560">
        <v>35954.922497</v>
      </c>
      <c r="AC165" s="560">
        <v>26080.753663</v>
      </c>
      <c r="AD165" s="560">
        <v>20888.554394999999</v>
      </c>
      <c r="AE165" s="560">
        <v>520.35173099999997</v>
      </c>
      <c r="AF165" s="560">
        <v>13765.477707</v>
      </c>
      <c r="AG165" s="560">
        <v>18058.511778</v>
      </c>
      <c r="AH165" s="560">
        <v>3940.3028669999999</v>
      </c>
      <c r="AI165" s="560">
        <v>4</v>
      </c>
      <c r="AJ165" s="560">
        <v>852.43592200000001</v>
      </c>
      <c r="AK165" s="560">
        <v>2978.545811</v>
      </c>
      <c r="AL165" s="560">
        <v>200.75</v>
      </c>
      <c r="AM165" s="560">
        <v>0</v>
      </c>
      <c r="AN165" s="560">
        <v>0</v>
      </c>
      <c r="AO165" s="560">
        <v>0</v>
      </c>
      <c r="AP165" s="560">
        <v>0</v>
      </c>
      <c r="AQ165" s="560" t="s">
        <v>882</v>
      </c>
      <c r="AR165" s="560" t="s">
        <v>1742</v>
      </c>
      <c r="AS165" s="560">
        <v>0</v>
      </c>
      <c r="AT165" s="560">
        <v>0</v>
      </c>
      <c r="AU165" s="560">
        <v>0</v>
      </c>
      <c r="AV165" s="560">
        <v>69</v>
      </c>
      <c r="AW165" s="560">
        <v>64</v>
      </c>
      <c r="AX165" s="560">
        <v>74</v>
      </c>
      <c r="AY165" s="560">
        <v>78</v>
      </c>
      <c r="AZ165" s="560">
        <v>1</v>
      </c>
      <c r="BA165" s="560">
        <v>2085</v>
      </c>
      <c r="BB165" s="560">
        <v>0</v>
      </c>
      <c r="BC165" s="560">
        <v>0.5</v>
      </c>
      <c r="BD165" s="560">
        <v>0</v>
      </c>
      <c r="BE165" s="560" t="s">
        <v>1799</v>
      </c>
      <c r="BF165" s="560">
        <v>2</v>
      </c>
      <c r="BG165" s="560">
        <v>13</v>
      </c>
      <c r="BH165" s="560">
        <v>1</v>
      </c>
      <c r="BI165" s="560">
        <v>2</v>
      </c>
      <c r="BJ165" s="560">
        <v>35</v>
      </c>
      <c r="BK165" s="560">
        <v>0</v>
      </c>
      <c r="BL165" s="560" t="s">
        <v>1716</v>
      </c>
      <c r="BM165" s="560">
        <v>0.05</v>
      </c>
      <c r="BN165" s="560">
        <v>200</v>
      </c>
      <c r="BO165" s="560">
        <v>20</v>
      </c>
      <c r="BP165" s="560" t="s">
        <v>1717</v>
      </c>
      <c r="BQ165" s="560">
        <v>0</v>
      </c>
      <c r="BR165" s="560">
        <v>0</v>
      </c>
      <c r="BS165" s="560">
        <v>555</v>
      </c>
      <c r="BT165" s="560">
        <v>1568</v>
      </c>
      <c r="BU165" s="560">
        <v>12544</v>
      </c>
      <c r="BV165" s="560">
        <v>0</v>
      </c>
      <c r="BW165" s="560">
        <v>0</v>
      </c>
      <c r="BX165" s="560">
        <v>1344</v>
      </c>
      <c r="BY165" s="560">
        <v>12.82</v>
      </c>
      <c r="BZ165" s="560">
        <v>1568</v>
      </c>
      <c r="CA165" s="560">
        <v>26.5</v>
      </c>
      <c r="CB165" s="560">
        <v>0.85</v>
      </c>
      <c r="CC165" s="560">
        <v>49</v>
      </c>
      <c r="CD165" s="560">
        <v>49</v>
      </c>
      <c r="CE165" s="560">
        <v>49</v>
      </c>
      <c r="CF165" s="560">
        <v>49</v>
      </c>
      <c r="CG165" s="560">
        <v>0.29299999999999998</v>
      </c>
      <c r="CH165" s="560">
        <v>0.3</v>
      </c>
      <c r="CI165" s="560">
        <v>0.54</v>
      </c>
      <c r="CJ165" s="560">
        <v>40</v>
      </c>
      <c r="CK165" s="560">
        <v>5</v>
      </c>
      <c r="CL165" s="560">
        <v>1</v>
      </c>
      <c r="CM165" s="562">
        <v>1568</v>
      </c>
      <c r="CN165" s="562">
        <v>168</v>
      </c>
      <c r="CO165" s="562">
        <v>20.45</v>
      </c>
      <c r="CP165" s="562">
        <v>0</v>
      </c>
      <c r="CQ165" s="562">
        <v>0</v>
      </c>
      <c r="CR165" s="562" t="s">
        <v>1718</v>
      </c>
      <c r="CS165" s="562">
        <v>0</v>
      </c>
      <c r="CT165" s="562">
        <v>0</v>
      </c>
      <c r="CU165" s="562">
        <v>0.75</v>
      </c>
      <c r="CV165" s="562">
        <v>2</v>
      </c>
      <c r="CW165" s="562">
        <v>1.75</v>
      </c>
      <c r="CX165" s="562">
        <v>1</v>
      </c>
      <c r="CY165" s="562">
        <v>0.65</v>
      </c>
      <c r="CZ165" s="560">
        <v>1463.4666669999999</v>
      </c>
      <c r="DA165" s="560">
        <v>8.5</v>
      </c>
      <c r="DB165" s="560" t="s">
        <v>1719</v>
      </c>
      <c r="DC165" s="560">
        <v>50</v>
      </c>
      <c r="DD165" s="560">
        <v>4</v>
      </c>
      <c r="DE165" s="560" t="s">
        <v>1720</v>
      </c>
      <c r="DF165" s="560">
        <v>5</v>
      </c>
      <c r="DG165" s="560">
        <v>0</v>
      </c>
      <c r="DH165" s="560">
        <v>4.5</v>
      </c>
      <c r="DI165" s="560">
        <v>4.5</v>
      </c>
      <c r="DJ165" s="560">
        <v>0</v>
      </c>
      <c r="DK165" s="560">
        <v>0</v>
      </c>
      <c r="DL165" s="560">
        <v>0</v>
      </c>
      <c r="DM165" s="560">
        <v>0</v>
      </c>
      <c r="DN165" s="560">
        <v>0</v>
      </c>
      <c r="DO165" s="560">
        <v>0</v>
      </c>
    </row>
    <row r="166" spans="1:119" hidden="1">
      <c r="A166" s="560" t="s">
        <v>883</v>
      </c>
      <c r="B166" s="560" t="s">
        <v>1713</v>
      </c>
      <c r="C166" s="560" t="s">
        <v>794</v>
      </c>
      <c r="D166" s="560">
        <v>3</v>
      </c>
      <c r="E166" s="560">
        <v>378.67873600000001</v>
      </c>
      <c r="F166" s="560">
        <v>57.248578000000002</v>
      </c>
      <c r="G166" s="560">
        <v>7927.5</v>
      </c>
      <c r="H166" s="560">
        <v>139.9665</v>
      </c>
      <c r="I166" s="560">
        <v>0.90101900000000001</v>
      </c>
      <c r="J166" s="560">
        <v>0.29092600000000002</v>
      </c>
      <c r="K166" s="560">
        <v>0.30601800000000001</v>
      </c>
      <c r="L166" s="560">
        <v>0.45732099999999998</v>
      </c>
      <c r="M166" s="560">
        <v>14626.213032</v>
      </c>
      <c r="N166" s="560">
        <v>16604.087842000001</v>
      </c>
      <c r="O166" s="560">
        <v>5846.6454089999997</v>
      </c>
      <c r="P166" s="560">
        <v>902.74114999999995</v>
      </c>
      <c r="Q166" s="560">
        <v>448.93432200000001</v>
      </c>
      <c r="R166" s="560">
        <v>2943.7086770000001</v>
      </c>
      <c r="S166" s="560">
        <v>905.50490300000001</v>
      </c>
      <c r="T166" s="560">
        <v>1126.787941</v>
      </c>
      <c r="U166" s="560">
        <v>266.89881100000002</v>
      </c>
      <c r="V166" s="560">
        <v>36.679031999999999</v>
      </c>
      <c r="W166" s="560">
        <v>13.913122</v>
      </c>
      <c r="X166" s="560">
        <v>0</v>
      </c>
      <c r="Y166" s="560">
        <v>26.186242</v>
      </c>
      <c r="Z166" s="560">
        <v>171.705893</v>
      </c>
      <c r="AA166" s="560">
        <v>33987.861459</v>
      </c>
      <c r="AB166" s="560">
        <v>38020.109578000003</v>
      </c>
      <c r="AC166" s="560">
        <v>28145.940744</v>
      </c>
      <c r="AD166" s="560">
        <v>22953.741475999999</v>
      </c>
      <c r="AE166" s="560">
        <v>520.35173099999997</v>
      </c>
      <c r="AF166" s="560">
        <v>10729.709881999999</v>
      </c>
      <c r="AG166" s="560">
        <v>12228.436027</v>
      </c>
      <c r="AH166" s="560">
        <v>3012.5692530000001</v>
      </c>
      <c r="AI166" s="560">
        <v>14</v>
      </c>
      <c r="AJ166" s="560">
        <v>944.89292</v>
      </c>
      <c r="AK166" s="560">
        <v>3304.0826280000001</v>
      </c>
      <c r="AL166" s="560">
        <v>200.75</v>
      </c>
      <c r="AM166" s="560">
        <v>0</v>
      </c>
      <c r="AN166" s="560">
        <v>0</v>
      </c>
      <c r="AO166" s="560">
        <v>0</v>
      </c>
      <c r="AP166" s="560">
        <v>0</v>
      </c>
      <c r="AQ166" s="560" t="s">
        <v>883</v>
      </c>
      <c r="AR166" s="560" t="s">
        <v>1738</v>
      </c>
      <c r="AS166" s="560">
        <v>0</v>
      </c>
      <c r="AT166" s="560">
        <v>0</v>
      </c>
      <c r="AU166" s="560">
        <v>0</v>
      </c>
      <c r="AV166" s="560">
        <v>69</v>
      </c>
      <c r="AW166" s="560">
        <v>64</v>
      </c>
      <c r="AX166" s="560">
        <v>74</v>
      </c>
      <c r="AY166" s="560">
        <v>78</v>
      </c>
      <c r="AZ166" s="560">
        <v>1</v>
      </c>
      <c r="BA166" s="560">
        <v>2085</v>
      </c>
      <c r="BB166" s="560">
        <v>0</v>
      </c>
      <c r="BC166" s="560">
        <v>0.5</v>
      </c>
      <c r="BD166" s="560">
        <v>0</v>
      </c>
      <c r="BE166" s="560" t="s">
        <v>1799</v>
      </c>
      <c r="BF166" s="560">
        <v>2</v>
      </c>
      <c r="BG166" s="560">
        <v>13</v>
      </c>
      <c r="BH166" s="560">
        <v>1</v>
      </c>
      <c r="BI166" s="560">
        <v>2</v>
      </c>
      <c r="BJ166" s="560">
        <v>35</v>
      </c>
      <c r="BK166" s="560">
        <v>0</v>
      </c>
      <c r="BL166" s="560" t="s">
        <v>1716</v>
      </c>
      <c r="BM166" s="560">
        <v>0.05</v>
      </c>
      <c r="BN166" s="560">
        <v>200</v>
      </c>
      <c r="BO166" s="560">
        <v>20</v>
      </c>
      <c r="BP166" s="560" t="s">
        <v>1717</v>
      </c>
      <c r="BQ166" s="560">
        <v>0</v>
      </c>
      <c r="BR166" s="560">
        <v>0</v>
      </c>
      <c r="BS166" s="560">
        <v>555</v>
      </c>
      <c r="BT166" s="560">
        <v>1568</v>
      </c>
      <c r="BU166" s="560">
        <v>12544</v>
      </c>
      <c r="BV166" s="560">
        <v>0</v>
      </c>
      <c r="BW166" s="560">
        <v>0</v>
      </c>
      <c r="BX166" s="560">
        <v>1344</v>
      </c>
      <c r="BY166" s="560">
        <v>10.3</v>
      </c>
      <c r="BZ166" s="560">
        <v>1568</v>
      </c>
      <c r="CA166" s="560">
        <v>26.5</v>
      </c>
      <c r="CB166" s="560">
        <v>0.85</v>
      </c>
      <c r="CC166" s="560">
        <v>49</v>
      </c>
      <c r="CD166" s="560">
        <v>49</v>
      </c>
      <c r="CE166" s="560">
        <v>49</v>
      </c>
      <c r="CF166" s="560">
        <v>49</v>
      </c>
      <c r="CG166" s="560">
        <v>0.29299999999999998</v>
      </c>
      <c r="CH166" s="560">
        <v>0.3</v>
      </c>
      <c r="CI166" s="560">
        <v>0.54</v>
      </c>
      <c r="CJ166" s="560">
        <v>40</v>
      </c>
      <c r="CK166" s="560">
        <v>5</v>
      </c>
      <c r="CL166" s="560">
        <v>1</v>
      </c>
      <c r="CM166" s="562">
        <v>1568</v>
      </c>
      <c r="CN166" s="562">
        <v>168</v>
      </c>
      <c r="CO166" s="562">
        <v>15.8</v>
      </c>
      <c r="CP166" s="562">
        <v>0</v>
      </c>
      <c r="CQ166" s="562">
        <v>0</v>
      </c>
      <c r="CR166" s="562" t="s">
        <v>1718</v>
      </c>
      <c r="CS166" s="562">
        <v>0</v>
      </c>
      <c r="CT166" s="562">
        <v>0</v>
      </c>
      <c r="CU166" s="562">
        <v>0.75</v>
      </c>
      <c r="CV166" s="562">
        <v>2</v>
      </c>
      <c r="CW166" s="562">
        <v>1.75</v>
      </c>
      <c r="CX166" s="562">
        <v>1</v>
      </c>
      <c r="CY166" s="562">
        <v>0.65</v>
      </c>
      <c r="CZ166" s="560">
        <v>1463.4666669999999</v>
      </c>
      <c r="DA166" s="560">
        <v>8.5</v>
      </c>
      <c r="DB166" s="560" t="s">
        <v>1719</v>
      </c>
      <c r="DC166" s="560">
        <v>50</v>
      </c>
      <c r="DD166" s="560">
        <v>4</v>
      </c>
      <c r="DE166" s="560" t="s">
        <v>1720</v>
      </c>
      <c r="DF166" s="560">
        <v>5</v>
      </c>
      <c r="DG166" s="560">
        <v>0</v>
      </c>
      <c r="DH166" s="560">
        <v>4.5</v>
      </c>
      <c r="DI166" s="560">
        <v>4.5</v>
      </c>
      <c r="DJ166" s="560">
        <v>0</v>
      </c>
      <c r="DK166" s="560">
        <v>0</v>
      </c>
      <c r="DL166" s="560">
        <v>0</v>
      </c>
      <c r="DM166" s="560">
        <v>0</v>
      </c>
      <c r="DN166" s="560">
        <v>0</v>
      </c>
      <c r="DO166" s="560">
        <v>0</v>
      </c>
    </row>
    <row r="167" spans="1:119" hidden="1">
      <c r="A167" s="560" t="s">
        <v>884</v>
      </c>
      <c r="B167" s="560" t="s">
        <v>1713</v>
      </c>
      <c r="C167" s="560" t="s">
        <v>797</v>
      </c>
      <c r="D167" s="560">
        <v>3</v>
      </c>
      <c r="E167" s="560">
        <v>378.67873600000001</v>
      </c>
      <c r="F167" s="560">
        <v>57.248578000000002</v>
      </c>
      <c r="G167" s="560">
        <v>7927.5</v>
      </c>
      <c r="H167" s="560">
        <v>391.60199999999998</v>
      </c>
      <c r="I167" s="560">
        <v>0.90101900000000001</v>
      </c>
      <c r="J167" s="560">
        <v>0.29092600000000002</v>
      </c>
      <c r="K167" s="560">
        <v>0.30601800000000001</v>
      </c>
      <c r="L167" s="560">
        <v>0.45732099999999998</v>
      </c>
      <c r="M167" s="560">
        <v>14626.213032</v>
      </c>
      <c r="N167" s="560">
        <v>16604.087842000001</v>
      </c>
      <c r="O167" s="560">
        <v>5846.6454089999997</v>
      </c>
      <c r="P167" s="560">
        <v>902.74114999999995</v>
      </c>
      <c r="Q167" s="560">
        <v>448.93432200000001</v>
      </c>
      <c r="R167" s="560">
        <v>2943.7086770000001</v>
      </c>
      <c r="S167" s="560">
        <v>1732.3210610000001</v>
      </c>
      <c r="T167" s="560">
        <v>2029.9943350000001</v>
      </c>
      <c r="U167" s="560">
        <v>478.64828899999998</v>
      </c>
      <c r="V167" s="560">
        <v>37.496163000000003</v>
      </c>
      <c r="W167" s="560">
        <v>8.0570389999999996</v>
      </c>
      <c r="X167" s="560">
        <v>0</v>
      </c>
      <c r="Y167" s="560">
        <v>47.710692000000002</v>
      </c>
      <c r="Z167" s="560">
        <v>312.84393299999999</v>
      </c>
      <c r="AA167" s="560">
        <v>33987.861459</v>
      </c>
      <c r="AB167" s="560">
        <v>38020.109578000003</v>
      </c>
      <c r="AC167" s="560">
        <v>28145.940744</v>
      </c>
      <c r="AD167" s="560">
        <v>22953.741475999999</v>
      </c>
      <c r="AE167" s="560">
        <v>520.35173099999997</v>
      </c>
      <c r="AF167" s="560">
        <v>13882.312679000001</v>
      </c>
      <c r="AG167" s="560">
        <v>16367.500985000001</v>
      </c>
      <c r="AH167" s="560">
        <v>3812.7204579999998</v>
      </c>
      <c r="AI167" s="560">
        <v>14</v>
      </c>
      <c r="AJ167" s="560">
        <v>944.89292</v>
      </c>
      <c r="AK167" s="560">
        <v>3304.0826280000001</v>
      </c>
      <c r="AL167" s="560">
        <v>200.75</v>
      </c>
      <c r="AM167" s="560">
        <v>0</v>
      </c>
      <c r="AN167" s="560">
        <v>0</v>
      </c>
      <c r="AO167" s="560">
        <v>0</v>
      </c>
      <c r="AP167" s="560">
        <v>0</v>
      </c>
      <c r="AQ167" s="560" t="s">
        <v>884</v>
      </c>
      <c r="AR167" s="560" t="s">
        <v>1740</v>
      </c>
      <c r="AS167" s="560">
        <v>0</v>
      </c>
      <c r="AT167" s="560">
        <v>0</v>
      </c>
      <c r="AU167" s="560">
        <v>0</v>
      </c>
      <c r="AV167" s="560">
        <v>69</v>
      </c>
      <c r="AW167" s="560">
        <v>64</v>
      </c>
      <c r="AX167" s="560">
        <v>74</v>
      </c>
      <c r="AY167" s="560">
        <v>78</v>
      </c>
      <c r="AZ167" s="560">
        <v>1</v>
      </c>
      <c r="BA167" s="560">
        <v>2085</v>
      </c>
      <c r="BB167" s="560">
        <v>0</v>
      </c>
      <c r="BC167" s="560">
        <v>0.5</v>
      </c>
      <c r="BD167" s="560">
        <v>0</v>
      </c>
      <c r="BE167" s="560" t="s">
        <v>1799</v>
      </c>
      <c r="BF167" s="560">
        <v>2</v>
      </c>
      <c r="BG167" s="560">
        <v>13</v>
      </c>
      <c r="BH167" s="560">
        <v>1</v>
      </c>
      <c r="BI167" s="560">
        <v>2</v>
      </c>
      <c r="BJ167" s="560">
        <v>35</v>
      </c>
      <c r="BK167" s="560">
        <v>0</v>
      </c>
      <c r="BL167" s="560" t="s">
        <v>1716</v>
      </c>
      <c r="BM167" s="560">
        <v>0.05</v>
      </c>
      <c r="BN167" s="560">
        <v>200</v>
      </c>
      <c r="BO167" s="560">
        <v>20</v>
      </c>
      <c r="BP167" s="560" t="s">
        <v>1717</v>
      </c>
      <c r="BQ167" s="560">
        <v>0</v>
      </c>
      <c r="BR167" s="560">
        <v>0</v>
      </c>
      <c r="BS167" s="560">
        <v>555</v>
      </c>
      <c r="BT167" s="560">
        <v>1568</v>
      </c>
      <c r="BU167" s="560">
        <v>12544</v>
      </c>
      <c r="BV167" s="560">
        <v>0</v>
      </c>
      <c r="BW167" s="560">
        <v>0</v>
      </c>
      <c r="BX167" s="560">
        <v>1344</v>
      </c>
      <c r="BY167" s="560">
        <v>10.3</v>
      </c>
      <c r="BZ167" s="560">
        <v>1568</v>
      </c>
      <c r="CA167" s="560">
        <v>26.5</v>
      </c>
      <c r="CB167" s="560">
        <v>0.85</v>
      </c>
      <c r="CC167" s="560">
        <v>49</v>
      </c>
      <c r="CD167" s="560">
        <v>49</v>
      </c>
      <c r="CE167" s="560">
        <v>49</v>
      </c>
      <c r="CF167" s="560">
        <v>49</v>
      </c>
      <c r="CG167" s="560">
        <v>0.29299999999999998</v>
      </c>
      <c r="CH167" s="560">
        <v>0.3</v>
      </c>
      <c r="CI167" s="560">
        <v>0.54</v>
      </c>
      <c r="CJ167" s="560">
        <v>40</v>
      </c>
      <c r="CK167" s="560">
        <v>5</v>
      </c>
      <c r="CL167" s="560">
        <v>1</v>
      </c>
      <c r="CM167" s="562">
        <v>1568</v>
      </c>
      <c r="CN167" s="562">
        <v>168</v>
      </c>
      <c r="CO167" s="562">
        <v>15.8</v>
      </c>
      <c r="CP167" s="562">
        <v>0</v>
      </c>
      <c r="CQ167" s="562">
        <v>0</v>
      </c>
      <c r="CR167" s="562" t="s">
        <v>1718</v>
      </c>
      <c r="CS167" s="562">
        <v>0</v>
      </c>
      <c r="CT167" s="562">
        <v>0</v>
      </c>
      <c r="CU167" s="562">
        <v>0.75</v>
      </c>
      <c r="CV167" s="562">
        <v>2</v>
      </c>
      <c r="CW167" s="562">
        <v>1.75</v>
      </c>
      <c r="CX167" s="562">
        <v>1</v>
      </c>
      <c r="CY167" s="562">
        <v>0.65</v>
      </c>
      <c r="CZ167" s="560">
        <v>1463.4666669999999</v>
      </c>
      <c r="DA167" s="560">
        <v>8.5</v>
      </c>
      <c r="DB167" s="560" t="s">
        <v>1719</v>
      </c>
      <c r="DC167" s="560">
        <v>50</v>
      </c>
      <c r="DD167" s="560">
        <v>4</v>
      </c>
      <c r="DE167" s="560" t="s">
        <v>1720</v>
      </c>
      <c r="DF167" s="560">
        <v>5</v>
      </c>
      <c r="DG167" s="560">
        <v>0</v>
      </c>
      <c r="DH167" s="560">
        <v>4.5</v>
      </c>
      <c r="DI167" s="560">
        <v>4.5</v>
      </c>
      <c r="DJ167" s="560">
        <v>0</v>
      </c>
      <c r="DK167" s="560">
        <v>0</v>
      </c>
      <c r="DL167" s="560">
        <v>0</v>
      </c>
      <c r="DM167" s="560">
        <v>0</v>
      </c>
      <c r="DN167" s="560">
        <v>0</v>
      </c>
      <c r="DO167" s="560">
        <v>0</v>
      </c>
    </row>
    <row r="168" spans="1:119" hidden="1">
      <c r="A168" s="560" t="s">
        <v>885</v>
      </c>
      <c r="B168" s="560" t="s">
        <v>1713</v>
      </c>
      <c r="C168" s="560" t="s">
        <v>800</v>
      </c>
      <c r="D168" s="560">
        <v>3</v>
      </c>
      <c r="E168" s="560">
        <v>378.67873600000001</v>
      </c>
      <c r="F168" s="560">
        <v>57.248578000000002</v>
      </c>
      <c r="G168" s="560">
        <v>7927.5</v>
      </c>
      <c r="H168" s="560">
        <v>755.94</v>
      </c>
      <c r="I168" s="560">
        <v>0.90101900000000001</v>
      </c>
      <c r="J168" s="560">
        <v>0.29092600000000002</v>
      </c>
      <c r="K168" s="560">
        <v>0.30601800000000001</v>
      </c>
      <c r="L168" s="560">
        <v>0.45732099999999998</v>
      </c>
      <c r="M168" s="560">
        <v>14626.213032</v>
      </c>
      <c r="N168" s="560">
        <v>16604.087842000001</v>
      </c>
      <c r="O168" s="560">
        <v>5846.6454089999997</v>
      </c>
      <c r="P168" s="560">
        <v>902.74114999999995</v>
      </c>
      <c r="Q168" s="560">
        <v>448.93432200000001</v>
      </c>
      <c r="R168" s="560">
        <v>2943.7086770000001</v>
      </c>
      <c r="S168" s="560">
        <v>2765.041804</v>
      </c>
      <c r="T168" s="560">
        <v>3109.8409809999998</v>
      </c>
      <c r="U168" s="560">
        <v>730.41414699999996</v>
      </c>
      <c r="V168" s="560">
        <v>25.735634000000001</v>
      </c>
      <c r="W168" s="560">
        <v>3.5234299999999998</v>
      </c>
      <c r="X168" s="560">
        <v>0</v>
      </c>
      <c r="Y168" s="560">
        <v>73.803863000000007</v>
      </c>
      <c r="Z168" s="560">
        <v>483.93954300000001</v>
      </c>
      <c r="AA168" s="560">
        <v>33987.861459</v>
      </c>
      <c r="AB168" s="560">
        <v>38020.109578000003</v>
      </c>
      <c r="AC168" s="560">
        <v>28145.940744</v>
      </c>
      <c r="AD168" s="560">
        <v>22953.741475999999</v>
      </c>
      <c r="AE168" s="560">
        <v>520.35173099999997</v>
      </c>
      <c r="AF168" s="560">
        <v>14490.823257</v>
      </c>
      <c r="AG168" s="560">
        <v>17850.855529</v>
      </c>
      <c r="AH168" s="560">
        <v>3940.1710309999999</v>
      </c>
      <c r="AI168" s="560">
        <v>14</v>
      </c>
      <c r="AJ168" s="560">
        <v>944.89292</v>
      </c>
      <c r="AK168" s="560">
        <v>3304.0826280000001</v>
      </c>
      <c r="AL168" s="560">
        <v>200.75</v>
      </c>
      <c r="AM168" s="560">
        <v>0</v>
      </c>
      <c r="AN168" s="560">
        <v>0</v>
      </c>
      <c r="AO168" s="560">
        <v>0</v>
      </c>
      <c r="AP168" s="560">
        <v>0</v>
      </c>
      <c r="AQ168" s="560" t="s">
        <v>885</v>
      </c>
      <c r="AR168" s="560" t="s">
        <v>1742</v>
      </c>
      <c r="AS168" s="560">
        <v>0</v>
      </c>
      <c r="AT168" s="560">
        <v>0</v>
      </c>
      <c r="AU168" s="560">
        <v>0</v>
      </c>
      <c r="AV168" s="560">
        <v>69</v>
      </c>
      <c r="AW168" s="560">
        <v>64</v>
      </c>
      <c r="AX168" s="560">
        <v>74</v>
      </c>
      <c r="AY168" s="560">
        <v>78</v>
      </c>
      <c r="AZ168" s="560">
        <v>1</v>
      </c>
      <c r="BA168" s="560">
        <v>2085</v>
      </c>
      <c r="BB168" s="560">
        <v>0</v>
      </c>
      <c r="BC168" s="560">
        <v>0.5</v>
      </c>
      <c r="BD168" s="560">
        <v>0</v>
      </c>
      <c r="BE168" s="560" t="s">
        <v>1799</v>
      </c>
      <c r="BF168" s="560">
        <v>2</v>
      </c>
      <c r="BG168" s="560">
        <v>13</v>
      </c>
      <c r="BH168" s="560">
        <v>1</v>
      </c>
      <c r="BI168" s="560">
        <v>2</v>
      </c>
      <c r="BJ168" s="560">
        <v>35</v>
      </c>
      <c r="BK168" s="560">
        <v>0</v>
      </c>
      <c r="BL168" s="560" t="s">
        <v>1716</v>
      </c>
      <c r="BM168" s="560">
        <v>0.05</v>
      </c>
      <c r="BN168" s="560">
        <v>200</v>
      </c>
      <c r="BO168" s="560">
        <v>20</v>
      </c>
      <c r="BP168" s="560" t="s">
        <v>1717</v>
      </c>
      <c r="BQ168" s="560">
        <v>0</v>
      </c>
      <c r="BR168" s="560">
        <v>0</v>
      </c>
      <c r="BS168" s="560">
        <v>555</v>
      </c>
      <c r="BT168" s="560">
        <v>1568</v>
      </c>
      <c r="BU168" s="560">
        <v>12544</v>
      </c>
      <c r="BV168" s="560">
        <v>0</v>
      </c>
      <c r="BW168" s="560">
        <v>0</v>
      </c>
      <c r="BX168" s="560">
        <v>1344</v>
      </c>
      <c r="BY168" s="560">
        <v>10.3</v>
      </c>
      <c r="BZ168" s="560">
        <v>1568</v>
      </c>
      <c r="CA168" s="560">
        <v>26.5</v>
      </c>
      <c r="CB168" s="560">
        <v>0.85</v>
      </c>
      <c r="CC168" s="560">
        <v>49</v>
      </c>
      <c r="CD168" s="560">
        <v>49</v>
      </c>
      <c r="CE168" s="560">
        <v>49</v>
      </c>
      <c r="CF168" s="560">
        <v>49</v>
      </c>
      <c r="CG168" s="560">
        <v>0.29299999999999998</v>
      </c>
      <c r="CH168" s="560">
        <v>0.3</v>
      </c>
      <c r="CI168" s="560">
        <v>0.54</v>
      </c>
      <c r="CJ168" s="560">
        <v>40</v>
      </c>
      <c r="CK168" s="560">
        <v>5</v>
      </c>
      <c r="CL168" s="560">
        <v>1</v>
      </c>
      <c r="CM168" s="562">
        <v>1568</v>
      </c>
      <c r="CN168" s="562">
        <v>168</v>
      </c>
      <c r="CO168" s="562">
        <v>15.8</v>
      </c>
      <c r="CP168" s="562">
        <v>0</v>
      </c>
      <c r="CQ168" s="562">
        <v>0</v>
      </c>
      <c r="CR168" s="562" t="s">
        <v>1718</v>
      </c>
      <c r="CS168" s="562">
        <v>0</v>
      </c>
      <c r="CT168" s="562">
        <v>0</v>
      </c>
      <c r="CU168" s="562">
        <v>0.75</v>
      </c>
      <c r="CV168" s="562">
        <v>2</v>
      </c>
      <c r="CW168" s="562">
        <v>1.75</v>
      </c>
      <c r="CX168" s="562">
        <v>1</v>
      </c>
      <c r="CY168" s="562">
        <v>0.65</v>
      </c>
      <c r="CZ168" s="560">
        <v>1463.4666669999999</v>
      </c>
      <c r="DA168" s="560">
        <v>8.5</v>
      </c>
      <c r="DB168" s="560" t="s">
        <v>1719</v>
      </c>
      <c r="DC168" s="560">
        <v>50</v>
      </c>
      <c r="DD168" s="560">
        <v>4</v>
      </c>
      <c r="DE168" s="560" t="s">
        <v>1720</v>
      </c>
      <c r="DF168" s="560">
        <v>5</v>
      </c>
      <c r="DG168" s="560">
        <v>0</v>
      </c>
      <c r="DH168" s="560">
        <v>4.5</v>
      </c>
      <c r="DI168" s="560">
        <v>4.5</v>
      </c>
      <c r="DJ168" s="560">
        <v>0</v>
      </c>
      <c r="DK168" s="560">
        <v>0</v>
      </c>
      <c r="DL168" s="560">
        <v>0</v>
      </c>
      <c r="DM168" s="560">
        <v>0</v>
      </c>
      <c r="DN168" s="560">
        <v>0</v>
      </c>
      <c r="DO168" s="560">
        <v>0</v>
      </c>
    </row>
    <row r="169" spans="1:119" hidden="1">
      <c r="A169" s="560" t="s">
        <v>886</v>
      </c>
      <c r="B169" s="560" t="s">
        <v>1713</v>
      </c>
      <c r="C169" s="560" t="s">
        <v>764</v>
      </c>
      <c r="D169" s="560">
        <v>3</v>
      </c>
      <c r="E169" s="560">
        <v>420.37597399999999</v>
      </c>
      <c r="F169" s="560">
        <v>57.926988000000001</v>
      </c>
      <c r="G169" s="560">
        <v>4974.4274999999998</v>
      </c>
      <c r="H169" s="560">
        <v>139.9665</v>
      </c>
      <c r="I169" s="560">
        <v>0.968943</v>
      </c>
      <c r="J169" s="560">
        <v>0.28609200000000001</v>
      </c>
      <c r="K169" s="560">
        <v>0.31522600000000001</v>
      </c>
      <c r="L169" s="560">
        <v>0.46515600000000001</v>
      </c>
      <c r="M169" s="560">
        <v>8823.6867710000006</v>
      </c>
      <c r="N169" s="560">
        <v>11024.297868</v>
      </c>
      <c r="O169" s="560">
        <v>3600.2654299999999</v>
      </c>
      <c r="P169" s="560">
        <v>298.43217600000003</v>
      </c>
      <c r="Q169" s="560">
        <v>298.61941000000002</v>
      </c>
      <c r="R169" s="560">
        <v>1566.462628</v>
      </c>
      <c r="S169" s="560">
        <v>1357.9213709999999</v>
      </c>
      <c r="T169" s="560">
        <v>1741.0778049999999</v>
      </c>
      <c r="U169" s="560">
        <v>408.99017700000002</v>
      </c>
      <c r="V169" s="560">
        <v>41.590729000000003</v>
      </c>
      <c r="W169" s="560">
        <v>10.270829000000001</v>
      </c>
      <c r="X169" s="560">
        <v>0</v>
      </c>
      <c r="Y169" s="560">
        <v>40.341982999999999</v>
      </c>
      <c r="Z169" s="560">
        <v>211.621239</v>
      </c>
      <c r="AA169" s="560">
        <v>37882.897559999998</v>
      </c>
      <c r="AB169" s="560">
        <v>46331.800343000003</v>
      </c>
      <c r="AC169" s="560">
        <v>31448.742663000001</v>
      </c>
      <c r="AD169" s="560">
        <v>24986.202556</v>
      </c>
      <c r="AE169" s="560">
        <v>650.43966399999999</v>
      </c>
      <c r="AF169" s="560">
        <v>14017.312913</v>
      </c>
      <c r="AG169" s="560">
        <v>17435.139821000001</v>
      </c>
      <c r="AH169" s="560">
        <v>4205.9545550000003</v>
      </c>
      <c r="AI169" s="560">
        <v>53.55</v>
      </c>
      <c r="AJ169" s="560">
        <v>701.42659500000002</v>
      </c>
      <c r="AK169" s="560">
        <v>1927.945436</v>
      </c>
      <c r="AL169" s="560">
        <v>200.75</v>
      </c>
      <c r="AM169" s="560">
        <v>0</v>
      </c>
      <c r="AN169" s="560">
        <v>0</v>
      </c>
      <c r="AO169" s="560">
        <v>0</v>
      </c>
      <c r="AP169" s="560">
        <v>0</v>
      </c>
      <c r="AQ169" s="560" t="s">
        <v>886</v>
      </c>
      <c r="AR169" s="560" t="s">
        <v>1714</v>
      </c>
      <c r="AS169" s="560">
        <v>0</v>
      </c>
      <c r="AT169" s="560">
        <v>0</v>
      </c>
      <c r="AU169" s="560">
        <v>0</v>
      </c>
      <c r="AV169" s="560">
        <v>69</v>
      </c>
      <c r="AW169" s="560">
        <v>64</v>
      </c>
      <c r="AX169" s="560">
        <v>74</v>
      </c>
      <c r="AY169" s="560">
        <v>78</v>
      </c>
      <c r="AZ169" s="560">
        <v>1</v>
      </c>
      <c r="BA169" s="560">
        <v>2268</v>
      </c>
      <c r="BB169" s="560">
        <v>0</v>
      </c>
      <c r="BC169" s="560">
        <v>0.5</v>
      </c>
      <c r="BD169" s="560">
        <v>0</v>
      </c>
      <c r="BE169" s="560" t="s">
        <v>1799</v>
      </c>
      <c r="BF169" s="560">
        <v>2.5</v>
      </c>
      <c r="BG169" s="560">
        <v>17.399999999999999</v>
      </c>
      <c r="BH169" s="560">
        <v>1</v>
      </c>
      <c r="BI169" s="560">
        <v>2</v>
      </c>
      <c r="BJ169" s="560">
        <v>35</v>
      </c>
      <c r="BK169" s="560">
        <v>0</v>
      </c>
      <c r="BL169" s="560" t="s">
        <v>1716</v>
      </c>
      <c r="BM169" s="560">
        <v>0.06</v>
      </c>
      <c r="BN169" s="560">
        <v>300</v>
      </c>
      <c r="BO169" s="560">
        <v>6</v>
      </c>
      <c r="BP169" s="560" t="s">
        <v>1747</v>
      </c>
      <c r="BQ169" s="560">
        <v>0.03</v>
      </c>
      <c r="BR169" s="560">
        <v>80</v>
      </c>
      <c r="BS169" s="560">
        <v>6</v>
      </c>
      <c r="BT169" s="560">
        <v>2200</v>
      </c>
      <c r="BU169" s="560">
        <v>18700</v>
      </c>
      <c r="BV169" s="560">
        <v>200</v>
      </c>
      <c r="BW169" s="560">
        <v>30.609376350000002</v>
      </c>
      <c r="BX169" s="560">
        <v>2210</v>
      </c>
      <c r="BY169" s="560">
        <v>17.543859650000002</v>
      </c>
      <c r="BZ169" s="560">
        <v>1784</v>
      </c>
      <c r="CA169" s="560">
        <v>37.664196859999997</v>
      </c>
      <c r="CB169" s="560">
        <v>0.85</v>
      </c>
      <c r="CC169" s="560">
        <v>91</v>
      </c>
      <c r="CD169" s="560">
        <v>91</v>
      </c>
      <c r="CE169" s="560">
        <v>91</v>
      </c>
      <c r="CF169" s="560">
        <v>91</v>
      </c>
      <c r="CG169" s="560">
        <v>0.29299999999999998</v>
      </c>
      <c r="CH169" s="560">
        <v>0.3</v>
      </c>
      <c r="CI169" s="560">
        <v>0.54</v>
      </c>
      <c r="CJ169" s="560">
        <v>40</v>
      </c>
      <c r="CK169" s="560">
        <v>5</v>
      </c>
      <c r="CL169" s="560">
        <v>1</v>
      </c>
      <c r="CM169" s="562">
        <v>1584</v>
      </c>
      <c r="CN169" s="562">
        <v>160</v>
      </c>
      <c r="CO169" s="562">
        <v>30.609376350000002</v>
      </c>
      <c r="CP169" s="562">
        <v>0</v>
      </c>
      <c r="CQ169" s="562">
        <v>0</v>
      </c>
      <c r="CR169" s="562" t="s">
        <v>1718</v>
      </c>
      <c r="CS169" s="562">
        <v>0</v>
      </c>
      <c r="CT169" s="562">
        <v>0</v>
      </c>
      <c r="CU169" s="562">
        <v>0.75</v>
      </c>
      <c r="CV169" s="562">
        <v>1</v>
      </c>
      <c r="CW169" s="562">
        <v>1.75</v>
      </c>
      <c r="CX169" s="562">
        <v>2</v>
      </c>
      <c r="CY169" s="562">
        <v>1.5</v>
      </c>
      <c r="CZ169" s="560">
        <v>2181.666667</v>
      </c>
      <c r="DA169" s="560">
        <v>11.80555556</v>
      </c>
      <c r="DB169" s="560" t="s">
        <v>1719</v>
      </c>
      <c r="DC169" s="560">
        <v>50</v>
      </c>
      <c r="DD169" s="560">
        <v>4</v>
      </c>
      <c r="DE169" s="560" t="s">
        <v>1720</v>
      </c>
      <c r="DF169" s="560">
        <v>5</v>
      </c>
      <c r="DG169" s="560">
        <v>0</v>
      </c>
      <c r="DH169" s="560">
        <v>4.5</v>
      </c>
      <c r="DI169" s="560">
        <v>4.5</v>
      </c>
      <c r="DJ169" s="560">
        <v>0</v>
      </c>
      <c r="DK169" s="560">
        <v>0</v>
      </c>
      <c r="DL169" s="560">
        <v>0</v>
      </c>
      <c r="DM169" s="560">
        <v>0</v>
      </c>
      <c r="DN169" s="560">
        <v>0</v>
      </c>
      <c r="DO169" s="560">
        <v>0</v>
      </c>
    </row>
    <row r="170" spans="1:119" hidden="1">
      <c r="A170" s="560" t="s">
        <v>887</v>
      </c>
      <c r="B170" s="560" t="s">
        <v>1713</v>
      </c>
      <c r="C170" s="560" t="s">
        <v>767</v>
      </c>
      <c r="D170" s="560">
        <v>3</v>
      </c>
      <c r="E170" s="560">
        <v>420.37597399999999</v>
      </c>
      <c r="F170" s="560">
        <v>57.926988000000001</v>
      </c>
      <c r="G170" s="560">
        <v>4974.4274999999998</v>
      </c>
      <c r="H170" s="560">
        <v>391.60199999999998</v>
      </c>
      <c r="I170" s="560">
        <v>0.968943</v>
      </c>
      <c r="J170" s="560">
        <v>0.28609200000000001</v>
      </c>
      <c r="K170" s="560">
        <v>0.31522600000000001</v>
      </c>
      <c r="L170" s="560">
        <v>0.46515600000000001</v>
      </c>
      <c r="M170" s="560">
        <v>8823.6867710000006</v>
      </c>
      <c r="N170" s="560">
        <v>11024.297868</v>
      </c>
      <c r="O170" s="560">
        <v>3600.2654299999999</v>
      </c>
      <c r="P170" s="560">
        <v>298.43217600000003</v>
      </c>
      <c r="Q170" s="560">
        <v>298.61941000000002</v>
      </c>
      <c r="R170" s="560">
        <v>1566.462628</v>
      </c>
      <c r="S170" s="560">
        <v>2434.231679</v>
      </c>
      <c r="T170" s="560">
        <v>3001.0223799999999</v>
      </c>
      <c r="U170" s="560">
        <v>701.89637300000004</v>
      </c>
      <c r="V170" s="560">
        <v>37.731546999999999</v>
      </c>
      <c r="W170" s="560">
        <v>5.5530189999999999</v>
      </c>
      <c r="X170" s="560">
        <v>0</v>
      </c>
      <c r="Y170" s="560">
        <v>70.352287000000004</v>
      </c>
      <c r="Z170" s="560">
        <v>369.04576700000001</v>
      </c>
      <c r="AA170" s="560">
        <v>37882.897559999998</v>
      </c>
      <c r="AB170" s="560">
        <v>46331.800343000003</v>
      </c>
      <c r="AC170" s="560">
        <v>31448.742663000001</v>
      </c>
      <c r="AD170" s="560">
        <v>24986.202556</v>
      </c>
      <c r="AE170" s="560">
        <v>650.43966399999999</v>
      </c>
      <c r="AF170" s="560">
        <v>17792.689514000002</v>
      </c>
      <c r="AG170" s="560">
        <v>23583.938455</v>
      </c>
      <c r="AH170" s="560">
        <v>5442.798785</v>
      </c>
      <c r="AI170" s="560">
        <v>53.55</v>
      </c>
      <c r="AJ170" s="560">
        <v>701.42659500000002</v>
      </c>
      <c r="AK170" s="560">
        <v>1927.945436</v>
      </c>
      <c r="AL170" s="560">
        <v>200.75</v>
      </c>
      <c r="AM170" s="560">
        <v>0</v>
      </c>
      <c r="AN170" s="560">
        <v>0</v>
      </c>
      <c r="AO170" s="560">
        <v>0</v>
      </c>
      <c r="AP170" s="560">
        <v>0</v>
      </c>
      <c r="AQ170" s="560" t="s">
        <v>887</v>
      </c>
      <c r="AR170" s="560" t="s">
        <v>1722</v>
      </c>
      <c r="AS170" s="560">
        <v>0</v>
      </c>
      <c r="AT170" s="560">
        <v>0</v>
      </c>
      <c r="AU170" s="560">
        <v>0</v>
      </c>
      <c r="AV170" s="560">
        <v>69</v>
      </c>
      <c r="AW170" s="560">
        <v>64</v>
      </c>
      <c r="AX170" s="560">
        <v>74</v>
      </c>
      <c r="AY170" s="560">
        <v>78</v>
      </c>
      <c r="AZ170" s="560">
        <v>1</v>
      </c>
      <c r="BA170" s="560">
        <v>2268</v>
      </c>
      <c r="BB170" s="560">
        <v>0</v>
      </c>
      <c r="BC170" s="560">
        <v>0.5</v>
      </c>
      <c r="BD170" s="560">
        <v>0</v>
      </c>
      <c r="BE170" s="560" t="s">
        <v>1799</v>
      </c>
      <c r="BF170" s="560">
        <v>2.5</v>
      </c>
      <c r="BG170" s="560">
        <v>17.399999999999999</v>
      </c>
      <c r="BH170" s="560">
        <v>1</v>
      </c>
      <c r="BI170" s="560">
        <v>2</v>
      </c>
      <c r="BJ170" s="560">
        <v>35</v>
      </c>
      <c r="BK170" s="560">
        <v>0</v>
      </c>
      <c r="BL170" s="560" t="s">
        <v>1716</v>
      </c>
      <c r="BM170" s="560">
        <v>0.06</v>
      </c>
      <c r="BN170" s="560">
        <v>300</v>
      </c>
      <c r="BO170" s="560">
        <v>6</v>
      </c>
      <c r="BP170" s="560" t="s">
        <v>1747</v>
      </c>
      <c r="BQ170" s="560">
        <v>0.03</v>
      </c>
      <c r="BR170" s="560">
        <v>80</v>
      </c>
      <c r="BS170" s="560">
        <v>6</v>
      </c>
      <c r="BT170" s="560">
        <v>2200</v>
      </c>
      <c r="BU170" s="560">
        <v>18700</v>
      </c>
      <c r="BV170" s="560">
        <v>200</v>
      </c>
      <c r="BW170" s="560">
        <v>30.609376350000002</v>
      </c>
      <c r="BX170" s="560">
        <v>2210</v>
      </c>
      <c r="BY170" s="560">
        <v>17.543859650000002</v>
      </c>
      <c r="BZ170" s="560">
        <v>1784</v>
      </c>
      <c r="CA170" s="560">
        <v>37.664196859999997</v>
      </c>
      <c r="CB170" s="560">
        <v>0.85</v>
      </c>
      <c r="CC170" s="560">
        <v>91</v>
      </c>
      <c r="CD170" s="560">
        <v>91</v>
      </c>
      <c r="CE170" s="560">
        <v>91</v>
      </c>
      <c r="CF170" s="560">
        <v>91</v>
      </c>
      <c r="CG170" s="560">
        <v>0.29299999999999998</v>
      </c>
      <c r="CH170" s="560">
        <v>0.3</v>
      </c>
      <c r="CI170" s="560">
        <v>0.54</v>
      </c>
      <c r="CJ170" s="560">
        <v>40</v>
      </c>
      <c r="CK170" s="560">
        <v>5</v>
      </c>
      <c r="CL170" s="560">
        <v>1</v>
      </c>
      <c r="CM170" s="562">
        <v>1584</v>
      </c>
      <c r="CN170" s="562">
        <v>160</v>
      </c>
      <c r="CO170" s="562">
        <v>30.609376350000002</v>
      </c>
      <c r="CP170" s="562">
        <v>0</v>
      </c>
      <c r="CQ170" s="562">
        <v>0</v>
      </c>
      <c r="CR170" s="562" t="s">
        <v>1718</v>
      </c>
      <c r="CS170" s="562">
        <v>0</v>
      </c>
      <c r="CT170" s="562">
        <v>0</v>
      </c>
      <c r="CU170" s="562">
        <v>0.75</v>
      </c>
      <c r="CV170" s="562">
        <v>1</v>
      </c>
      <c r="CW170" s="562">
        <v>1.75</v>
      </c>
      <c r="CX170" s="562">
        <v>2</v>
      </c>
      <c r="CY170" s="562">
        <v>1.5</v>
      </c>
      <c r="CZ170" s="560">
        <v>2181.666667</v>
      </c>
      <c r="DA170" s="560">
        <v>11.80555556</v>
      </c>
      <c r="DB170" s="560" t="s">
        <v>1719</v>
      </c>
      <c r="DC170" s="560">
        <v>50</v>
      </c>
      <c r="DD170" s="560">
        <v>4</v>
      </c>
      <c r="DE170" s="560" t="s">
        <v>1720</v>
      </c>
      <c r="DF170" s="560">
        <v>5</v>
      </c>
      <c r="DG170" s="560">
        <v>0</v>
      </c>
      <c r="DH170" s="560">
        <v>4.5</v>
      </c>
      <c r="DI170" s="560">
        <v>4.5</v>
      </c>
      <c r="DJ170" s="560">
        <v>0</v>
      </c>
      <c r="DK170" s="560">
        <v>0</v>
      </c>
      <c r="DL170" s="560">
        <v>0</v>
      </c>
      <c r="DM170" s="560">
        <v>0</v>
      </c>
      <c r="DN170" s="560">
        <v>0</v>
      </c>
      <c r="DO170" s="560">
        <v>0</v>
      </c>
    </row>
    <row r="171" spans="1:119" hidden="1">
      <c r="A171" s="560" t="s">
        <v>888</v>
      </c>
      <c r="B171" s="560" t="s">
        <v>1713</v>
      </c>
      <c r="C171" s="560" t="s">
        <v>770</v>
      </c>
      <c r="D171" s="560">
        <v>3</v>
      </c>
      <c r="E171" s="560">
        <v>420.37597399999999</v>
      </c>
      <c r="F171" s="560">
        <v>57.926988000000001</v>
      </c>
      <c r="G171" s="560">
        <v>4974.4274999999998</v>
      </c>
      <c r="H171" s="560">
        <v>755.94</v>
      </c>
      <c r="I171" s="560">
        <v>0.968943</v>
      </c>
      <c r="J171" s="560">
        <v>0.28609200000000001</v>
      </c>
      <c r="K171" s="560">
        <v>0.31522600000000001</v>
      </c>
      <c r="L171" s="560">
        <v>0.46515600000000001</v>
      </c>
      <c r="M171" s="560">
        <v>8823.6867710000006</v>
      </c>
      <c r="N171" s="560">
        <v>11024.297868</v>
      </c>
      <c r="O171" s="560">
        <v>3600.2654299999999</v>
      </c>
      <c r="P171" s="560">
        <v>298.43217600000003</v>
      </c>
      <c r="Q171" s="560">
        <v>298.61941000000002</v>
      </c>
      <c r="R171" s="560">
        <v>1566.462628</v>
      </c>
      <c r="S171" s="560">
        <v>3737.2200680000001</v>
      </c>
      <c r="T171" s="560">
        <v>4493.7282009999999</v>
      </c>
      <c r="U171" s="560">
        <v>1048.3913150000001</v>
      </c>
      <c r="V171" s="560">
        <v>18.841605999999999</v>
      </c>
      <c r="W171" s="560">
        <v>1.7971919999999999</v>
      </c>
      <c r="X171" s="560">
        <v>0</v>
      </c>
      <c r="Y171" s="560">
        <v>106.60243199999999</v>
      </c>
      <c r="Z171" s="560">
        <v>559.20251800000005</v>
      </c>
      <c r="AA171" s="560">
        <v>37882.897559999998</v>
      </c>
      <c r="AB171" s="560">
        <v>46331.800343000003</v>
      </c>
      <c r="AC171" s="560">
        <v>31448.742663000001</v>
      </c>
      <c r="AD171" s="560">
        <v>24986.202556</v>
      </c>
      <c r="AE171" s="560">
        <v>650.43966399999999</v>
      </c>
      <c r="AF171" s="560">
        <v>18246.658380000001</v>
      </c>
      <c r="AG171" s="560">
        <v>23342.095249000002</v>
      </c>
      <c r="AH171" s="560">
        <v>5486.7561269999997</v>
      </c>
      <c r="AI171" s="560">
        <v>53.55</v>
      </c>
      <c r="AJ171" s="560">
        <v>701.42659500000002</v>
      </c>
      <c r="AK171" s="560">
        <v>1927.945436</v>
      </c>
      <c r="AL171" s="560">
        <v>200.75</v>
      </c>
      <c r="AM171" s="560">
        <v>0</v>
      </c>
      <c r="AN171" s="560">
        <v>0</v>
      </c>
      <c r="AO171" s="560">
        <v>0</v>
      </c>
      <c r="AP171" s="560">
        <v>0</v>
      </c>
      <c r="AQ171" s="560" t="s">
        <v>888</v>
      </c>
      <c r="AR171" s="560" t="s">
        <v>1724</v>
      </c>
      <c r="AS171" s="560">
        <v>0</v>
      </c>
      <c r="AT171" s="560">
        <v>0</v>
      </c>
      <c r="AU171" s="560">
        <v>0</v>
      </c>
      <c r="AV171" s="560">
        <v>69</v>
      </c>
      <c r="AW171" s="560">
        <v>64</v>
      </c>
      <c r="AX171" s="560">
        <v>74</v>
      </c>
      <c r="AY171" s="560">
        <v>78</v>
      </c>
      <c r="AZ171" s="560">
        <v>1</v>
      </c>
      <c r="BA171" s="560">
        <v>2268</v>
      </c>
      <c r="BB171" s="560">
        <v>0</v>
      </c>
      <c r="BC171" s="560">
        <v>0.5</v>
      </c>
      <c r="BD171" s="560">
        <v>0</v>
      </c>
      <c r="BE171" s="560" t="s">
        <v>1799</v>
      </c>
      <c r="BF171" s="560">
        <v>2.5</v>
      </c>
      <c r="BG171" s="560">
        <v>17.399999999999999</v>
      </c>
      <c r="BH171" s="560">
        <v>1</v>
      </c>
      <c r="BI171" s="560">
        <v>2</v>
      </c>
      <c r="BJ171" s="560">
        <v>35</v>
      </c>
      <c r="BK171" s="560">
        <v>0</v>
      </c>
      <c r="BL171" s="560" t="s">
        <v>1716</v>
      </c>
      <c r="BM171" s="560">
        <v>0.06</v>
      </c>
      <c r="BN171" s="560">
        <v>300</v>
      </c>
      <c r="BO171" s="560">
        <v>6</v>
      </c>
      <c r="BP171" s="560" t="s">
        <v>1747</v>
      </c>
      <c r="BQ171" s="560">
        <v>0.03</v>
      </c>
      <c r="BR171" s="560">
        <v>80</v>
      </c>
      <c r="BS171" s="560">
        <v>6</v>
      </c>
      <c r="BT171" s="560">
        <v>2200</v>
      </c>
      <c r="BU171" s="560">
        <v>18700</v>
      </c>
      <c r="BV171" s="560">
        <v>200</v>
      </c>
      <c r="BW171" s="560">
        <v>30.609376350000002</v>
      </c>
      <c r="BX171" s="560">
        <v>2210</v>
      </c>
      <c r="BY171" s="560">
        <v>17.543859650000002</v>
      </c>
      <c r="BZ171" s="560">
        <v>1784</v>
      </c>
      <c r="CA171" s="560">
        <v>37.664196859999997</v>
      </c>
      <c r="CB171" s="560">
        <v>0.85</v>
      </c>
      <c r="CC171" s="560">
        <v>91</v>
      </c>
      <c r="CD171" s="560">
        <v>91</v>
      </c>
      <c r="CE171" s="560">
        <v>91</v>
      </c>
      <c r="CF171" s="560">
        <v>91</v>
      </c>
      <c r="CG171" s="560">
        <v>0.29299999999999998</v>
      </c>
      <c r="CH171" s="560">
        <v>0.3</v>
      </c>
      <c r="CI171" s="560">
        <v>0.54</v>
      </c>
      <c r="CJ171" s="560">
        <v>40</v>
      </c>
      <c r="CK171" s="560">
        <v>5</v>
      </c>
      <c r="CL171" s="560">
        <v>1</v>
      </c>
      <c r="CM171" s="562">
        <v>1584</v>
      </c>
      <c r="CN171" s="562">
        <v>160</v>
      </c>
      <c r="CO171" s="562">
        <v>30.609376350000002</v>
      </c>
      <c r="CP171" s="562">
        <v>0</v>
      </c>
      <c r="CQ171" s="562">
        <v>0</v>
      </c>
      <c r="CR171" s="562" t="s">
        <v>1718</v>
      </c>
      <c r="CS171" s="562">
        <v>0</v>
      </c>
      <c r="CT171" s="562">
        <v>0</v>
      </c>
      <c r="CU171" s="562">
        <v>0.75</v>
      </c>
      <c r="CV171" s="562">
        <v>1</v>
      </c>
      <c r="CW171" s="562">
        <v>1.75</v>
      </c>
      <c r="CX171" s="562">
        <v>2</v>
      </c>
      <c r="CY171" s="562">
        <v>1.5</v>
      </c>
      <c r="CZ171" s="560">
        <v>2181.666667</v>
      </c>
      <c r="DA171" s="560">
        <v>11.80555556</v>
      </c>
      <c r="DB171" s="560" t="s">
        <v>1719</v>
      </c>
      <c r="DC171" s="560">
        <v>50</v>
      </c>
      <c r="DD171" s="560">
        <v>4</v>
      </c>
      <c r="DE171" s="560" t="s">
        <v>1720</v>
      </c>
      <c r="DF171" s="560">
        <v>5</v>
      </c>
      <c r="DG171" s="560">
        <v>0</v>
      </c>
      <c r="DH171" s="560">
        <v>4.5</v>
      </c>
      <c r="DI171" s="560">
        <v>4.5</v>
      </c>
      <c r="DJ171" s="560">
        <v>0</v>
      </c>
      <c r="DK171" s="560">
        <v>0</v>
      </c>
      <c r="DL171" s="560">
        <v>0</v>
      </c>
      <c r="DM171" s="560">
        <v>0</v>
      </c>
      <c r="DN171" s="560">
        <v>0</v>
      </c>
      <c r="DO171" s="560">
        <v>0</v>
      </c>
    </row>
    <row r="172" spans="1:119" hidden="1">
      <c r="A172" s="560" t="s">
        <v>889</v>
      </c>
      <c r="B172" s="560" t="s">
        <v>1713</v>
      </c>
      <c r="C172" s="560" t="s">
        <v>764</v>
      </c>
      <c r="D172" s="560">
        <v>3</v>
      </c>
      <c r="E172" s="560">
        <v>486.02175299999999</v>
      </c>
      <c r="F172" s="560">
        <v>58.682454</v>
      </c>
      <c r="G172" s="560">
        <v>4974.4274999999998</v>
      </c>
      <c r="H172" s="560">
        <v>139.9665</v>
      </c>
      <c r="I172" s="560">
        <v>0.968943</v>
      </c>
      <c r="J172" s="560">
        <v>0.29063099999999997</v>
      </c>
      <c r="K172" s="560">
        <v>0.31418499999999999</v>
      </c>
      <c r="L172" s="560">
        <v>0.48452499999999998</v>
      </c>
      <c r="M172" s="560">
        <v>10825.391433000001</v>
      </c>
      <c r="N172" s="560">
        <v>13588.094666999999</v>
      </c>
      <c r="O172" s="560">
        <v>4255.7805559999997</v>
      </c>
      <c r="P172" s="560">
        <v>236.93008</v>
      </c>
      <c r="Q172" s="560">
        <v>362.24274000000003</v>
      </c>
      <c r="R172" s="560">
        <v>1583.5086839999999</v>
      </c>
      <c r="S172" s="560">
        <v>1310.9937030000001</v>
      </c>
      <c r="T172" s="560">
        <v>1691.044144</v>
      </c>
      <c r="U172" s="560">
        <v>398.39023700000001</v>
      </c>
      <c r="V172" s="560">
        <v>40.772373999999999</v>
      </c>
      <c r="W172" s="560">
        <v>10.377257</v>
      </c>
      <c r="X172" s="560">
        <v>0</v>
      </c>
      <c r="Y172" s="560">
        <v>39.177999</v>
      </c>
      <c r="Z172" s="560">
        <v>171.262789</v>
      </c>
      <c r="AA172" s="560">
        <v>40603.487878</v>
      </c>
      <c r="AB172" s="560">
        <v>50520.806769000003</v>
      </c>
      <c r="AC172" s="560">
        <v>32138.061321000001</v>
      </c>
      <c r="AD172" s="560">
        <v>24382.920859000002</v>
      </c>
      <c r="AE172" s="560">
        <v>780.52759700000001</v>
      </c>
      <c r="AF172" s="560">
        <v>15392.253127</v>
      </c>
      <c r="AG172" s="560">
        <v>19209.127575999999</v>
      </c>
      <c r="AH172" s="560">
        <v>4656.9775840000002</v>
      </c>
      <c r="AI172" s="560">
        <v>26.65</v>
      </c>
      <c r="AJ172" s="560">
        <v>826.77079100000003</v>
      </c>
      <c r="AK172" s="560">
        <v>1909.7454729999999</v>
      </c>
      <c r="AL172" s="560">
        <v>200.75</v>
      </c>
      <c r="AM172" s="560">
        <v>0</v>
      </c>
      <c r="AN172" s="560">
        <v>0</v>
      </c>
      <c r="AO172" s="560">
        <v>0</v>
      </c>
      <c r="AP172" s="560">
        <v>0</v>
      </c>
      <c r="AQ172" s="560" t="s">
        <v>889</v>
      </c>
      <c r="AR172" s="560" t="s">
        <v>1714</v>
      </c>
      <c r="AS172" s="560">
        <v>0</v>
      </c>
      <c r="AT172" s="560">
        <v>0</v>
      </c>
      <c r="AU172" s="560">
        <v>0</v>
      </c>
      <c r="AV172" s="560">
        <v>69</v>
      </c>
      <c r="AW172" s="560">
        <v>64</v>
      </c>
      <c r="AX172" s="560">
        <v>74</v>
      </c>
      <c r="AY172" s="560">
        <v>78</v>
      </c>
      <c r="AZ172" s="560">
        <v>1</v>
      </c>
      <c r="BA172" s="560">
        <v>2268</v>
      </c>
      <c r="BB172" s="560">
        <v>0</v>
      </c>
      <c r="BC172" s="560">
        <v>0.5</v>
      </c>
      <c r="BD172" s="560">
        <v>0</v>
      </c>
      <c r="BE172" s="560" t="s">
        <v>1799</v>
      </c>
      <c r="BF172" s="560">
        <v>3</v>
      </c>
      <c r="BG172" s="560">
        <v>17.399999999999999</v>
      </c>
      <c r="BH172" s="560">
        <v>1</v>
      </c>
      <c r="BI172" s="560">
        <v>2</v>
      </c>
      <c r="BJ172" s="560">
        <v>35</v>
      </c>
      <c r="BK172" s="560">
        <v>0</v>
      </c>
      <c r="BL172" s="560" t="s">
        <v>1716</v>
      </c>
      <c r="BM172" s="560">
        <v>0.06</v>
      </c>
      <c r="BN172" s="560">
        <v>300</v>
      </c>
      <c r="BO172" s="560">
        <v>4.5</v>
      </c>
      <c r="BP172" s="560" t="s">
        <v>1747</v>
      </c>
      <c r="BQ172" s="560">
        <v>0.03</v>
      </c>
      <c r="BR172" s="560">
        <v>80</v>
      </c>
      <c r="BS172" s="560">
        <v>4.9000000000000004</v>
      </c>
      <c r="BT172" s="560">
        <v>2200</v>
      </c>
      <c r="BU172" s="560">
        <v>18700</v>
      </c>
      <c r="BV172" s="560">
        <v>200</v>
      </c>
      <c r="BW172" s="560">
        <v>26.8</v>
      </c>
      <c r="BX172" s="560">
        <v>2210</v>
      </c>
      <c r="BY172" s="560">
        <v>11.4</v>
      </c>
      <c r="BZ172" s="560">
        <v>1784</v>
      </c>
      <c r="CA172" s="560">
        <v>35</v>
      </c>
      <c r="CB172" s="560">
        <v>0.85</v>
      </c>
      <c r="CC172" s="560">
        <v>91</v>
      </c>
      <c r="CD172" s="560">
        <v>91</v>
      </c>
      <c r="CE172" s="560">
        <v>91</v>
      </c>
      <c r="CF172" s="560">
        <v>91</v>
      </c>
      <c r="CG172" s="560">
        <v>0.29299999999999998</v>
      </c>
      <c r="CH172" s="560">
        <v>0.3</v>
      </c>
      <c r="CI172" s="560">
        <v>0.54</v>
      </c>
      <c r="CJ172" s="560">
        <v>40</v>
      </c>
      <c r="CK172" s="560">
        <v>5</v>
      </c>
      <c r="CL172" s="560">
        <v>1</v>
      </c>
      <c r="CM172" s="562">
        <v>1584</v>
      </c>
      <c r="CN172" s="562">
        <v>160</v>
      </c>
      <c r="CO172" s="562">
        <v>26.8</v>
      </c>
      <c r="CP172" s="562">
        <v>0</v>
      </c>
      <c r="CQ172" s="562">
        <v>0</v>
      </c>
      <c r="CR172" s="562" t="s">
        <v>1718</v>
      </c>
      <c r="CS172" s="562">
        <v>0</v>
      </c>
      <c r="CT172" s="562">
        <v>0</v>
      </c>
      <c r="CU172" s="562">
        <v>0.75</v>
      </c>
      <c r="CV172" s="562">
        <v>1</v>
      </c>
      <c r="CW172" s="562">
        <v>1.75</v>
      </c>
      <c r="CX172" s="562">
        <v>2</v>
      </c>
      <c r="CY172" s="562">
        <v>1.5</v>
      </c>
      <c r="CZ172" s="560">
        <v>2181.666667</v>
      </c>
      <c r="DA172" s="560">
        <v>11.80555556</v>
      </c>
      <c r="DB172" s="560" t="s">
        <v>1719</v>
      </c>
      <c r="DC172" s="560">
        <v>50</v>
      </c>
      <c r="DD172" s="560">
        <v>4</v>
      </c>
      <c r="DE172" s="560" t="s">
        <v>1720</v>
      </c>
      <c r="DF172" s="560">
        <v>5</v>
      </c>
      <c r="DG172" s="560">
        <v>0</v>
      </c>
      <c r="DH172" s="560">
        <v>4.5</v>
      </c>
      <c r="DI172" s="560">
        <v>4.5</v>
      </c>
      <c r="DJ172" s="560">
        <v>0</v>
      </c>
      <c r="DK172" s="560">
        <v>0</v>
      </c>
      <c r="DL172" s="560">
        <v>0</v>
      </c>
      <c r="DM172" s="560">
        <v>0</v>
      </c>
      <c r="DN172" s="560">
        <v>0</v>
      </c>
      <c r="DO172" s="560">
        <v>0</v>
      </c>
    </row>
    <row r="173" spans="1:119" hidden="1">
      <c r="A173" s="560" t="s">
        <v>890</v>
      </c>
      <c r="B173" s="560" t="s">
        <v>1713</v>
      </c>
      <c r="C173" s="560" t="s">
        <v>767</v>
      </c>
      <c r="D173" s="560">
        <v>3</v>
      </c>
      <c r="E173" s="560">
        <v>486.02175299999999</v>
      </c>
      <c r="F173" s="560">
        <v>58.682454</v>
      </c>
      <c r="G173" s="560">
        <v>4974.4274999999998</v>
      </c>
      <c r="H173" s="560">
        <v>391.60199999999998</v>
      </c>
      <c r="I173" s="560">
        <v>0.968943</v>
      </c>
      <c r="J173" s="560">
        <v>0.29063099999999997</v>
      </c>
      <c r="K173" s="560">
        <v>0.31418499999999999</v>
      </c>
      <c r="L173" s="560">
        <v>0.48452499999999998</v>
      </c>
      <c r="M173" s="560">
        <v>10825.391433000001</v>
      </c>
      <c r="N173" s="560">
        <v>13588.094666999999</v>
      </c>
      <c r="O173" s="560">
        <v>4255.7805559999997</v>
      </c>
      <c r="P173" s="560">
        <v>236.93008</v>
      </c>
      <c r="Q173" s="560">
        <v>362.24274000000003</v>
      </c>
      <c r="R173" s="560">
        <v>1583.5086839999999</v>
      </c>
      <c r="S173" s="560">
        <v>2462.513688</v>
      </c>
      <c r="T173" s="560">
        <v>3052.934311</v>
      </c>
      <c r="U173" s="560">
        <v>715.96745099999998</v>
      </c>
      <c r="V173" s="560">
        <v>38.266112999999997</v>
      </c>
      <c r="W173" s="560">
        <v>5.5664720000000001</v>
      </c>
      <c r="X173" s="560">
        <v>0</v>
      </c>
      <c r="Y173" s="560">
        <v>71.538732999999993</v>
      </c>
      <c r="Z173" s="560">
        <v>312.72457100000003</v>
      </c>
      <c r="AA173" s="560">
        <v>40603.487878</v>
      </c>
      <c r="AB173" s="560">
        <v>50520.806769000003</v>
      </c>
      <c r="AC173" s="560">
        <v>32138.061321000001</v>
      </c>
      <c r="AD173" s="560">
        <v>24382.920859000002</v>
      </c>
      <c r="AE173" s="560">
        <v>780.52759700000001</v>
      </c>
      <c r="AF173" s="560">
        <v>19645.746405000002</v>
      </c>
      <c r="AG173" s="560">
        <v>26307.404821</v>
      </c>
      <c r="AH173" s="560">
        <v>6088.1744660000004</v>
      </c>
      <c r="AI173" s="560">
        <v>26.65</v>
      </c>
      <c r="AJ173" s="560">
        <v>826.77079100000003</v>
      </c>
      <c r="AK173" s="560">
        <v>1909.7454729999999</v>
      </c>
      <c r="AL173" s="560">
        <v>200.75</v>
      </c>
      <c r="AM173" s="560">
        <v>0</v>
      </c>
      <c r="AN173" s="560">
        <v>0</v>
      </c>
      <c r="AO173" s="560">
        <v>0</v>
      </c>
      <c r="AP173" s="560">
        <v>0</v>
      </c>
      <c r="AQ173" s="560" t="s">
        <v>890</v>
      </c>
      <c r="AR173" s="560" t="s">
        <v>1722</v>
      </c>
      <c r="AS173" s="560">
        <v>0</v>
      </c>
      <c r="AT173" s="560">
        <v>0</v>
      </c>
      <c r="AU173" s="560">
        <v>0</v>
      </c>
      <c r="AV173" s="560">
        <v>69</v>
      </c>
      <c r="AW173" s="560">
        <v>64</v>
      </c>
      <c r="AX173" s="560">
        <v>74</v>
      </c>
      <c r="AY173" s="560">
        <v>78</v>
      </c>
      <c r="AZ173" s="560">
        <v>1</v>
      </c>
      <c r="BA173" s="560">
        <v>2268</v>
      </c>
      <c r="BB173" s="560">
        <v>0</v>
      </c>
      <c r="BC173" s="560">
        <v>0.5</v>
      </c>
      <c r="BD173" s="560">
        <v>0</v>
      </c>
      <c r="BE173" s="560" t="s">
        <v>1799</v>
      </c>
      <c r="BF173" s="560">
        <v>3</v>
      </c>
      <c r="BG173" s="560">
        <v>17.399999999999999</v>
      </c>
      <c r="BH173" s="560">
        <v>1</v>
      </c>
      <c r="BI173" s="560">
        <v>2</v>
      </c>
      <c r="BJ173" s="560">
        <v>35</v>
      </c>
      <c r="BK173" s="560">
        <v>0</v>
      </c>
      <c r="BL173" s="560" t="s">
        <v>1716</v>
      </c>
      <c r="BM173" s="560">
        <v>0.06</v>
      </c>
      <c r="BN173" s="560">
        <v>300</v>
      </c>
      <c r="BO173" s="560">
        <v>4.5</v>
      </c>
      <c r="BP173" s="560" t="s">
        <v>1747</v>
      </c>
      <c r="BQ173" s="560">
        <v>0.03</v>
      </c>
      <c r="BR173" s="560">
        <v>80</v>
      </c>
      <c r="BS173" s="560">
        <v>4.9000000000000004</v>
      </c>
      <c r="BT173" s="560">
        <v>2200</v>
      </c>
      <c r="BU173" s="560">
        <v>18700</v>
      </c>
      <c r="BV173" s="560">
        <v>200</v>
      </c>
      <c r="BW173" s="560">
        <v>26.8</v>
      </c>
      <c r="BX173" s="560">
        <v>2210</v>
      </c>
      <c r="BY173" s="560">
        <v>11.4</v>
      </c>
      <c r="BZ173" s="560">
        <v>1784</v>
      </c>
      <c r="CA173" s="560">
        <v>35</v>
      </c>
      <c r="CB173" s="560">
        <v>0.85</v>
      </c>
      <c r="CC173" s="560">
        <v>91</v>
      </c>
      <c r="CD173" s="560">
        <v>91</v>
      </c>
      <c r="CE173" s="560">
        <v>91</v>
      </c>
      <c r="CF173" s="560">
        <v>91</v>
      </c>
      <c r="CG173" s="560">
        <v>0.29299999999999998</v>
      </c>
      <c r="CH173" s="560">
        <v>0.3</v>
      </c>
      <c r="CI173" s="560">
        <v>0.54</v>
      </c>
      <c r="CJ173" s="560">
        <v>40</v>
      </c>
      <c r="CK173" s="560">
        <v>5</v>
      </c>
      <c r="CL173" s="560">
        <v>1</v>
      </c>
      <c r="CM173" s="562">
        <v>1584</v>
      </c>
      <c r="CN173" s="562">
        <v>160</v>
      </c>
      <c r="CO173" s="562">
        <v>26.8</v>
      </c>
      <c r="CP173" s="562">
        <v>0</v>
      </c>
      <c r="CQ173" s="562">
        <v>0</v>
      </c>
      <c r="CR173" s="562" t="s">
        <v>1718</v>
      </c>
      <c r="CS173" s="562">
        <v>0</v>
      </c>
      <c r="CT173" s="562">
        <v>0</v>
      </c>
      <c r="CU173" s="562">
        <v>0.75</v>
      </c>
      <c r="CV173" s="562">
        <v>1</v>
      </c>
      <c r="CW173" s="562">
        <v>1.75</v>
      </c>
      <c r="CX173" s="562">
        <v>2</v>
      </c>
      <c r="CY173" s="562">
        <v>1.5</v>
      </c>
      <c r="CZ173" s="560">
        <v>2181.666667</v>
      </c>
      <c r="DA173" s="560">
        <v>11.80555556</v>
      </c>
      <c r="DB173" s="560" t="s">
        <v>1719</v>
      </c>
      <c r="DC173" s="560">
        <v>50</v>
      </c>
      <c r="DD173" s="560">
        <v>4</v>
      </c>
      <c r="DE173" s="560" t="s">
        <v>1720</v>
      </c>
      <c r="DF173" s="560">
        <v>5</v>
      </c>
      <c r="DG173" s="560">
        <v>0</v>
      </c>
      <c r="DH173" s="560">
        <v>4.5</v>
      </c>
      <c r="DI173" s="560">
        <v>4.5</v>
      </c>
      <c r="DJ173" s="560">
        <v>0</v>
      </c>
      <c r="DK173" s="560">
        <v>0</v>
      </c>
      <c r="DL173" s="560">
        <v>0</v>
      </c>
      <c r="DM173" s="560">
        <v>0</v>
      </c>
      <c r="DN173" s="560">
        <v>0</v>
      </c>
      <c r="DO173" s="560">
        <v>0</v>
      </c>
    </row>
    <row r="174" spans="1:119" hidden="1">
      <c r="A174" s="560" t="s">
        <v>891</v>
      </c>
      <c r="B174" s="560" t="s">
        <v>1713</v>
      </c>
      <c r="C174" s="560" t="s">
        <v>770</v>
      </c>
      <c r="D174" s="560">
        <v>3</v>
      </c>
      <c r="E174" s="560">
        <v>486.02175299999999</v>
      </c>
      <c r="F174" s="560">
        <v>58.682454</v>
      </c>
      <c r="G174" s="560">
        <v>4974.4274999999998</v>
      </c>
      <c r="H174" s="560">
        <v>755.94</v>
      </c>
      <c r="I174" s="560">
        <v>0.968943</v>
      </c>
      <c r="J174" s="560">
        <v>0.29063099999999997</v>
      </c>
      <c r="K174" s="560">
        <v>0.31418499999999999</v>
      </c>
      <c r="L174" s="560">
        <v>0.48452499999999998</v>
      </c>
      <c r="M174" s="560">
        <v>10825.391433000001</v>
      </c>
      <c r="N174" s="560">
        <v>13588.094666999999</v>
      </c>
      <c r="O174" s="560">
        <v>4255.7805559999997</v>
      </c>
      <c r="P174" s="560">
        <v>236.93008</v>
      </c>
      <c r="Q174" s="560">
        <v>362.24274000000003</v>
      </c>
      <c r="R174" s="560">
        <v>1583.5086839999999</v>
      </c>
      <c r="S174" s="560">
        <v>3861.5918980000001</v>
      </c>
      <c r="T174" s="560">
        <v>4675.4531960000004</v>
      </c>
      <c r="U174" s="560">
        <v>1093.6780409999999</v>
      </c>
      <c r="V174" s="560">
        <v>19.861886999999999</v>
      </c>
      <c r="W174" s="560">
        <v>1.816063</v>
      </c>
      <c r="X174" s="560">
        <v>0</v>
      </c>
      <c r="Y174" s="560">
        <v>110.83104899999999</v>
      </c>
      <c r="Z174" s="560">
        <v>484.48708199999999</v>
      </c>
      <c r="AA174" s="560">
        <v>40603.487878</v>
      </c>
      <c r="AB174" s="560">
        <v>50520.806769000003</v>
      </c>
      <c r="AC174" s="560">
        <v>32138.061321000001</v>
      </c>
      <c r="AD174" s="560">
        <v>24382.920859000002</v>
      </c>
      <c r="AE174" s="560">
        <v>780.52759700000001</v>
      </c>
      <c r="AF174" s="560">
        <v>20162.405619000001</v>
      </c>
      <c r="AG174" s="560">
        <v>26024.643208000001</v>
      </c>
      <c r="AH174" s="560">
        <v>6105.3991800000003</v>
      </c>
      <c r="AI174" s="560">
        <v>26.65</v>
      </c>
      <c r="AJ174" s="560">
        <v>826.77079100000003</v>
      </c>
      <c r="AK174" s="560">
        <v>1909.7454729999999</v>
      </c>
      <c r="AL174" s="560">
        <v>200.75</v>
      </c>
      <c r="AM174" s="560">
        <v>0</v>
      </c>
      <c r="AN174" s="560">
        <v>0</v>
      </c>
      <c r="AO174" s="560">
        <v>0</v>
      </c>
      <c r="AP174" s="560">
        <v>0</v>
      </c>
      <c r="AQ174" s="560" t="s">
        <v>891</v>
      </c>
      <c r="AR174" s="560" t="s">
        <v>1724</v>
      </c>
      <c r="AS174" s="560">
        <v>0</v>
      </c>
      <c r="AT174" s="560">
        <v>0</v>
      </c>
      <c r="AU174" s="560">
        <v>0</v>
      </c>
      <c r="AV174" s="560">
        <v>69</v>
      </c>
      <c r="AW174" s="560">
        <v>64</v>
      </c>
      <c r="AX174" s="560">
        <v>74</v>
      </c>
      <c r="AY174" s="560">
        <v>78</v>
      </c>
      <c r="AZ174" s="560">
        <v>1</v>
      </c>
      <c r="BA174" s="560">
        <v>2268</v>
      </c>
      <c r="BB174" s="560">
        <v>0</v>
      </c>
      <c r="BC174" s="560">
        <v>0.5</v>
      </c>
      <c r="BD174" s="560">
        <v>0</v>
      </c>
      <c r="BE174" s="560" t="s">
        <v>1799</v>
      </c>
      <c r="BF174" s="560">
        <v>3</v>
      </c>
      <c r="BG174" s="560">
        <v>17.399999999999999</v>
      </c>
      <c r="BH174" s="560">
        <v>1</v>
      </c>
      <c r="BI174" s="560">
        <v>2</v>
      </c>
      <c r="BJ174" s="560">
        <v>35</v>
      </c>
      <c r="BK174" s="560">
        <v>0</v>
      </c>
      <c r="BL174" s="560" t="s">
        <v>1716</v>
      </c>
      <c r="BM174" s="560">
        <v>0.06</v>
      </c>
      <c r="BN174" s="560">
        <v>300</v>
      </c>
      <c r="BO174" s="560">
        <v>4.5</v>
      </c>
      <c r="BP174" s="560" t="s">
        <v>1747</v>
      </c>
      <c r="BQ174" s="560">
        <v>0.03</v>
      </c>
      <c r="BR174" s="560">
        <v>80</v>
      </c>
      <c r="BS174" s="560">
        <v>4.9000000000000004</v>
      </c>
      <c r="BT174" s="560">
        <v>2200</v>
      </c>
      <c r="BU174" s="560">
        <v>18700</v>
      </c>
      <c r="BV174" s="560">
        <v>200</v>
      </c>
      <c r="BW174" s="560">
        <v>26.8</v>
      </c>
      <c r="BX174" s="560">
        <v>2210</v>
      </c>
      <c r="BY174" s="560">
        <v>11.4</v>
      </c>
      <c r="BZ174" s="560">
        <v>1784</v>
      </c>
      <c r="CA174" s="560">
        <v>35</v>
      </c>
      <c r="CB174" s="560">
        <v>0.85</v>
      </c>
      <c r="CC174" s="560">
        <v>91</v>
      </c>
      <c r="CD174" s="560">
        <v>91</v>
      </c>
      <c r="CE174" s="560">
        <v>91</v>
      </c>
      <c r="CF174" s="560">
        <v>91</v>
      </c>
      <c r="CG174" s="560">
        <v>0.29299999999999998</v>
      </c>
      <c r="CH174" s="560">
        <v>0.3</v>
      </c>
      <c r="CI174" s="560">
        <v>0.54</v>
      </c>
      <c r="CJ174" s="560">
        <v>40</v>
      </c>
      <c r="CK174" s="560">
        <v>5</v>
      </c>
      <c r="CL174" s="560">
        <v>1</v>
      </c>
      <c r="CM174" s="562">
        <v>1584</v>
      </c>
      <c r="CN174" s="562">
        <v>160</v>
      </c>
      <c r="CO174" s="562">
        <v>26.8</v>
      </c>
      <c r="CP174" s="562">
        <v>0</v>
      </c>
      <c r="CQ174" s="562">
        <v>0</v>
      </c>
      <c r="CR174" s="562" t="s">
        <v>1718</v>
      </c>
      <c r="CS174" s="562">
        <v>0</v>
      </c>
      <c r="CT174" s="562">
        <v>0</v>
      </c>
      <c r="CU174" s="562">
        <v>0.75</v>
      </c>
      <c r="CV174" s="562">
        <v>1</v>
      </c>
      <c r="CW174" s="562">
        <v>1.75</v>
      </c>
      <c r="CX174" s="562">
        <v>2</v>
      </c>
      <c r="CY174" s="562">
        <v>1.5</v>
      </c>
      <c r="CZ174" s="560">
        <v>2181.666667</v>
      </c>
      <c r="DA174" s="560">
        <v>11.80555556</v>
      </c>
      <c r="DB174" s="560" t="s">
        <v>1719</v>
      </c>
      <c r="DC174" s="560">
        <v>50</v>
      </c>
      <c r="DD174" s="560">
        <v>4</v>
      </c>
      <c r="DE174" s="560" t="s">
        <v>1720</v>
      </c>
      <c r="DF174" s="560">
        <v>5</v>
      </c>
      <c r="DG174" s="560">
        <v>0</v>
      </c>
      <c r="DH174" s="560">
        <v>4.5</v>
      </c>
      <c r="DI174" s="560">
        <v>4.5</v>
      </c>
      <c r="DJ174" s="560">
        <v>0</v>
      </c>
      <c r="DK174" s="560">
        <v>0</v>
      </c>
      <c r="DL174" s="560">
        <v>0</v>
      </c>
      <c r="DM174" s="560">
        <v>0</v>
      </c>
      <c r="DN174" s="560">
        <v>0</v>
      </c>
      <c r="DO174" s="560">
        <v>0</v>
      </c>
    </row>
    <row r="175" spans="1:119" hidden="1">
      <c r="A175" s="560" t="s">
        <v>892</v>
      </c>
      <c r="B175" s="560" t="s">
        <v>1713</v>
      </c>
      <c r="C175" s="560" t="s">
        <v>779</v>
      </c>
      <c r="D175" s="560">
        <v>3</v>
      </c>
      <c r="E175" s="560">
        <v>427.61718200000001</v>
      </c>
      <c r="F175" s="560">
        <v>56.615422000000002</v>
      </c>
      <c r="G175" s="560">
        <v>6644.9655000000002</v>
      </c>
      <c r="H175" s="560">
        <v>139.9665</v>
      </c>
      <c r="I175" s="560">
        <v>0.91800700000000002</v>
      </c>
      <c r="J175" s="560">
        <v>0.32153500000000002</v>
      </c>
      <c r="K175" s="560">
        <v>0.35590500000000003</v>
      </c>
      <c r="L175" s="560">
        <v>0.53140600000000004</v>
      </c>
      <c r="M175" s="560">
        <v>12735.905076999999</v>
      </c>
      <c r="N175" s="560">
        <v>16212.266196</v>
      </c>
      <c r="O175" s="560">
        <v>5491.6375260000004</v>
      </c>
      <c r="P175" s="560">
        <v>831.21610199999998</v>
      </c>
      <c r="Q175" s="560">
        <v>425.83178299999997</v>
      </c>
      <c r="R175" s="560">
        <v>2233.778354</v>
      </c>
      <c r="S175" s="560">
        <v>1357.9213709999999</v>
      </c>
      <c r="T175" s="560">
        <v>1741.0778049999999</v>
      </c>
      <c r="U175" s="560">
        <v>408.99017700000002</v>
      </c>
      <c r="V175" s="560">
        <v>41.590729000000003</v>
      </c>
      <c r="W175" s="560">
        <v>10.270829000000001</v>
      </c>
      <c r="X175" s="560">
        <v>0</v>
      </c>
      <c r="Y175" s="560">
        <v>40.341982999999999</v>
      </c>
      <c r="Z175" s="560">
        <v>211.621239</v>
      </c>
      <c r="AA175" s="560">
        <v>42660.820847000003</v>
      </c>
      <c r="AB175" s="560">
        <v>52473.612703999999</v>
      </c>
      <c r="AC175" s="560">
        <v>36492.402016</v>
      </c>
      <c r="AD175" s="560">
        <v>29977.274236000001</v>
      </c>
      <c r="AE175" s="560">
        <v>650.43966399999999</v>
      </c>
      <c r="AF175" s="560">
        <v>14017.312913</v>
      </c>
      <c r="AG175" s="560">
        <v>17435.139821000001</v>
      </c>
      <c r="AH175" s="560">
        <v>4205.9545550000003</v>
      </c>
      <c r="AI175" s="560">
        <v>42.3</v>
      </c>
      <c r="AJ175" s="560">
        <v>973.51821199999995</v>
      </c>
      <c r="AK175" s="560">
        <v>2675.1120820000001</v>
      </c>
      <c r="AL175" s="560">
        <v>200.75</v>
      </c>
      <c r="AM175" s="560">
        <v>0</v>
      </c>
      <c r="AN175" s="560">
        <v>0</v>
      </c>
      <c r="AO175" s="560">
        <v>0</v>
      </c>
      <c r="AP175" s="560">
        <v>0</v>
      </c>
      <c r="AQ175" s="560" t="s">
        <v>892</v>
      </c>
      <c r="AR175" s="560" t="s">
        <v>1729</v>
      </c>
      <c r="AS175" s="560">
        <v>0</v>
      </c>
      <c r="AT175" s="560">
        <v>0</v>
      </c>
      <c r="AU175" s="560">
        <v>0</v>
      </c>
      <c r="AV175" s="560">
        <v>69</v>
      </c>
      <c r="AW175" s="560">
        <v>64</v>
      </c>
      <c r="AX175" s="560">
        <v>74</v>
      </c>
      <c r="AY175" s="560">
        <v>78</v>
      </c>
      <c r="AZ175" s="560">
        <v>1</v>
      </c>
      <c r="BA175" s="560">
        <v>2268</v>
      </c>
      <c r="BB175" s="560">
        <v>0</v>
      </c>
      <c r="BC175" s="560">
        <v>0.5</v>
      </c>
      <c r="BD175" s="560">
        <v>0</v>
      </c>
      <c r="BE175" s="560" t="s">
        <v>1799</v>
      </c>
      <c r="BF175" s="560">
        <v>2.5</v>
      </c>
      <c r="BG175" s="560">
        <v>17.399999999999999</v>
      </c>
      <c r="BH175" s="560">
        <v>1</v>
      </c>
      <c r="BI175" s="560">
        <v>2</v>
      </c>
      <c r="BJ175" s="560">
        <v>35</v>
      </c>
      <c r="BK175" s="560">
        <v>0</v>
      </c>
      <c r="BL175" s="560" t="s">
        <v>1716</v>
      </c>
      <c r="BM175" s="560">
        <v>0.06</v>
      </c>
      <c r="BN175" s="560">
        <v>300</v>
      </c>
      <c r="BO175" s="560">
        <v>6</v>
      </c>
      <c r="BP175" s="560" t="s">
        <v>1747</v>
      </c>
      <c r="BQ175" s="560">
        <v>0.03</v>
      </c>
      <c r="BR175" s="560">
        <v>80</v>
      </c>
      <c r="BS175" s="560">
        <v>6</v>
      </c>
      <c r="BT175" s="560">
        <v>2200</v>
      </c>
      <c r="BU175" s="560">
        <v>18700</v>
      </c>
      <c r="BV175" s="560">
        <v>200</v>
      </c>
      <c r="BW175" s="560">
        <v>30.609376350000002</v>
      </c>
      <c r="BX175" s="560">
        <v>2210</v>
      </c>
      <c r="BY175" s="560">
        <v>17.543859650000002</v>
      </c>
      <c r="BZ175" s="560">
        <v>1784</v>
      </c>
      <c r="CA175" s="560">
        <v>37.664196859999997</v>
      </c>
      <c r="CB175" s="560">
        <v>0.85</v>
      </c>
      <c r="CC175" s="560">
        <v>91</v>
      </c>
      <c r="CD175" s="560">
        <v>91</v>
      </c>
      <c r="CE175" s="560">
        <v>91</v>
      </c>
      <c r="CF175" s="560">
        <v>91</v>
      </c>
      <c r="CG175" s="560">
        <v>0.29299999999999998</v>
      </c>
      <c r="CH175" s="560">
        <v>0.3</v>
      </c>
      <c r="CI175" s="560">
        <v>0.54</v>
      </c>
      <c r="CJ175" s="560">
        <v>40</v>
      </c>
      <c r="CK175" s="560">
        <v>5</v>
      </c>
      <c r="CL175" s="560">
        <v>1</v>
      </c>
      <c r="CM175" s="562">
        <v>1584</v>
      </c>
      <c r="CN175" s="562">
        <v>160</v>
      </c>
      <c r="CO175" s="562">
        <v>30.609376350000002</v>
      </c>
      <c r="CP175" s="562">
        <v>0</v>
      </c>
      <c r="CQ175" s="562">
        <v>0</v>
      </c>
      <c r="CR175" s="562" t="s">
        <v>1718</v>
      </c>
      <c r="CS175" s="562">
        <v>0</v>
      </c>
      <c r="CT175" s="562">
        <v>0</v>
      </c>
      <c r="CU175" s="562">
        <v>0.75</v>
      </c>
      <c r="CV175" s="562">
        <v>1</v>
      </c>
      <c r="CW175" s="562">
        <v>1.75</v>
      </c>
      <c r="CX175" s="562">
        <v>2</v>
      </c>
      <c r="CY175" s="562">
        <v>1.5</v>
      </c>
      <c r="CZ175" s="560">
        <v>2181.666667</v>
      </c>
      <c r="DA175" s="560">
        <v>11.80555556</v>
      </c>
      <c r="DB175" s="560" t="s">
        <v>1719</v>
      </c>
      <c r="DC175" s="560">
        <v>50</v>
      </c>
      <c r="DD175" s="560">
        <v>4</v>
      </c>
      <c r="DE175" s="560" t="s">
        <v>1720</v>
      </c>
      <c r="DF175" s="560">
        <v>5</v>
      </c>
      <c r="DG175" s="560">
        <v>0</v>
      </c>
      <c r="DH175" s="560">
        <v>4.5</v>
      </c>
      <c r="DI175" s="560">
        <v>4.5</v>
      </c>
      <c r="DJ175" s="560">
        <v>0</v>
      </c>
      <c r="DK175" s="560">
        <v>0</v>
      </c>
      <c r="DL175" s="560">
        <v>0</v>
      </c>
      <c r="DM175" s="560">
        <v>0</v>
      </c>
      <c r="DN175" s="560">
        <v>0</v>
      </c>
      <c r="DO175" s="560">
        <v>0</v>
      </c>
    </row>
    <row r="176" spans="1:119" hidden="1">
      <c r="A176" s="560" t="s">
        <v>893</v>
      </c>
      <c r="B176" s="560" t="s">
        <v>1713</v>
      </c>
      <c r="C176" s="560" t="s">
        <v>782</v>
      </c>
      <c r="D176" s="560">
        <v>3</v>
      </c>
      <c r="E176" s="560">
        <v>427.61718200000001</v>
      </c>
      <c r="F176" s="560">
        <v>56.615422000000002</v>
      </c>
      <c r="G176" s="560">
        <v>6644.9655000000002</v>
      </c>
      <c r="H176" s="560">
        <v>391.60199999999998</v>
      </c>
      <c r="I176" s="560">
        <v>0.91800700000000002</v>
      </c>
      <c r="J176" s="560">
        <v>0.32153500000000002</v>
      </c>
      <c r="K176" s="560">
        <v>0.35590500000000003</v>
      </c>
      <c r="L176" s="560">
        <v>0.53140600000000004</v>
      </c>
      <c r="M176" s="560">
        <v>12735.905076999999</v>
      </c>
      <c r="N176" s="560">
        <v>16212.266196</v>
      </c>
      <c r="O176" s="560">
        <v>5491.6375260000004</v>
      </c>
      <c r="P176" s="560">
        <v>831.21610199999998</v>
      </c>
      <c r="Q176" s="560">
        <v>425.83178299999997</v>
      </c>
      <c r="R176" s="560">
        <v>2233.778354</v>
      </c>
      <c r="S176" s="560">
        <v>2434.231679</v>
      </c>
      <c r="T176" s="560">
        <v>3001.0223799999999</v>
      </c>
      <c r="U176" s="560">
        <v>701.89637300000004</v>
      </c>
      <c r="V176" s="560">
        <v>37.731546999999999</v>
      </c>
      <c r="W176" s="560">
        <v>5.5530189999999999</v>
      </c>
      <c r="X176" s="560">
        <v>0</v>
      </c>
      <c r="Y176" s="560">
        <v>70.352287000000004</v>
      </c>
      <c r="Z176" s="560">
        <v>369.04576700000001</v>
      </c>
      <c r="AA176" s="560">
        <v>42660.820847000003</v>
      </c>
      <c r="AB176" s="560">
        <v>52473.612703999999</v>
      </c>
      <c r="AC176" s="560">
        <v>36492.402016</v>
      </c>
      <c r="AD176" s="560">
        <v>29977.274236000001</v>
      </c>
      <c r="AE176" s="560">
        <v>650.43966399999999</v>
      </c>
      <c r="AF176" s="560">
        <v>17792.689514000002</v>
      </c>
      <c r="AG176" s="560">
        <v>23583.938455</v>
      </c>
      <c r="AH176" s="560">
        <v>5442.798785</v>
      </c>
      <c r="AI176" s="560">
        <v>42.3</v>
      </c>
      <c r="AJ176" s="560">
        <v>973.51821199999995</v>
      </c>
      <c r="AK176" s="560">
        <v>2675.1120820000001</v>
      </c>
      <c r="AL176" s="560">
        <v>200.75</v>
      </c>
      <c r="AM176" s="560">
        <v>0</v>
      </c>
      <c r="AN176" s="560">
        <v>0</v>
      </c>
      <c r="AO176" s="560">
        <v>0</v>
      </c>
      <c r="AP176" s="560">
        <v>0</v>
      </c>
      <c r="AQ176" s="560" t="s">
        <v>893</v>
      </c>
      <c r="AR176" s="560" t="s">
        <v>1731</v>
      </c>
      <c r="AS176" s="560">
        <v>0</v>
      </c>
      <c r="AT176" s="560">
        <v>0</v>
      </c>
      <c r="AU176" s="560">
        <v>0</v>
      </c>
      <c r="AV176" s="560">
        <v>69</v>
      </c>
      <c r="AW176" s="560">
        <v>64</v>
      </c>
      <c r="AX176" s="560">
        <v>74</v>
      </c>
      <c r="AY176" s="560">
        <v>78</v>
      </c>
      <c r="AZ176" s="560">
        <v>1</v>
      </c>
      <c r="BA176" s="560">
        <v>2268</v>
      </c>
      <c r="BB176" s="560">
        <v>0</v>
      </c>
      <c r="BC176" s="560">
        <v>0.5</v>
      </c>
      <c r="BD176" s="560">
        <v>0</v>
      </c>
      <c r="BE176" s="560" t="s">
        <v>1799</v>
      </c>
      <c r="BF176" s="560">
        <v>2.5</v>
      </c>
      <c r="BG176" s="560">
        <v>17.399999999999999</v>
      </c>
      <c r="BH176" s="560">
        <v>1</v>
      </c>
      <c r="BI176" s="560">
        <v>2</v>
      </c>
      <c r="BJ176" s="560">
        <v>35</v>
      </c>
      <c r="BK176" s="560">
        <v>0</v>
      </c>
      <c r="BL176" s="560" t="s">
        <v>1716</v>
      </c>
      <c r="BM176" s="560">
        <v>0.06</v>
      </c>
      <c r="BN176" s="560">
        <v>300</v>
      </c>
      <c r="BO176" s="560">
        <v>6</v>
      </c>
      <c r="BP176" s="560" t="s">
        <v>1747</v>
      </c>
      <c r="BQ176" s="560">
        <v>0.03</v>
      </c>
      <c r="BR176" s="560">
        <v>80</v>
      </c>
      <c r="BS176" s="560">
        <v>6</v>
      </c>
      <c r="BT176" s="560">
        <v>2200</v>
      </c>
      <c r="BU176" s="560">
        <v>18700</v>
      </c>
      <c r="BV176" s="560">
        <v>200</v>
      </c>
      <c r="BW176" s="560">
        <v>30.609376350000002</v>
      </c>
      <c r="BX176" s="560">
        <v>2210</v>
      </c>
      <c r="BY176" s="560">
        <v>17.543859650000002</v>
      </c>
      <c r="BZ176" s="560">
        <v>1784</v>
      </c>
      <c r="CA176" s="560">
        <v>37.664196859999997</v>
      </c>
      <c r="CB176" s="560">
        <v>0.85</v>
      </c>
      <c r="CC176" s="560">
        <v>91</v>
      </c>
      <c r="CD176" s="560">
        <v>91</v>
      </c>
      <c r="CE176" s="560">
        <v>91</v>
      </c>
      <c r="CF176" s="560">
        <v>91</v>
      </c>
      <c r="CG176" s="560">
        <v>0.29299999999999998</v>
      </c>
      <c r="CH176" s="560">
        <v>0.3</v>
      </c>
      <c r="CI176" s="560">
        <v>0.54</v>
      </c>
      <c r="CJ176" s="560">
        <v>40</v>
      </c>
      <c r="CK176" s="560">
        <v>5</v>
      </c>
      <c r="CL176" s="560">
        <v>1</v>
      </c>
      <c r="CM176" s="562">
        <v>1584</v>
      </c>
      <c r="CN176" s="562">
        <v>160</v>
      </c>
      <c r="CO176" s="562">
        <v>30.609376350000002</v>
      </c>
      <c r="CP176" s="562">
        <v>0</v>
      </c>
      <c r="CQ176" s="562">
        <v>0</v>
      </c>
      <c r="CR176" s="562" t="s">
        <v>1718</v>
      </c>
      <c r="CS176" s="562">
        <v>0</v>
      </c>
      <c r="CT176" s="562">
        <v>0</v>
      </c>
      <c r="CU176" s="562">
        <v>0.75</v>
      </c>
      <c r="CV176" s="562">
        <v>1</v>
      </c>
      <c r="CW176" s="562">
        <v>1.75</v>
      </c>
      <c r="CX176" s="562">
        <v>2</v>
      </c>
      <c r="CY176" s="562">
        <v>1.5</v>
      </c>
      <c r="CZ176" s="560">
        <v>2181.666667</v>
      </c>
      <c r="DA176" s="560">
        <v>11.80555556</v>
      </c>
      <c r="DB176" s="560" t="s">
        <v>1719</v>
      </c>
      <c r="DC176" s="560">
        <v>50</v>
      </c>
      <c r="DD176" s="560">
        <v>4</v>
      </c>
      <c r="DE176" s="560" t="s">
        <v>1720</v>
      </c>
      <c r="DF176" s="560">
        <v>5</v>
      </c>
      <c r="DG176" s="560">
        <v>0</v>
      </c>
      <c r="DH176" s="560">
        <v>4.5</v>
      </c>
      <c r="DI176" s="560">
        <v>4.5</v>
      </c>
      <c r="DJ176" s="560">
        <v>0</v>
      </c>
      <c r="DK176" s="560">
        <v>0</v>
      </c>
      <c r="DL176" s="560">
        <v>0</v>
      </c>
      <c r="DM176" s="560">
        <v>0</v>
      </c>
      <c r="DN176" s="560">
        <v>0</v>
      </c>
      <c r="DO176" s="560">
        <v>0</v>
      </c>
    </row>
    <row r="177" spans="1:119" hidden="1">
      <c r="A177" s="560" t="s">
        <v>894</v>
      </c>
      <c r="B177" s="560" t="s">
        <v>1713</v>
      </c>
      <c r="C177" s="560" t="s">
        <v>785</v>
      </c>
      <c r="D177" s="560">
        <v>3</v>
      </c>
      <c r="E177" s="560">
        <v>427.61718200000001</v>
      </c>
      <c r="F177" s="560">
        <v>56.615422000000002</v>
      </c>
      <c r="G177" s="560">
        <v>6644.9655000000002</v>
      </c>
      <c r="H177" s="560">
        <v>755.94</v>
      </c>
      <c r="I177" s="560">
        <v>0.91800700000000002</v>
      </c>
      <c r="J177" s="560">
        <v>0.32153500000000002</v>
      </c>
      <c r="K177" s="560">
        <v>0.35590500000000003</v>
      </c>
      <c r="L177" s="560">
        <v>0.53140600000000004</v>
      </c>
      <c r="M177" s="560">
        <v>12735.905076999999</v>
      </c>
      <c r="N177" s="560">
        <v>16212.266196</v>
      </c>
      <c r="O177" s="560">
        <v>5491.6375260000004</v>
      </c>
      <c r="P177" s="560">
        <v>831.21610199999998</v>
      </c>
      <c r="Q177" s="560">
        <v>425.83178299999997</v>
      </c>
      <c r="R177" s="560">
        <v>2233.778354</v>
      </c>
      <c r="S177" s="560">
        <v>3737.2200680000001</v>
      </c>
      <c r="T177" s="560">
        <v>4493.7282009999999</v>
      </c>
      <c r="U177" s="560">
        <v>1048.3913150000001</v>
      </c>
      <c r="V177" s="560">
        <v>18.841605999999999</v>
      </c>
      <c r="W177" s="560">
        <v>1.7971919999999999</v>
      </c>
      <c r="X177" s="560">
        <v>0</v>
      </c>
      <c r="Y177" s="560">
        <v>106.60243199999999</v>
      </c>
      <c r="Z177" s="560">
        <v>559.20251800000005</v>
      </c>
      <c r="AA177" s="560">
        <v>42660.820847000003</v>
      </c>
      <c r="AB177" s="560">
        <v>52473.612703999999</v>
      </c>
      <c r="AC177" s="560">
        <v>36492.402016</v>
      </c>
      <c r="AD177" s="560">
        <v>29977.274236000001</v>
      </c>
      <c r="AE177" s="560">
        <v>650.43966399999999</v>
      </c>
      <c r="AF177" s="560">
        <v>18246.658380000001</v>
      </c>
      <c r="AG177" s="560">
        <v>23342.095249000002</v>
      </c>
      <c r="AH177" s="560">
        <v>5486.7561269999997</v>
      </c>
      <c r="AI177" s="560">
        <v>42.3</v>
      </c>
      <c r="AJ177" s="560">
        <v>973.51821199999995</v>
      </c>
      <c r="AK177" s="560">
        <v>2675.1120820000001</v>
      </c>
      <c r="AL177" s="560">
        <v>200.75</v>
      </c>
      <c r="AM177" s="560">
        <v>0</v>
      </c>
      <c r="AN177" s="560">
        <v>0</v>
      </c>
      <c r="AO177" s="560">
        <v>0</v>
      </c>
      <c r="AP177" s="560">
        <v>0</v>
      </c>
      <c r="AQ177" s="560" t="s">
        <v>894</v>
      </c>
      <c r="AR177" s="560" t="s">
        <v>1733</v>
      </c>
      <c r="AS177" s="560">
        <v>0</v>
      </c>
      <c r="AT177" s="560">
        <v>0</v>
      </c>
      <c r="AU177" s="560">
        <v>0</v>
      </c>
      <c r="AV177" s="560">
        <v>69</v>
      </c>
      <c r="AW177" s="560">
        <v>64</v>
      </c>
      <c r="AX177" s="560">
        <v>74</v>
      </c>
      <c r="AY177" s="560">
        <v>78</v>
      </c>
      <c r="AZ177" s="560">
        <v>1</v>
      </c>
      <c r="BA177" s="560">
        <v>2268</v>
      </c>
      <c r="BB177" s="560">
        <v>0</v>
      </c>
      <c r="BC177" s="560">
        <v>0.5</v>
      </c>
      <c r="BD177" s="560">
        <v>0</v>
      </c>
      <c r="BE177" s="560" t="s">
        <v>1799</v>
      </c>
      <c r="BF177" s="560">
        <v>2.5</v>
      </c>
      <c r="BG177" s="560">
        <v>17.399999999999999</v>
      </c>
      <c r="BH177" s="560">
        <v>1</v>
      </c>
      <c r="BI177" s="560">
        <v>2</v>
      </c>
      <c r="BJ177" s="560">
        <v>35</v>
      </c>
      <c r="BK177" s="560">
        <v>0</v>
      </c>
      <c r="BL177" s="560" t="s">
        <v>1716</v>
      </c>
      <c r="BM177" s="560">
        <v>0.06</v>
      </c>
      <c r="BN177" s="560">
        <v>300</v>
      </c>
      <c r="BO177" s="560">
        <v>6</v>
      </c>
      <c r="BP177" s="560" t="s">
        <v>1747</v>
      </c>
      <c r="BQ177" s="560">
        <v>0.03</v>
      </c>
      <c r="BR177" s="560">
        <v>80</v>
      </c>
      <c r="BS177" s="560">
        <v>6</v>
      </c>
      <c r="BT177" s="560">
        <v>2200</v>
      </c>
      <c r="BU177" s="560">
        <v>18700</v>
      </c>
      <c r="BV177" s="560">
        <v>200</v>
      </c>
      <c r="BW177" s="560">
        <v>30.609376350000002</v>
      </c>
      <c r="BX177" s="560">
        <v>2210</v>
      </c>
      <c r="BY177" s="560">
        <v>17.543859650000002</v>
      </c>
      <c r="BZ177" s="560">
        <v>1784</v>
      </c>
      <c r="CA177" s="560">
        <v>37.664196859999997</v>
      </c>
      <c r="CB177" s="560">
        <v>0.85</v>
      </c>
      <c r="CC177" s="560">
        <v>91</v>
      </c>
      <c r="CD177" s="560">
        <v>91</v>
      </c>
      <c r="CE177" s="560">
        <v>91</v>
      </c>
      <c r="CF177" s="560">
        <v>91</v>
      </c>
      <c r="CG177" s="560">
        <v>0.29299999999999998</v>
      </c>
      <c r="CH177" s="560">
        <v>0.3</v>
      </c>
      <c r="CI177" s="560">
        <v>0.54</v>
      </c>
      <c r="CJ177" s="560">
        <v>40</v>
      </c>
      <c r="CK177" s="560">
        <v>5</v>
      </c>
      <c r="CL177" s="560">
        <v>1</v>
      </c>
      <c r="CM177" s="562">
        <v>1584</v>
      </c>
      <c r="CN177" s="562">
        <v>160</v>
      </c>
      <c r="CO177" s="562">
        <v>30.609376350000002</v>
      </c>
      <c r="CP177" s="562">
        <v>0</v>
      </c>
      <c r="CQ177" s="562">
        <v>0</v>
      </c>
      <c r="CR177" s="562" t="s">
        <v>1718</v>
      </c>
      <c r="CS177" s="562">
        <v>0</v>
      </c>
      <c r="CT177" s="562">
        <v>0</v>
      </c>
      <c r="CU177" s="562">
        <v>0.75</v>
      </c>
      <c r="CV177" s="562">
        <v>1</v>
      </c>
      <c r="CW177" s="562">
        <v>1.75</v>
      </c>
      <c r="CX177" s="562">
        <v>2</v>
      </c>
      <c r="CY177" s="562">
        <v>1.5</v>
      </c>
      <c r="CZ177" s="560">
        <v>2181.666667</v>
      </c>
      <c r="DA177" s="560">
        <v>11.80555556</v>
      </c>
      <c r="DB177" s="560" t="s">
        <v>1719</v>
      </c>
      <c r="DC177" s="560">
        <v>50</v>
      </c>
      <c r="DD177" s="560">
        <v>4</v>
      </c>
      <c r="DE177" s="560" t="s">
        <v>1720</v>
      </c>
      <c r="DF177" s="560">
        <v>5</v>
      </c>
      <c r="DG177" s="560">
        <v>0</v>
      </c>
      <c r="DH177" s="560">
        <v>4.5</v>
      </c>
      <c r="DI177" s="560">
        <v>4.5</v>
      </c>
      <c r="DJ177" s="560">
        <v>0</v>
      </c>
      <c r="DK177" s="560">
        <v>0</v>
      </c>
      <c r="DL177" s="560">
        <v>0</v>
      </c>
      <c r="DM177" s="560">
        <v>0</v>
      </c>
      <c r="DN177" s="560">
        <v>0</v>
      </c>
      <c r="DO177" s="560">
        <v>0</v>
      </c>
    </row>
    <row r="178" spans="1:119" hidden="1">
      <c r="A178" s="560" t="s">
        <v>895</v>
      </c>
      <c r="B178" s="560" t="s">
        <v>1713</v>
      </c>
      <c r="C178" s="560" t="s">
        <v>779</v>
      </c>
      <c r="D178" s="560">
        <v>3</v>
      </c>
      <c r="E178" s="560">
        <v>493.49480499999999</v>
      </c>
      <c r="F178" s="560">
        <v>57.583308000000002</v>
      </c>
      <c r="G178" s="560">
        <v>6644.9655000000002</v>
      </c>
      <c r="H178" s="560">
        <v>139.9665</v>
      </c>
      <c r="I178" s="560">
        <v>0.91800700000000002</v>
      </c>
      <c r="J178" s="560">
        <v>0.32853599999999999</v>
      </c>
      <c r="K178" s="560">
        <v>0.35564699999999999</v>
      </c>
      <c r="L178" s="560">
        <v>0.55575399999999997</v>
      </c>
      <c r="M178" s="560">
        <v>15337.842139</v>
      </c>
      <c r="N178" s="560">
        <v>19647.446819000001</v>
      </c>
      <c r="O178" s="560">
        <v>6298.9215059999997</v>
      </c>
      <c r="P178" s="560">
        <v>679.06816100000003</v>
      </c>
      <c r="Q178" s="560">
        <v>512.01037299999996</v>
      </c>
      <c r="R178" s="560">
        <v>2238.2032370000002</v>
      </c>
      <c r="S178" s="560">
        <v>1310.9937030000001</v>
      </c>
      <c r="T178" s="560">
        <v>1691.044144</v>
      </c>
      <c r="U178" s="560">
        <v>398.39023700000001</v>
      </c>
      <c r="V178" s="560">
        <v>40.772373999999999</v>
      </c>
      <c r="W178" s="560">
        <v>10.377257</v>
      </c>
      <c r="X178" s="560">
        <v>0</v>
      </c>
      <c r="Y178" s="560">
        <v>39.177999</v>
      </c>
      <c r="Z178" s="560">
        <v>171.262789</v>
      </c>
      <c r="AA178" s="560">
        <v>45991.499432999997</v>
      </c>
      <c r="AB178" s="560">
        <v>57548.837686999999</v>
      </c>
      <c r="AC178" s="560">
        <v>37744.924422999997</v>
      </c>
      <c r="AD178" s="560">
        <v>29926.512661000001</v>
      </c>
      <c r="AE178" s="560">
        <v>780.52759700000001</v>
      </c>
      <c r="AF178" s="560">
        <v>15392.253127</v>
      </c>
      <c r="AG178" s="560">
        <v>19209.127575999999</v>
      </c>
      <c r="AH178" s="560">
        <v>4656.9775840000002</v>
      </c>
      <c r="AI178" s="560">
        <v>21.1</v>
      </c>
      <c r="AJ178" s="560">
        <v>1146.123979</v>
      </c>
      <c r="AK178" s="560">
        <v>2642.8490259999999</v>
      </c>
      <c r="AL178" s="560">
        <v>200.75</v>
      </c>
      <c r="AM178" s="560">
        <v>0</v>
      </c>
      <c r="AN178" s="560">
        <v>0</v>
      </c>
      <c r="AO178" s="560">
        <v>0</v>
      </c>
      <c r="AP178" s="560">
        <v>0</v>
      </c>
      <c r="AQ178" s="560" t="s">
        <v>895</v>
      </c>
      <c r="AR178" s="560" t="s">
        <v>1729</v>
      </c>
      <c r="AS178" s="560">
        <v>0</v>
      </c>
      <c r="AT178" s="560">
        <v>0</v>
      </c>
      <c r="AU178" s="560">
        <v>0</v>
      </c>
      <c r="AV178" s="560">
        <v>69</v>
      </c>
      <c r="AW178" s="560">
        <v>64</v>
      </c>
      <c r="AX178" s="560">
        <v>74</v>
      </c>
      <c r="AY178" s="560">
        <v>78</v>
      </c>
      <c r="AZ178" s="560">
        <v>1</v>
      </c>
      <c r="BA178" s="560">
        <v>2268</v>
      </c>
      <c r="BB178" s="560">
        <v>0</v>
      </c>
      <c r="BC178" s="560">
        <v>0.5</v>
      </c>
      <c r="BD178" s="560">
        <v>0</v>
      </c>
      <c r="BE178" s="560" t="s">
        <v>1799</v>
      </c>
      <c r="BF178" s="560">
        <v>3</v>
      </c>
      <c r="BG178" s="560">
        <v>17.399999999999999</v>
      </c>
      <c r="BH178" s="560">
        <v>1</v>
      </c>
      <c r="BI178" s="560">
        <v>2</v>
      </c>
      <c r="BJ178" s="560">
        <v>35</v>
      </c>
      <c r="BK178" s="560">
        <v>0</v>
      </c>
      <c r="BL178" s="560" t="s">
        <v>1716</v>
      </c>
      <c r="BM178" s="560">
        <v>0.06</v>
      </c>
      <c r="BN178" s="560">
        <v>300</v>
      </c>
      <c r="BO178" s="560">
        <v>4.5</v>
      </c>
      <c r="BP178" s="560" t="s">
        <v>1747</v>
      </c>
      <c r="BQ178" s="560">
        <v>0.03</v>
      </c>
      <c r="BR178" s="560">
        <v>80</v>
      </c>
      <c r="BS178" s="560">
        <v>4.9000000000000004</v>
      </c>
      <c r="BT178" s="560">
        <v>2200</v>
      </c>
      <c r="BU178" s="560">
        <v>18700</v>
      </c>
      <c r="BV178" s="560">
        <v>200</v>
      </c>
      <c r="BW178" s="560">
        <v>26.8</v>
      </c>
      <c r="BX178" s="560">
        <v>2210</v>
      </c>
      <c r="BY178" s="560">
        <v>11.4</v>
      </c>
      <c r="BZ178" s="560">
        <v>1784</v>
      </c>
      <c r="CA178" s="560">
        <v>35</v>
      </c>
      <c r="CB178" s="560">
        <v>0.85</v>
      </c>
      <c r="CC178" s="560">
        <v>91</v>
      </c>
      <c r="CD178" s="560">
        <v>91</v>
      </c>
      <c r="CE178" s="560">
        <v>91</v>
      </c>
      <c r="CF178" s="560">
        <v>91</v>
      </c>
      <c r="CG178" s="560">
        <v>0.29299999999999998</v>
      </c>
      <c r="CH178" s="560">
        <v>0.3</v>
      </c>
      <c r="CI178" s="560">
        <v>0.54</v>
      </c>
      <c r="CJ178" s="560">
        <v>40</v>
      </c>
      <c r="CK178" s="560">
        <v>5</v>
      </c>
      <c r="CL178" s="560">
        <v>1</v>
      </c>
      <c r="CM178" s="562">
        <v>1584</v>
      </c>
      <c r="CN178" s="562">
        <v>160</v>
      </c>
      <c r="CO178" s="562">
        <v>26.8</v>
      </c>
      <c r="CP178" s="562">
        <v>0</v>
      </c>
      <c r="CQ178" s="562">
        <v>0</v>
      </c>
      <c r="CR178" s="562" t="s">
        <v>1718</v>
      </c>
      <c r="CS178" s="562">
        <v>0</v>
      </c>
      <c r="CT178" s="562">
        <v>0</v>
      </c>
      <c r="CU178" s="562">
        <v>0.75</v>
      </c>
      <c r="CV178" s="562">
        <v>1</v>
      </c>
      <c r="CW178" s="562">
        <v>1.75</v>
      </c>
      <c r="CX178" s="562">
        <v>2</v>
      </c>
      <c r="CY178" s="562">
        <v>1.5</v>
      </c>
      <c r="CZ178" s="560">
        <v>2181.666667</v>
      </c>
      <c r="DA178" s="560">
        <v>11.80555556</v>
      </c>
      <c r="DB178" s="560" t="s">
        <v>1719</v>
      </c>
      <c r="DC178" s="560">
        <v>50</v>
      </c>
      <c r="DD178" s="560">
        <v>4</v>
      </c>
      <c r="DE178" s="560" t="s">
        <v>1720</v>
      </c>
      <c r="DF178" s="560">
        <v>5</v>
      </c>
      <c r="DG178" s="560">
        <v>0</v>
      </c>
      <c r="DH178" s="560">
        <v>4.5</v>
      </c>
      <c r="DI178" s="560">
        <v>4.5</v>
      </c>
      <c r="DJ178" s="560">
        <v>0</v>
      </c>
      <c r="DK178" s="560">
        <v>0</v>
      </c>
      <c r="DL178" s="560">
        <v>0</v>
      </c>
      <c r="DM178" s="560">
        <v>0</v>
      </c>
      <c r="DN178" s="560">
        <v>0</v>
      </c>
      <c r="DO178" s="560">
        <v>0</v>
      </c>
    </row>
    <row r="179" spans="1:119" hidden="1">
      <c r="A179" s="560" t="s">
        <v>896</v>
      </c>
      <c r="B179" s="560" t="s">
        <v>1713</v>
      </c>
      <c r="C179" s="560" t="s">
        <v>782</v>
      </c>
      <c r="D179" s="560">
        <v>3</v>
      </c>
      <c r="E179" s="560">
        <v>493.49480499999999</v>
      </c>
      <c r="F179" s="560">
        <v>57.583308000000002</v>
      </c>
      <c r="G179" s="560">
        <v>6644.9655000000002</v>
      </c>
      <c r="H179" s="560">
        <v>391.60199999999998</v>
      </c>
      <c r="I179" s="560">
        <v>0.91800700000000002</v>
      </c>
      <c r="J179" s="560">
        <v>0.32853599999999999</v>
      </c>
      <c r="K179" s="560">
        <v>0.35564699999999999</v>
      </c>
      <c r="L179" s="560">
        <v>0.55575399999999997</v>
      </c>
      <c r="M179" s="560">
        <v>15337.842139</v>
      </c>
      <c r="N179" s="560">
        <v>19647.446819000001</v>
      </c>
      <c r="O179" s="560">
        <v>6298.9215059999997</v>
      </c>
      <c r="P179" s="560">
        <v>679.06816100000003</v>
      </c>
      <c r="Q179" s="560">
        <v>512.01037299999996</v>
      </c>
      <c r="R179" s="560">
        <v>2238.2032370000002</v>
      </c>
      <c r="S179" s="560">
        <v>2462.513688</v>
      </c>
      <c r="T179" s="560">
        <v>3052.934311</v>
      </c>
      <c r="U179" s="560">
        <v>715.96745099999998</v>
      </c>
      <c r="V179" s="560">
        <v>38.266112999999997</v>
      </c>
      <c r="W179" s="560">
        <v>5.5664720000000001</v>
      </c>
      <c r="X179" s="560">
        <v>0</v>
      </c>
      <c r="Y179" s="560">
        <v>71.538732999999993</v>
      </c>
      <c r="Z179" s="560">
        <v>312.72457100000003</v>
      </c>
      <c r="AA179" s="560">
        <v>45991.499432999997</v>
      </c>
      <c r="AB179" s="560">
        <v>57548.837686999999</v>
      </c>
      <c r="AC179" s="560">
        <v>37744.924422999997</v>
      </c>
      <c r="AD179" s="560">
        <v>29926.512661000001</v>
      </c>
      <c r="AE179" s="560">
        <v>780.52759700000001</v>
      </c>
      <c r="AF179" s="560">
        <v>19645.746405000002</v>
      </c>
      <c r="AG179" s="560">
        <v>26307.404821</v>
      </c>
      <c r="AH179" s="560">
        <v>6088.1744660000004</v>
      </c>
      <c r="AI179" s="560">
        <v>21.1</v>
      </c>
      <c r="AJ179" s="560">
        <v>1146.123979</v>
      </c>
      <c r="AK179" s="560">
        <v>2642.8490259999999</v>
      </c>
      <c r="AL179" s="560">
        <v>200.75</v>
      </c>
      <c r="AM179" s="560">
        <v>0</v>
      </c>
      <c r="AN179" s="560">
        <v>0</v>
      </c>
      <c r="AO179" s="560">
        <v>0</v>
      </c>
      <c r="AP179" s="560">
        <v>0</v>
      </c>
      <c r="AQ179" s="560" t="s">
        <v>896</v>
      </c>
      <c r="AR179" s="560" t="s">
        <v>1731</v>
      </c>
      <c r="AS179" s="560">
        <v>0</v>
      </c>
      <c r="AT179" s="560">
        <v>0</v>
      </c>
      <c r="AU179" s="560">
        <v>0</v>
      </c>
      <c r="AV179" s="560">
        <v>69</v>
      </c>
      <c r="AW179" s="560">
        <v>64</v>
      </c>
      <c r="AX179" s="560">
        <v>74</v>
      </c>
      <c r="AY179" s="560">
        <v>78</v>
      </c>
      <c r="AZ179" s="560">
        <v>1</v>
      </c>
      <c r="BA179" s="560">
        <v>2268</v>
      </c>
      <c r="BB179" s="560">
        <v>0</v>
      </c>
      <c r="BC179" s="560">
        <v>0.5</v>
      </c>
      <c r="BD179" s="560">
        <v>0</v>
      </c>
      <c r="BE179" s="560" t="s">
        <v>1799</v>
      </c>
      <c r="BF179" s="560">
        <v>3</v>
      </c>
      <c r="BG179" s="560">
        <v>17.399999999999999</v>
      </c>
      <c r="BH179" s="560">
        <v>1</v>
      </c>
      <c r="BI179" s="560">
        <v>2</v>
      </c>
      <c r="BJ179" s="560">
        <v>35</v>
      </c>
      <c r="BK179" s="560">
        <v>0</v>
      </c>
      <c r="BL179" s="560" t="s">
        <v>1716</v>
      </c>
      <c r="BM179" s="560">
        <v>0.06</v>
      </c>
      <c r="BN179" s="560">
        <v>300</v>
      </c>
      <c r="BO179" s="560">
        <v>4.5</v>
      </c>
      <c r="BP179" s="560" t="s">
        <v>1747</v>
      </c>
      <c r="BQ179" s="560">
        <v>0.03</v>
      </c>
      <c r="BR179" s="560">
        <v>80</v>
      </c>
      <c r="BS179" s="560">
        <v>4.9000000000000004</v>
      </c>
      <c r="BT179" s="560">
        <v>2200</v>
      </c>
      <c r="BU179" s="560">
        <v>18700</v>
      </c>
      <c r="BV179" s="560">
        <v>200</v>
      </c>
      <c r="BW179" s="560">
        <v>26.8</v>
      </c>
      <c r="BX179" s="560">
        <v>2210</v>
      </c>
      <c r="BY179" s="560">
        <v>11.4</v>
      </c>
      <c r="BZ179" s="560">
        <v>1784</v>
      </c>
      <c r="CA179" s="560">
        <v>35</v>
      </c>
      <c r="CB179" s="560">
        <v>0.85</v>
      </c>
      <c r="CC179" s="560">
        <v>91</v>
      </c>
      <c r="CD179" s="560">
        <v>91</v>
      </c>
      <c r="CE179" s="560">
        <v>91</v>
      </c>
      <c r="CF179" s="560">
        <v>91</v>
      </c>
      <c r="CG179" s="560">
        <v>0.29299999999999998</v>
      </c>
      <c r="CH179" s="560">
        <v>0.3</v>
      </c>
      <c r="CI179" s="560">
        <v>0.54</v>
      </c>
      <c r="CJ179" s="560">
        <v>40</v>
      </c>
      <c r="CK179" s="560">
        <v>5</v>
      </c>
      <c r="CL179" s="560">
        <v>1</v>
      </c>
      <c r="CM179" s="562">
        <v>1584</v>
      </c>
      <c r="CN179" s="562">
        <v>160</v>
      </c>
      <c r="CO179" s="562">
        <v>26.8</v>
      </c>
      <c r="CP179" s="562">
        <v>0</v>
      </c>
      <c r="CQ179" s="562">
        <v>0</v>
      </c>
      <c r="CR179" s="562" t="s">
        <v>1718</v>
      </c>
      <c r="CS179" s="562">
        <v>0</v>
      </c>
      <c r="CT179" s="562">
        <v>0</v>
      </c>
      <c r="CU179" s="562">
        <v>0.75</v>
      </c>
      <c r="CV179" s="562">
        <v>1</v>
      </c>
      <c r="CW179" s="562">
        <v>1.75</v>
      </c>
      <c r="CX179" s="562">
        <v>2</v>
      </c>
      <c r="CY179" s="562">
        <v>1.5</v>
      </c>
      <c r="CZ179" s="560">
        <v>2181.666667</v>
      </c>
      <c r="DA179" s="560">
        <v>11.80555556</v>
      </c>
      <c r="DB179" s="560" t="s">
        <v>1719</v>
      </c>
      <c r="DC179" s="560">
        <v>50</v>
      </c>
      <c r="DD179" s="560">
        <v>4</v>
      </c>
      <c r="DE179" s="560" t="s">
        <v>1720</v>
      </c>
      <c r="DF179" s="560">
        <v>5</v>
      </c>
      <c r="DG179" s="560">
        <v>0</v>
      </c>
      <c r="DH179" s="560">
        <v>4.5</v>
      </c>
      <c r="DI179" s="560">
        <v>4.5</v>
      </c>
      <c r="DJ179" s="560">
        <v>0</v>
      </c>
      <c r="DK179" s="560">
        <v>0</v>
      </c>
      <c r="DL179" s="560">
        <v>0</v>
      </c>
      <c r="DM179" s="560">
        <v>0</v>
      </c>
      <c r="DN179" s="560">
        <v>0</v>
      </c>
      <c r="DO179" s="560">
        <v>0</v>
      </c>
    </row>
    <row r="180" spans="1:119" hidden="1">
      <c r="A180" s="560" t="s">
        <v>897</v>
      </c>
      <c r="B180" s="560" t="s">
        <v>1713</v>
      </c>
      <c r="C180" s="560" t="s">
        <v>785</v>
      </c>
      <c r="D180" s="560">
        <v>3</v>
      </c>
      <c r="E180" s="560">
        <v>493.49480499999999</v>
      </c>
      <c r="F180" s="560">
        <v>57.583308000000002</v>
      </c>
      <c r="G180" s="560">
        <v>6644.9655000000002</v>
      </c>
      <c r="H180" s="560">
        <v>755.94</v>
      </c>
      <c r="I180" s="560">
        <v>0.91800700000000002</v>
      </c>
      <c r="J180" s="560">
        <v>0.32853599999999999</v>
      </c>
      <c r="K180" s="560">
        <v>0.35564699999999999</v>
      </c>
      <c r="L180" s="560">
        <v>0.55575399999999997</v>
      </c>
      <c r="M180" s="560">
        <v>15337.842139</v>
      </c>
      <c r="N180" s="560">
        <v>19647.446819000001</v>
      </c>
      <c r="O180" s="560">
        <v>6298.9215059999997</v>
      </c>
      <c r="P180" s="560">
        <v>679.06816100000003</v>
      </c>
      <c r="Q180" s="560">
        <v>512.01037299999996</v>
      </c>
      <c r="R180" s="560">
        <v>2238.2032370000002</v>
      </c>
      <c r="S180" s="560">
        <v>3861.5918980000001</v>
      </c>
      <c r="T180" s="560">
        <v>4675.4531960000004</v>
      </c>
      <c r="U180" s="560">
        <v>1093.6780409999999</v>
      </c>
      <c r="V180" s="560">
        <v>19.861886999999999</v>
      </c>
      <c r="W180" s="560">
        <v>1.816063</v>
      </c>
      <c r="X180" s="560">
        <v>0</v>
      </c>
      <c r="Y180" s="560">
        <v>110.83104899999999</v>
      </c>
      <c r="Z180" s="560">
        <v>484.48708199999999</v>
      </c>
      <c r="AA180" s="560">
        <v>45991.499432999997</v>
      </c>
      <c r="AB180" s="560">
        <v>57548.837686999999</v>
      </c>
      <c r="AC180" s="560">
        <v>37744.924422999997</v>
      </c>
      <c r="AD180" s="560">
        <v>29926.512661000001</v>
      </c>
      <c r="AE180" s="560">
        <v>780.52759700000001</v>
      </c>
      <c r="AF180" s="560">
        <v>20162.405619000001</v>
      </c>
      <c r="AG180" s="560">
        <v>26024.643208000001</v>
      </c>
      <c r="AH180" s="560">
        <v>6105.3991800000003</v>
      </c>
      <c r="AI180" s="560">
        <v>21.1</v>
      </c>
      <c r="AJ180" s="560">
        <v>1146.123979</v>
      </c>
      <c r="AK180" s="560">
        <v>2642.8490259999999</v>
      </c>
      <c r="AL180" s="560">
        <v>200.75</v>
      </c>
      <c r="AM180" s="560">
        <v>0</v>
      </c>
      <c r="AN180" s="560">
        <v>0</v>
      </c>
      <c r="AO180" s="560">
        <v>0</v>
      </c>
      <c r="AP180" s="560">
        <v>0</v>
      </c>
      <c r="AQ180" s="560" t="s">
        <v>897</v>
      </c>
      <c r="AR180" s="560" t="s">
        <v>1733</v>
      </c>
      <c r="AS180" s="560">
        <v>0</v>
      </c>
      <c r="AT180" s="560">
        <v>0</v>
      </c>
      <c r="AU180" s="560">
        <v>0</v>
      </c>
      <c r="AV180" s="560">
        <v>69</v>
      </c>
      <c r="AW180" s="560">
        <v>64</v>
      </c>
      <c r="AX180" s="560">
        <v>74</v>
      </c>
      <c r="AY180" s="560">
        <v>78</v>
      </c>
      <c r="AZ180" s="560">
        <v>1</v>
      </c>
      <c r="BA180" s="560">
        <v>2268</v>
      </c>
      <c r="BB180" s="560">
        <v>0</v>
      </c>
      <c r="BC180" s="560">
        <v>0.5</v>
      </c>
      <c r="BD180" s="560">
        <v>0</v>
      </c>
      <c r="BE180" s="560" t="s">
        <v>1799</v>
      </c>
      <c r="BF180" s="560">
        <v>3</v>
      </c>
      <c r="BG180" s="560">
        <v>17.399999999999999</v>
      </c>
      <c r="BH180" s="560">
        <v>1</v>
      </c>
      <c r="BI180" s="560">
        <v>2</v>
      </c>
      <c r="BJ180" s="560">
        <v>35</v>
      </c>
      <c r="BK180" s="560">
        <v>0</v>
      </c>
      <c r="BL180" s="560" t="s">
        <v>1716</v>
      </c>
      <c r="BM180" s="560">
        <v>0.06</v>
      </c>
      <c r="BN180" s="560">
        <v>300</v>
      </c>
      <c r="BO180" s="560">
        <v>4.5</v>
      </c>
      <c r="BP180" s="560" t="s">
        <v>1747</v>
      </c>
      <c r="BQ180" s="560">
        <v>0.03</v>
      </c>
      <c r="BR180" s="560">
        <v>80</v>
      </c>
      <c r="BS180" s="560">
        <v>4.9000000000000004</v>
      </c>
      <c r="BT180" s="560">
        <v>2200</v>
      </c>
      <c r="BU180" s="560">
        <v>18700</v>
      </c>
      <c r="BV180" s="560">
        <v>200</v>
      </c>
      <c r="BW180" s="560">
        <v>26.8</v>
      </c>
      <c r="BX180" s="560">
        <v>2210</v>
      </c>
      <c r="BY180" s="560">
        <v>11.4</v>
      </c>
      <c r="BZ180" s="560">
        <v>1784</v>
      </c>
      <c r="CA180" s="560">
        <v>35</v>
      </c>
      <c r="CB180" s="560">
        <v>0.85</v>
      </c>
      <c r="CC180" s="560">
        <v>91</v>
      </c>
      <c r="CD180" s="560">
        <v>91</v>
      </c>
      <c r="CE180" s="560">
        <v>91</v>
      </c>
      <c r="CF180" s="560">
        <v>91</v>
      </c>
      <c r="CG180" s="560">
        <v>0.29299999999999998</v>
      </c>
      <c r="CH180" s="560">
        <v>0.3</v>
      </c>
      <c r="CI180" s="560">
        <v>0.54</v>
      </c>
      <c r="CJ180" s="560">
        <v>40</v>
      </c>
      <c r="CK180" s="560">
        <v>5</v>
      </c>
      <c r="CL180" s="560">
        <v>1</v>
      </c>
      <c r="CM180" s="562">
        <v>1584</v>
      </c>
      <c r="CN180" s="562">
        <v>160</v>
      </c>
      <c r="CO180" s="562">
        <v>26.8</v>
      </c>
      <c r="CP180" s="562">
        <v>0</v>
      </c>
      <c r="CQ180" s="562">
        <v>0</v>
      </c>
      <c r="CR180" s="562" t="s">
        <v>1718</v>
      </c>
      <c r="CS180" s="562">
        <v>0</v>
      </c>
      <c r="CT180" s="562">
        <v>0</v>
      </c>
      <c r="CU180" s="562">
        <v>0.75</v>
      </c>
      <c r="CV180" s="562">
        <v>1</v>
      </c>
      <c r="CW180" s="562">
        <v>1.75</v>
      </c>
      <c r="CX180" s="562">
        <v>2</v>
      </c>
      <c r="CY180" s="562">
        <v>1.5</v>
      </c>
      <c r="CZ180" s="560">
        <v>2181.666667</v>
      </c>
      <c r="DA180" s="560">
        <v>11.80555556</v>
      </c>
      <c r="DB180" s="560" t="s">
        <v>1719</v>
      </c>
      <c r="DC180" s="560">
        <v>50</v>
      </c>
      <c r="DD180" s="560">
        <v>4</v>
      </c>
      <c r="DE180" s="560" t="s">
        <v>1720</v>
      </c>
      <c r="DF180" s="560">
        <v>5</v>
      </c>
      <c r="DG180" s="560">
        <v>0</v>
      </c>
      <c r="DH180" s="560">
        <v>4.5</v>
      </c>
      <c r="DI180" s="560">
        <v>4.5</v>
      </c>
      <c r="DJ180" s="560">
        <v>0</v>
      </c>
      <c r="DK180" s="560">
        <v>0</v>
      </c>
      <c r="DL180" s="560">
        <v>0</v>
      </c>
      <c r="DM180" s="560">
        <v>0</v>
      </c>
      <c r="DN180" s="560">
        <v>0</v>
      </c>
      <c r="DO180" s="560">
        <v>0</v>
      </c>
    </row>
    <row r="181" spans="1:119" hidden="1">
      <c r="A181" s="560" t="s">
        <v>898</v>
      </c>
      <c r="B181" s="560" t="s">
        <v>1713</v>
      </c>
      <c r="C181" s="560" t="s">
        <v>794</v>
      </c>
      <c r="D181" s="560">
        <v>3</v>
      </c>
      <c r="E181" s="560">
        <v>423.91852599999999</v>
      </c>
      <c r="F181" s="560">
        <v>56.089806000000003</v>
      </c>
      <c r="G181" s="560">
        <v>7927.5</v>
      </c>
      <c r="H181" s="560">
        <v>139.9665</v>
      </c>
      <c r="I181" s="560">
        <v>0.90101900000000001</v>
      </c>
      <c r="J181" s="560">
        <v>0.32029000000000002</v>
      </c>
      <c r="K181" s="560">
        <v>0.35064099999999998</v>
      </c>
      <c r="L181" s="560">
        <v>0.54883300000000002</v>
      </c>
      <c r="M181" s="560">
        <v>15581.457318000001</v>
      </c>
      <c r="N181" s="560">
        <v>20027.610739</v>
      </c>
      <c r="O181" s="560">
        <v>7030.4961999999996</v>
      </c>
      <c r="P181" s="560">
        <v>1467.546241</v>
      </c>
      <c r="Q181" s="560">
        <v>510.57322099999999</v>
      </c>
      <c r="R181" s="560">
        <v>2678.3050410000001</v>
      </c>
      <c r="S181" s="560">
        <v>1357.9213709999999</v>
      </c>
      <c r="T181" s="560">
        <v>1741.0778049999999</v>
      </c>
      <c r="U181" s="560">
        <v>408.99017700000002</v>
      </c>
      <c r="V181" s="560">
        <v>41.590729000000003</v>
      </c>
      <c r="W181" s="560">
        <v>10.270829000000001</v>
      </c>
      <c r="X181" s="560">
        <v>0</v>
      </c>
      <c r="Y181" s="560">
        <v>40.341982999999999</v>
      </c>
      <c r="Z181" s="560">
        <v>211.621239</v>
      </c>
      <c r="AA181" s="560">
        <v>45220.355529</v>
      </c>
      <c r="AB181" s="560">
        <v>55620.066228000003</v>
      </c>
      <c r="AC181" s="560">
        <v>42334.699787999998</v>
      </c>
      <c r="AD181" s="560">
        <v>35948.804533000002</v>
      </c>
      <c r="AE181" s="560">
        <v>650.43966399999999</v>
      </c>
      <c r="AF181" s="560">
        <v>14017.312913</v>
      </c>
      <c r="AG181" s="560">
        <v>17435.139821000001</v>
      </c>
      <c r="AH181" s="560">
        <v>4205.9545550000003</v>
      </c>
      <c r="AI181" s="560">
        <v>28</v>
      </c>
      <c r="AJ181" s="560">
        <v>1097.4727680000001</v>
      </c>
      <c r="AK181" s="560">
        <v>3051.6689569999999</v>
      </c>
      <c r="AL181" s="560">
        <v>200.75</v>
      </c>
      <c r="AM181" s="560">
        <v>0</v>
      </c>
      <c r="AN181" s="560">
        <v>0</v>
      </c>
      <c r="AO181" s="560">
        <v>0</v>
      </c>
      <c r="AP181" s="560">
        <v>0</v>
      </c>
      <c r="AQ181" s="560" t="s">
        <v>898</v>
      </c>
      <c r="AR181" s="560" t="s">
        <v>1738</v>
      </c>
      <c r="AS181" s="560">
        <v>0</v>
      </c>
      <c r="AT181" s="560">
        <v>0</v>
      </c>
      <c r="AU181" s="560">
        <v>0</v>
      </c>
      <c r="AV181" s="560">
        <v>69</v>
      </c>
      <c r="AW181" s="560">
        <v>64</v>
      </c>
      <c r="AX181" s="560">
        <v>74</v>
      </c>
      <c r="AY181" s="560">
        <v>78</v>
      </c>
      <c r="AZ181" s="560">
        <v>1</v>
      </c>
      <c r="BA181" s="560">
        <v>2268</v>
      </c>
      <c r="BB181" s="560">
        <v>0</v>
      </c>
      <c r="BC181" s="560">
        <v>0.5</v>
      </c>
      <c r="BD181" s="560">
        <v>0</v>
      </c>
      <c r="BE181" s="560" t="s">
        <v>1799</v>
      </c>
      <c r="BF181" s="560">
        <v>2.5</v>
      </c>
      <c r="BG181" s="560">
        <v>17.399999999999999</v>
      </c>
      <c r="BH181" s="560">
        <v>1</v>
      </c>
      <c r="BI181" s="560">
        <v>2</v>
      </c>
      <c r="BJ181" s="560">
        <v>35</v>
      </c>
      <c r="BK181" s="560">
        <v>0</v>
      </c>
      <c r="BL181" s="560" t="s">
        <v>1716</v>
      </c>
      <c r="BM181" s="560">
        <v>0.06</v>
      </c>
      <c r="BN181" s="560">
        <v>300</v>
      </c>
      <c r="BO181" s="560">
        <v>6</v>
      </c>
      <c r="BP181" s="560" t="s">
        <v>1747</v>
      </c>
      <c r="BQ181" s="560">
        <v>0.03</v>
      </c>
      <c r="BR181" s="560">
        <v>80</v>
      </c>
      <c r="BS181" s="560">
        <v>6</v>
      </c>
      <c r="BT181" s="560">
        <v>2200</v>
      </c>
      <c r="BU181" s="560">
        <v>18700</v>
      </c>
      <c r="BV181" s="560">
        <v>200</v>
      </c>
      <c r="BW181" s="560">
        <v>30.609376350000002</v>
      </c>
      <c r="BX181" s="560">
        <v>2210</v>
      </c>
      <c r="BY181" s="560">
        <v>17.543859650000002</v>
      </c>
      <c r="BZ181" s="560">
        <v>1784</v>
      </c>
      <c r="CA181" s="560">
        <v>37.664196859999997</v>
      </c>
      <c r="CB181" s="560">
        <v>0.85</v>
      </c>
      <c r="CC181" s="560">
        <v>91</v>
      </c>
      <c r="CD181" s="560">
        <v>91</v>
      </c>
      <c r="CE181" s="560">
        <v>91</v>
      </c>
      <c r="CF181" s="560">
        <v>91</v>
      </c>
      <c r="CG181" s="560">
        <v>0.29299999999999998</v>
      </c>
      <c r="CH181" s="560">
        <v>0.3</v>
      </c>
      <c r="CI181" s="560">
        <v>0.54</v>
      </c>
      <c r="CJ181" s="560">
        <v>40</v>
      </c>
      <c r="CK181" s="560">
        <v>5</v>
      </c>
      <c r="CL181" s="560">
        <v>1</v>
      </c>
      <c r="CM181" s="562">
        <v>1584</v>
      </c>
      <c r="CN181" s="562">
        <v>160</v>
      </c>
      <c r="CO181" s="562">
        <v>30.609376350000002</v>
      </c>
      <c r="CP181" s="562">
        <v>0</v>
      </c>
      <c r="CQ181" s="562">
        <v>0</v>
      </c>
      <c r="CR181" s="562" t="s">
        <v>1718</v>
      </c>
      <c r="CS181" s="562">
        <v>0</v>
      </c>
      <c r="CT181" s="562">
        <v>0</v>
      </c>
      <c r="CU181" s="562">
        <v>0.75</v>
      </c>
      <c r="CV181" s="562">
        <v>1</v>
      </c>
      <c r="CW181" s="562">
        <v>1.75</v>
      </c>
      <c r="CX181" s="562">
        <v>2</v>
      </c>
      <c r="CY181" s="562">
        <v>1.5</v>
      </c>
      <c r="CZ181" s="560">
        <v>2181.666667</v>
      </c>
      <c r="DA181" s="560">
        <v>11.80555556</v>
      </c>
      <c r="DB181" s="560" t="s">
        <v>1719</v>
      </c>
      <c r="DC181" s="560">
        <v>50</v>
      </c>
      <c r="DD181" s="560">
        <v>4</v>
      </c>
      <c r="DE181" s="560" t="s">
        <v>1720</v>
      </c>
      <c r="DF181" s="560">
        <v>5</v>
      </c>
      <c r="DG181" s="560">
        <v>0</v>
      </c>
      <c r="DH181" s="560">
        <v>4.5</v>
      </c>
      <c r="DI181" s="560">
        <v>4.5</v>
      </c>
      <c r="DJ181" s="560">
        <v>0</v>
      </c>
      <c r="DK181" s="560">
        <v>0</v>
      </c>
      <c r="DL181" s="560">
        <v>0</v>
      </c>
      <c r="DM181" s="560">
        <v>0</v>
      </c>
      <c r="DN181" s="560">
        <v>0</v>
      </c>
      <c r="DO181" s="560">
        <v>0</v>
      </c>
    </row>
    <row r="182" spans="1:119" hidden="1">
      <c r="A182" s="560" t="s">
        <v>899</v>
      </c>
      <c r="B182" s="560" t="s">
        <v>1713</v>
      </c>
      <c r="C182" s="560" t="s">
        <v>797</v>
      </c>
      <c r="D182" s="560">
        <v>3</v>
      </c>
      <c r="E182" s="560">
        <v>423.91852599999999</v>
      </c>
      <c r="F182" s="560">
        <v>56.089806000000003</v>
      </c>
      <c r="G182" s="560">
        <v>7927.5</v>
      </c>
      <c r="H182" s="560">
        <v>391.60199999999998</v>
      </c>
      <c r="I182" s="560">
        <v>0.90101900000000001</v>
      </c>
      <c r="J182" s="560">
        <v>0.32029000000000002</v>
      </c>
      <c r="K182" s="560">
        <v>0.35064099999999998</v>
      </c>
      <c r="L182" s="560">
        <v>0.54883300000000002</v>
      </c>
      <c r="M182" s="560">
        <v>15581.457318000001</v>
      </c>
      <c r="N182" s="560">
        <v>20027.610739</v>
      </c>
      <c r="O182" s="560">
        <v>7030.4961999999996</v>
      </c>
      <c r="P182" s="560">
        <v>1467.546241</v>
      </c>
      <c r="Q182" s="560">
        <v>510.57322099999999</v>
      </c>
      <c r="R182" s="560">
        <v>2678.3050410000001</v>
      </c>
      <c r="S182" s="560">
        <v>2434.231679</v>
      </c>
      <c r="T182" s="560">
        <v>3001.0223799999999</v>
      </c>
      <c r="U182" s="560">
        <v>701.89637300000004</v>
      </c>
      <c r="V182" s="560">
        <v>37.731546999999999</v>
      </c>
      <c r="W182" s="560">
        <v>5.5530189999999999</v>
      </c>
      <c r="X182" s="560">
        <v>0</v>
      </c>
      <c r="Y182" s="560">
        <v>70.352287000000004</v>
      </c>
      <c r="Z182" s="560">
        <v>369.04576700000001</v>
      </c>
      <c r="AA182" s="560">
        <v>45220.355529</v>
      </c>
      <c r="AB182" s="560">
        <v>55620.066228000003</v>
      </c>
      <c r="AC182" s="560">
        <v>42334.699787999998</v>
      </c>
      <c r="AD182" s="560">
        <v>35948.804533000002</v>
      </c>
      <c r="AE182" s="560">
        <v>650.43966399999999</v>
      </c>
      <c r="AF182" s="560">
        <v>17792.689514000002</v>
      </c>
      <c r="AG182" s="560">
        <v>23583.938455</v>
      </c>
      <c r="AH182" s="560">
        <v>5442.798785</v>
      </c>
      <c r="AI182" s="560">
        <v>28</v>
      </c>
      <c r="AJ182" s="560">
        <v>1097.4727680000001</v>
      </c>
      <c r="AK182" s="560">
        <v>3051.6689569999999</v>
      </c>
      <c r="AL182" s="560">
        <v>200.75</v>
      </c>
      <c r="AM182" s="560">
        <v>0</v>
      </c>
      <c r="AN182" s="560">
        <v>0</v>
      </c>
      <c r="AO182" s="560">
        <v>0</v>
      </c>
      <c r="AP182" s="560">
        <v>0</v>
      </c>
      <c r="AQ182" s="560" t="s">
        <v>899</v>
      </c>
      <c r="AR182" s="560" t="s">
        <v>1740</v>
      </c>
      <c r="AS182" s="560">
        <v>0</v>
      </c>
      <c r="AT182" s="560">
        <v>0</v>
      </c>
      <c r="AU182" s="560">
        <v>0</v>
      </c>
      <c r="AV182" s="560">
        <v>69</v>
      </c>
      <c r="AW182" s="560">
        <v>64</v>
      </c>
      <c r="AX182" s="560">
        <v>74</v>
      </c>
      <c r="AY182" s="560">
        <v>78</v>
      </c>
      <c r="AZ182" s="560">
        <v>1</v>
      </c>
      <c r="BA182" s="560">
        <v>2268</v>
      </c>
      <c r="BB182" s="560">
        <v>0</v>
      </c>
      <c r="BC182" s="560">
        <v>0.5</v>
      </c>
      <c r="BD182" s="560">
        <v>0</v>
      </c>
      <c r="BE182" s="560" t="s">
        <v>1799</v>
      </c>
      <c r="BF182" s="560">
        <v>2.5</v>
      </c>
      <c r="BG182" s="560">
        <v>17.399999999999999</v>
      </c>
      <c r="BH182" s="560">
        <v>1</v>
      </c>
      <c r="BI182" s="560">
        <v>2</v>
      </c>
      <c r="BJ182" s="560">
        <v>35</v>
      </c>
      <c r="BK182" s="560">
        <v>0</v>
      </c>
      <c r="BL182" s="560" t="s">
        <v>1716</v>
      </c>
      <c r="BM182" s="560">
        <v>0.06</v>
      </c>
      <c r="BN182" s="560">
        <v>300</v>
      </c>
      <c r="BO182" s="560">
        <v>6</v>
      </c>
      <c r="BP182" s="560" t="s">
        <v>1747</v>
      </c>
      <c r="BQ182" s="560">
        <v>0.03</v>
      </c>
      <c r="BR182" s="560">
        <v>80</v>
      </c>
      <c r="BS182" s="560">
        <v>6</v>
      </c>
      <c r="BT182" s="560">
        <v>2200</v>
      </c>
      <c r="BU182" s="560">
        <v>18700</v>
      </c>
      <c r="BV182" s="560">
        <v>200</v>
      </c>
      <c r="BW182" s="560">
        <v>30.609376350000002</v>
      </c>
      <c r="BX182" s="560">
        <v>2210</v>
      </c>
      <c r="BY182" s="560">
        <v>17.543859650000002</v>
      </c>
      <c r="BZ182" s="560">
        <v>1784</v>
      </c>
      <c r="CA182" s="560">
        <v>37.664196859999997</v>
      </c>
      <c r="CB182" s="560">
        <v>0.85</v>
      </c>
      <c r="CC182" s="560">
        <v>91</v>
      </c>
      <c r="CD182" s="560">
        <v>91</v>
      </c>
      <c r="CE182" s="560">
        <v>91</v>
      </c>
      <c r="CF182" s="560">
        <v>91</v>
      </c>
      <c r="CG182" s="560">
        <v>0.29299999999999998</v>
      </c>
      <c r="CH182" s="560">
        <v>0.3</v>
      </c>
      <c r="CI182" s="560">
        <v>0.54</v>
      </c>
      <c r="CJ182" s="560">
        <v>40</v>
      </c>
      <c r="CK182" s="560">
        <v>5</v>
      </c>
      <c r="CL182" s="560">
        <v>1</v>
      </c>
      <c r="CM182" s="562">
        <v>1584</v>
      </c>
      <c r="CN182" s="562">
        <v>160</v>
      </c>
      <c r="CO182" s="562">
        <v>30.609376350000002</v>
      </c>
      <c r="CP182" s="562">
        <v>0</v>
      </c>
      <c r="CQ182" s="562">
        <v>0</v>
      </c>
      <c r="CR182" s="562" t="s">
        <v>1718</v>
      </c>
      <c r="CS182" s="562">
        <v>0</v>
      </c>
      <c r="CT182" s="562">
        <v>0</v>
      </c>
      <c r="CU182" s="562">
        <v>0.75</v>
      </c>
      <c r="CV182" s="562">
        <v>1</v>
      </c>
      <c r="CW182" s="562">
        <v>1.75</v>
      </c>
      <c r="CX182" s="562">
        <v>2</v>
      </c>
      <c r="CY182" s="562">
        <v>1.5</v>
      </c>
      <c r="CZ182" s="560">
        <v>2181.666667</v>
      </c>
      <c r="DA182" s="560">
        <v>11.80555556</v>
      </c>
      <c r="DB182" s="560" t="s">
        <v>1719</v>
      </c>
      <c r="DC182" s="560">
        <v>50</v>
      </c>
      <c r="DD182" s="560">
        <v>4</v>
      </c>
      <c r="DE182" s="560" t="s">
        <v>1720</v>
      </c>
      <c r="DF182" s="560">
        <v>5</v>
      </c>
      <c r="DG182" s="560">
        <v>0</v>
      </c>
      <c r="DH182" s="560">
        <v>4.5</v>
      </c>
      <c r="DI182" s="560">
        <v>4.5</v>
      </c>
      <c r="DJ182" s="560">
        <v>0</v>
      </c>
      <c r="DK182" s="560">
        <v>0</v>
      </c>
      <c r="DL182" s="560">
        <v>0</v>
      </c>
      <c r="DM182" s="560">
        <v>0</v>
      </c>
      <c r="DN182" s="560">
        <v>0</v>
      </c>
      <c r="DO182" s="560">
        <v>0</v>
      </c>
    </row>
    <row r="183" spans="1:119" hidden="1">
      <c r="A183" s="560" t="s">
        <v>900</v>
      </c>
      <c r="B183" s="560" t="s">
        <v>1713</v>
      </c>
      <c r="C183" s="560" t="s">
        <v>800</v>
      </c>
      <c r="D183" s="560">
        <v>3</v>
      </c>
      <c r="E183" s="560">
        <v>423.91852599999999</v>
      </c>
      <c r="F183" s="560">
        <v>56.089806000000003</v>
      </c>
      <c r="G183" s="560">
        <v>7927.5</v>
      </c>
      <c r="H183" s="560">
        <v>755.94</v>
      </c>
      <c r="I183" s="560">
        <v>0.90101900000000001</v>
      </c>
      <c r="J183" s="560">
        <v>0.32029000000000002</v>
      </c>
      <c r="K183" s="560">
        <v>0.35064099999999998</v>
      </c>
      <c r="L183" s="560">
        <v>0.54883300000000002</v>
      </c>
      <c r="M183" s="560">
        <v>15581.457318000001</v>
      </c>
      <c r="N183" s="560">
        <v>20027.610739</v>
      </c>
      <c r="O183" s="560">
        <v>7030.4961999999996</v>
      </c>
      <c r="P183" s="560">
        <v>1467.546241</v>
      </c>
      <c r="Q183" s="560">
        <v>510.57322099999999</v>
      </c>
      <c r="R183" s="560">
        <v>2678.3050410000001</v>
      </c>
      <c r="S183" s="560">
        <v>3737.2200680000001</v>
      </c>
      <c r="T183" s="560">
        <v>4493.7282009999999</v>
      </c>
      <c r="U183" s="560">
        <v>1048.3913150000001</v>
      </c>
      <c r="V183" s="560">
        <v>18.841605999999999</v>
      </c>
      <c r="W183" s="560">
        <v>1.7971919999999999</v>
      </c>
      <c r="X183" s="560">
        <v>0</v>
      </c>
      <c r="Y183" s="560">
        <v>106.60243199999999</v>
      </c>
      <c r="Z183" s="560">
        <v>559.20251800000005</v>
      </c>
      <c r="AA183" s="560">
        <v>45220.355529</v>
      </c>
      <c r="AB183" s="560">
        <v>55620.066228000003</v>
      </c>
      <c r="AC183" s="560">
        <v>42334.699787999998</v>
      </c>
      <c r="AD183" s="560">
        <v>35948.804533000002</v>
      </c>
      <c r="AE183" s="560">
        <v>650.43966399999999</v>
      </c>
      <c r="AF183" s="560">
        <v>18246.658380000001</v>
      </c>
      <c r="AG183" s="560">
        <v>23342.095249000002</v>
      </c>
      <c r="AH183" s="560">
        <v>5486.7561269999997</v>
      </c>
      <c r="AI183" s="560">
        <v>28</v>
      </c>
      <c r="AJ183" s="560">
        <v>1097.4727680000001</v>
      </c>
      <c r="AK183" s="560">
        <v>3051.6689569999999</v>
      </c>
      <c r="AL183" s="560">
        <v>200.75</v>
      </c>
      <c r="AM183" s="560">
        <v>0</v>
      </c>
      <c r="AN183" s="560">
        <v>0</v>
      </c>
      <c r="AO183" s="560">
        <v>0</v>
      </c>
      <c r="AP183" s="560">
        <v>0</v>
      </c>
      <c r="AQ183" s="560" t="s">
        <v>900</v>
      </c>
      <c r="AR183" s="560" t="s">
        <v>1742</v>
      </c>
      <c r="AS183" s="560">
        <v>0</v>
      </c>
      <c r="AT183" s="560">
        <v>0</v>
      </c>
      <c r="AU183" s="560">
        <v>0</v>
      </c>
      <c r="AV183" s="560">
        <v>69</v>
      </c>
      <c r="AW183" s="560">
        <v>64</v>
      </c>
      <c r="AX183" s="560">
        <v>74</v>
      </c>
      <c r="AY183" s="560">
        <v>78</v>
      </c>
      <c r="AZ183" s="560">
        <v>1</v>
      </c>
      <c r="BA183" s="560">
        <v>2268</v>
      </c>
      <c r="BB183" s="560">
        <v>0</v>
      </c>
      <c r="BC183" s="560">
        <v>0.5</v>
      </c>
      <c r="BD183" s="560">
        <v>0</v>
      </c>
      <c r="BE183" s="560" t="s">
        <v>1799</v>
      </c>
      <c r="BF183" s="560">
        <v>2.5</v>
      </c>
      <c r="BG183" s="560">
        <v>17.399999999999999</v>
      </c>
      <c r="BH183" s="560">
        <v>1</v>
      </c>
      <c r="BI183" s="560">
        <v>2</v>
      </c>
      <c r="BJ183" s="560">
        <v>35</v>
      </c>
      <c r="BK183" s="560">
        <v>0</v>
      </c>
      <c r="BL183" s="560" t="s">
        <v>1716</v>
      </c>
      <c r="BM183" s="560">
        <v>0.06</v>
      </c>
      <c r="BN183" s="560">
        <v>300</v>
      </c>
      <c r="BO183" s="560">
        <v>6</v>
      </c>
      <c r="BP183" s="560" t="s">
        <v>1747</v>
      </c>
      <c r="BQ183" s="560">
        <v>0.03</v>
      </c>
      <c r="BR183" s="560">
        <v>80</v>
      </c>
      <c r="BS183" s="560">
        <v>6</v>
      </c>
      <c r="BT183" s="560">
        <v>2200</v>
      </c>
      <c r="BU183" s="560">
        <v>18700</v>
      </c>
      <c r="BV183" s="560">
        <v>200</v>
      </c>
      <c r="BW183" s="560">
        <v>30.609376350000002</v>
      </c>
      <c r="BX183" s="560">
        <v>2210</v>
      </c>
      <c r="BY183" s="560">
        <v>17.543859650000002</v>
      </c>
      <c r="BZ183" s="560">
        <v>1784</v>
      </c>
      <c r="CA183" s="560">
        <v>37.664196859999997</v>
      </c>
      <c r="CB183" s="560">
        <v>0.85</v>
      </c>
      <c r="CC183" s="560">
        <v>91</v>
      </c>
      <c r="CD183" s="560">
        <v>91</v>
      </c>
      <c r="CE183" s="560">
        <v>91</v>
      </c>
      <c r="CF183" s="560">
        <v>91</v>
      </c>
      <c r="CG183" s="560">
        <v>0.29299999999999998</v>
      </c>
      <c r="CH183" s="560">
        <v>0.3</v>
      </c>
      <c r="CI183" s="560">
        <v>0.54</v>
      </c>
      <c r="CJ183" s="560">
        <v>40</v>
      </c>
      <c r="CK183" s="560">
        <v>5</v>
      </c>
      <c r="CL183" s="560">
        <v>1</v>
      </c>
      <c r="CM183" s="562">
        <v>1584</v>
      </c>
      <c r="CN183" s="562">
        <v>160</v>
      </c>
      <c r="CO183" s="562">
        <v>30.609376350000002</v>
      </c>
      <c r="CP183" s="562">
        <v>0</v>
      </c>
      <c r="CQ183" s="562">
        <v>0</v>
      </c>
      <c r="CR183" s="562" t="s">
        <v>1718</v>
      </c>
      <c r="CS183" s="562">
        <v>0</v>
      </c>
      <c r="CT183" s="562">
        <v>0</v>
      </c>
      <c r="CU183" s="562">
        <v>0.75</v>
      </c>
      <c r="CV183" s="562">
        <v>1</v>
      </c>
      <c r="CW183" s="562">
        <v>1.75</v>
      </c>
      <c r="CX183" s="562">
        <v>2</v>
      </c>
      <c r="CY183" s="562">
        <v>1.5</v>
      </c>
      <c r="CZ183" s="560">
        <v>2181.666667</v>
      </c>
      <c r="DA183" s="560">
        <v>11.80555556</v>
      </c>
      <c r="DB183" s="560" t="s">
        <v>1719</v>
      </c>
      <c r="DC183" s="560">
        <v>50</v>
      </c>
      <c r="DD183" s="560">
        <v>4</v>
      </c>
      <c r="DE183" s="560" t="s">
        <v>1720</v>
      </c>
      <c r="DF183" s="560">
        <v>5</v>
      </c>
      <c r="DG183" s="560">
        <v>0</v>
      </c>
      <c r="DH183" s="560">
        <v>4.5</v>
      </c>
      <c r="DI183" s="560">
        <v>4.5</v>
      </c>
      <c r="DJ183" s="560">
        <v>0</v>
      </c>
      <c r="DK183" s="560">
        <v>0</v>
      </c>
      <c r="DL183" s="560">
        <v>0</v>
      </c>
      <c r="DM183" s="560">
        <v>0</v>
      </c>
      <c r="DN183" s="560">
        <v>0</v>
      </c>
      <c r="DO183" s="560">
        <v>0</v>
      </c>
    </row>
    <row r="184" spans="1:119" hidden="1">
      <c r="A184" s="560" t="s">
        <v>901</v>
      </c>
      <c r="B184" s="560" t="s">
        <v>1713</v>
      </c>
      <c r="C184" s="560" t="s">
        <v>794</v>
      </c>
      <c r="D184" s="560">
        <v>3</v>
      </c>
      <c r="E184" s="560">
        <v>490.40903600000001</v>
      </c>
      <c r="F184" s="560">
        <v>56.987139999999997</v>
      </c>
      <c r="G184" s="560">
        <v>7927.5</v>
      </c>
      <c r="H184" s="560">
        <v>139.9665</v>
      </c>
      <c r="I184" s="560">
        <v>0.90101900000000001</v>
      </c>
      <c r="J184" s="560">
        <v>0.32872200000000001</v>
      </c>
      <c r="K184" s="560">
        <v>0.35243600000000003</v>
      </c>
      <c r="L184" s="560">
        <v>0.57311199999999995</v>
      </c>
      <c r="M184" s="560">
        <v>18666.037435999999</v>
      </c>
      <c r="N184" s="560">
        <v>24167.475640000001</v>
      </c>
      <c r="O184" s="560">
        <v>7980.0219090000001</v>
      </c>
      <c r="P184" s="560">
        <v>1270.725868</v>
      </c>
      <c r="Q184" s="560">
        <v>614.26707199999998</v>
      </c>
      <c r="R184" s="560">
        <v>2685.2083859999998</v>
      </c>
      <c r="S184" s="560">
        <v>1310.9937030000001</v>
      </c>
      <c r="T184" s="560">
        <v>1691.044144</v>
      </c>
      <c r="U184" s="560">
        <v>398.39023700000001</v>
      </c>
      <c r="V184" s="560">
        <v>40.772373999999999</v>
      </c>
      <c r="W184" s="560">
        <v>10.377257</v>
      </c>
      <c r="X184" s="560">
        <v>0</v>
      </c>
      <c r="Y184" s="560">
        <v>39.177999</v>
      </c>
      <c r="Z184" s="560">
        <v>171.262789</v>
      </c>
      <c r="AA184" s="560">
        <v>48783.511750999998</v>
      </c>
      <c r="AB184" s="560">
        <v>61079.196623000003</v>
      </c>
      <c r="AC184" s="560">
        <v>44634.527866999997</v>
      </c>
      <c r="AD184" s="560">
        <v>36968.883093999997</v>
      </c>
      <c r="AE184" s="560">
        <v>780.52759700000001</v>
      </c>
      <c r="AF184" s="560">
        <v>15392.253127</v>
      </c>
      <c r="AG184" s="560">
        <v>19209.127575999999</v>
      </c>
      <c r="AH184" s="560">
        <v>4656.9775840000002</v>
      </c>
      <c r="AI184" s="560">
        <v>14</v>
      </c>
      <c r="AJ184" s="560">
        <v>1301.996071</v>
      </c>
      <c r="AK184" s="560">
        <v>3033.288153</v>
      </c>
      <c r="AL184" s="560">
        <v>200.75</v>
      </c>
      <c r="AM184" s="560">
        <v>0</v>
      </c>
      <c r="AN184" s="560">
        <v>0</v>
      </c>
      <c r="AO184" s="560">
        <v>0</v>
      </c>
      <c r="AP184" s="560">
        <v>0</v>
      </c>
      <c r="AQ184" s="560" t="s">
        <v>901</v>
      </c>
      <c r="AR184" s="560" t="s">
        <v>1738</v>
      </c>
      <c r="AS184" s="560">
        <v>0</v>
      </c>
      <c r="AT184" s="560">
        <v>0</v>
      </c>
      <c r="AU184" s="560">
        <v>0</v>
      </c>
      <c r="AV184" s="560">
        <v>69</v>
      </c>
      <c r="AW184" s="560">
        <v>64</v>
      </c>
      <c r="AX184" s="560">
        <v>74</v>
      </c>
      <c r="AY184" s="560">
        <v>78</v>
      </c>
      <c r="AZ184" s="560">
        <v>1</v>
      </c>
      <c r="BA184" s="560">
        <v>2268</v>
      </c>
      <c r="BB184" s="560">
        <v>0</v>
      </c>
      <c r="BC184" s="560">
        <v>0.5</v>
      </c>
      <c r="BD184" s="560">
        <v>0</v>
      </c>
      <c r="BE184" s="560" t="s">
        <v>1799</v>
      </c>
      <c r="BF184" s="560">
        <v>3</v>
      </c>
      <c r="BG184" s="560">
        <v>17.399999999999999</v>
      </c>
      <c r="BH184" s="560">
        <v>1</v>
      </c>
      <c r="BI184" s="560">
        <v>2</v>
      </c>
      <c r="BJ184" s="560">
        <v>35</v>
      </c>
      <c r="BK184" s="560">
        <v>0</v>
      </c>
      <c r="BL184" s="560" t="s">
        <v>1716</v>
      </c>
      <c r="BM184" s="560">
        <v>0.06</v>
      </c>
      <c r="BN184" s="560">
        <v>300</v>
      </c>
      <c r="BO184" s="560">
        <v>4.5</v>
      </c>
      <c r="BP184" s="560" t="s">
        <v>1747</v>
      </c>
      <c r="BQ184" s="560">
        <v>0.03</v>
      </c>
      <c r="BR184" s="560">
        <v>80</v>
      </c>
      <c r="BS184" s="560">
        <v>4.9000000000000004</v>
      </c>
      <c r="BT184" s="560">
        <v>2200</v>
      </c>
      <c r="BU184" s="560">
        <v>18700</v>
      </c>
      <c r="BV184" s="560">
        <v>200</v>
      </c>
      <c r="BW184" s="560">
        <v>26.8</v>
      </c>
      <c r="BX184" s="560">
        <v>2210</v>
      </c>
      <c r="BY184" s="560">
        <v>11.4</v>
      </c>
      <c r="BZ184" s="560">
        <v>1784</v>
      </c>
      <c r="CA184" s="560">
        <v>35</v>
      </c>
      <c r="CB184" s="560">
        <v>0.85</v>
      </c>
      <c r="CC184" s="560">
        <v>91</v>
      </c>
      <c r="CD184" s="560">
        <v>91</v>
      </c>
      <c r="CE184" s="560">
        <v>91</v>
      </c>
      <c r="CF184" s="560">
        <v>91</v>
      </c>
      <c r="CG184" s="560">
        <v>0.29299999999999998</v>
      </c>
      <c r="CH184" s="560">
        <v>0.3</v>
      </c>
      <c r="CI184" s="560">
        <v>0.54</v>
      </c>
      <c r="CJ184" s="560">
        <v>40</v>
      </c>
      <c r="CK184" s="560">
        <v>5</v>
      </c>
      <c r="CL184" s="560">
        <v>1</v>
      </c>
      <c r="CM184" s="562">
        <v>1584</v>
      </c>
      <c r="CN184" s="562">
        <v>160</v>
      </c>
      <c r="CO184" s="562">
        <v>26.8</v>
      </c>
      <c r="CP184" s="562">
        <v>0</v>
      </c>
      <c r="CQ184" s="562">
        <v>0</v>
      </c>
      <c r="CR184" s="562" t="s">
        <v>1718</v>
      </c>
      <c r="CS184" s="562">
        <v>0</v>
      </c>
      <c r="CT184" s="562">
        <v>0</v>
      </c>
      <c r="CU184" s="562">
        <v>0.75</v>
      </c>
      <c r="CV184" s="562">
        <v>1</v>
      </c>
      <c r="CW184" s="562">
        <v>1.75</v>
      </c>
      <c r="CX184" s="562">
        <v>2</v>
      </c>
      <c r="CY184" s="562">
        <v>1.5</v>
      </c>
      <c r="CZ184" s="560">
        <v>2181.666667</v>
      </c>
      <c r="DA184" s="560">
        <v>11.80555556</v>
      </c>
      <c r="DB184" s="560" t="s">
        <v>1719</v>
      </c>
      <c r="DC184" s="560">
        <v>50</v>
      </c>
      <c r="DD184" s="560">
        <v>4</v>
      </c>
      <c r="DE184" s="560" t="s">
        <v>1720</v>
      </c>
      <c r="DF184" s="560">
        <v>5</v>
      </c>
      <c r="DG184" s="560">
        <v>0</v>
      </c>
      <c r="DH184" s="560">
        <v>4.5</v>
      </c>
      <c r="DI184" s="560">
        <v>4.5</v>
      </c>
      <c r="DJ184" s="560">
        <v>0</v>
      </c>
      <c r="DK184" s="560">
        <v>0</v>
      </c>
      <c r="DL184" s="560">
        <v>0</v>
      </c>
      <c r="DM184" s="560">
        <v>0</v>
      </c>
      <c r="DN184" s="560">
        <v>0</v>
      </c>
      <c r="DO184" s="560">
        <v>0</v>
      </c>
    </row>
    <row r="185" spans="1:119" hidden="1">
      <c r="A185" s="560" t="s">
        <v>902</v>
      </c>
      <c r="B185" s="560" t="s">
        <v>1713</v>
      </c>
      <c r="C185" s="560" t="s">
        <v>797</v>
      </c>
      <c r="D185" s="560">
        <v>3</v>
      </c>
      <c r="E185" s="560">
        <v>490.40903600000001</v>
      </c>
      <c r="F185" s="560">
        <v>56.987139999999997</v>
      </c>
      <c r="G185" s="560">
        <v>7927.5</v>
      </c>
      <c r="H185" s="560">
        <v>391.60199999999998</v>
      </c>
      <c r="I185" s="560">
        <v>0.90101900000000001</v>
      </c>
      <c r="J185" s="560">
        <v>0.32872200000000001</v>
      </c>
      <c r="K185" s="560">
        <v>0.35243600000000003</v>
      </c>
      <c r="L185" s="560">
        <v>0.57311199999999995</v>
      </c>
      <c r="M185" s="560">
        <v>18666.037435999999</v>
      </c>
      <c r="N185" s="560">
        <v>24167.475640000001</v>
      </c>
      <c r="O185" s="560">
        <v>7980.0219090000001</v>
      </c>
      <c r="P185" s="560">
        <v>1270.725868</v>
      </c>
      <c r="Q185" s="560">
        <v>614.26707199999998</v>
      </c>
      <c r="R185" s="560">
        <v>2685.2083859999998</v>
      </c>
      <c r="S185" s="560">
        <v>2462.513688</v>
      </c>
      <c r="T185" s="560">
        <v>3052.934311</v>
      </c>
      <c r="U185" s="560">
        <v>715.96745099999998</v>
      </c>
      <c r="V185" s="560">
        <v>38.266112999999997</v>
      </c>
      <c r="W185" s="560">
        <v>5.5664720000000001</v>
      </c>
      <c r="X185" s="560">
        <v>0</v>
      </c>
      <c r="Y185" s="560">
        <v>71.538732999999993</v>
      </c>
      <c r="Z185" s="560">
        <v>312.72457100000003</v>
      </c>
      <c r="AA185" s="560">
        <v>48783.511750999998</v>
      </c>
      <c r="AB185" s="560">
        <v>61079.196623000003</v>
      </c>
      <c r="AC185" s="560">
        <v>44634.527866999997</v>
      </c>
      <c r="AD185" s="560">
        <v>36968.883093999997</v>
      </c>
      <c r="AE185" s="560">
        <v>780.52759700000001</v>
      </c>
      <c r="AF185" s="560">
        <v>19645.746405000002</v>
      </c>
      <c r="AG185" s="560">
        <v>26307.404821</v>
      </c>
      <c r="AH185" s="560">
        <v>6088.1744660000004</v>
      </c>
      <c r="AI185" s="560">
        <v>14</v>
      </c>
      <c r="AJ185" s="560">
        <v>1301.996071</v>
      </c>
      <c r="AK185" s="560">
        <v>3033.288153</v>
      </c>
      <c r="AL185" s="560">
        <v>200.75</v>
      </c>
      <c r="AM185" s="560">
        <v>0</v>
      </c>
      <c r="AN185" s="560">
        <v>0</v>
      </c>
      <c r="AO185" s="560">
        <v>0</v>
      </c>
      <c r="AP185" s="560">
        <v>0</v>
      </c>
      <c r="AQ185" s="560" t="s">
        <v>902</v>
      </c>
      <c r="AR185" s="560" t="s">
        <v>1740</v>
      </c>
      <c r="AS185" s="560">
        <v>0</v>
      </c>
      <c r="AT185" s="560">
        <v>0</v>
      </c>
      <c r="AU185" s="560">
        <v>0</v>
      </c>
      <c r="AV185" s="560">
        <v>69</v>
      </c>
      <c r="AW185" s="560">
        <v>64</v>
      </c>
      <c r="AX185" s="560">
        <v>74</v>
      </c>
      <c r="AY185" s="560">
        <v>78</v>
      </c>
      <c r="AZ185" s="560">
        <v>1</v>
      </c>
      <c r="BA185" s="560">
        <v>2268</v>
      </c>
      <c r="BB185" s="560">
        <v>0</v>
      </c>
      <c r="BC185" s="560">
        <v>0.5</v>
      </c>
      <c r="BD185" s="560">
        <v>0</v>
      </c>
      <c r="BE185" s="560" t="s">
        <v>1799</v>
      </c>
      <c r="BF185" s="560">
        <v>3</v>
      </c>
      <c r="BG185" s="560">
        <v>17.399999999999999</v>
      </c>
      <c r="BH185" s="560">
        <v>1</v>
      </c>
      <c r="BI185" s="560">
        <v>2</v>
      </c>
      <c r="BJ185" s="560">
        <v>35</v>
      </c>
      <c r="BK185" s="560">
        <v>0</v>
      </c>
      <c r="BL185" s="560" t="s">
        <v>1716</v>
      </c>
      <c r="BM185" s="560">
        <v>0.06</v>
      </c>
      <c r="BN185" s="560">
        <v>300</v>
      </c>
      <c r="BO185" s="560">
        <v>4.5</v>
      </c>
      <c r="BP185" s="560" t="s">
        <v>1747</v>
      </c>
      <c r="BQ185" s="560">
        <v>0.03</v>
      </c>
      <c r="BR185" s="560">
        <v>80</v>
      </c>
      <c r="BS185" s="560">
        <v>4.9000000000000004</v>
      </c>
      <c r="BT185" s="560">
        <v>2200</v>
      </c>
      <c r="BU185" s="560">
        <v>18700</v>
      </c>
      <c r="BV185" s="560">
        <v>200</v>
      </c>
      <c r="BW185" s="560">
        <v>26.8</v>
      </c>
      <c r="BX185" s="560">
        <v>2210</v>
      </c>
      <c r="BY185" s="560">
        <v>11.4</v>
      </c>
      <c r="BZ185" s="560">
        <v>1784</v>
      </c>
      <c r="CA185" s="560">
        <v>35</v>
      </c>
      <c r="CB185" s="560">
        <v>0.85</v>
      </c>
      <c r="CC185" s="560">
        <v>91</v>
      </c>
      <c r="CD185" s="560">
        <v>91</v>
      </c>
      <c r="CE185" s="560">
        <v>91</v>
      </c>
      <c r="CF185" s="560">
        <v>91</v>
      </c>
      <c r="CG185" s="560">
        <v>0.29299999999999998</v>
      </c>
      <c r="CH185" s="560">
        <v>0.3</v>
      </c>
      <c r="CI185" s="560">
        <v>0.54</v>
      </c>
      <c r="CJ185" s="560">
        <v>40</v>
      </c>
      <c r="CK185" s="560">
        <v>5</v>
      </c>
      <c r="CL185" s="560">
        <v>1</v>
      </c>
      <c r="CM185" s="562">
        <v>1584</v>
      </c>
      <c r="CN185" s="562">
        <v>160</v>
      </c>
      <c r="CO185" s="562">
        <v>26.8</v>
      </c>
      <c r="CP185" s="562">
        <v>0</v>
      </c>
      <c r="CQ185" s="562">
        <v>0</v>
      </c>
      <c r="CR185" s="562" t="s">
        <v>1718</v>
      </c>
      <c r="CS185" s="562">
        <v>0</v>
      </c>
      <c r="CT185" s="562">
        <v>0</v>
      </c>
      <c r="CU185" s="562">
        <v>0.75</v>
      </c>
      <c r="CV185" s="562">
        <v>1</v>
      </c>
      <c r="CW185" s="562">
        <v>1.75</v>
      </c>
      <c r="CX185" s="562">
        <v>2</v>
      </c>
      <c r="CY185" s="562">
        <v>1.5</v>
      </c>
      <c r="CZ185" s="560">
        <v>2181.666667</v>
      </c>
      <c r="DA185" s="560">
        <v>11.80555556</v>
      </c>
      <c r="DB185" s="560" t="s">
        <v>1719</v>
      </c>
      <c r="DC185" s="560">
        <v>50</v>
      </c>
      <c r="DD185" s="560">
        <v>4</v>
      </c>
      <c r="DE185" s="560" t="s">
        <v>1720</v>
      </c>
      <c r="DF185" s="560">
        <v>5</v>
      </c>
      <c r="DG185" s="560">
        <v>0</v>
      </c>
      <c r="DH185" s="560">
        <v>4.5</v>
      </c>
      <c r="DI185" s="560">
        <v>4.5</v>
      </c>
      <c r="DJ185" s="560">
        <v>0</v>
      </c>
      <c r="DK185" s="560">
        <v>0</v>
      </c>
      <c r="DL185" s="560">
        <v>0</v>
      </c>
      <c r="DM185" s="560">
        <v>0</v>
      </c>
      <c r="DN185" s="560">
        <v>0</v>
      </c>
      <c r="DO185" s="560">
        <v>0</v>
      </c>
    </row>
    <row r="186" spans="1:119" hidden="1">
      <c r="A186" s="560" t="s">
        <v>903</v>
      </c>
      <c r="B186" s="560" t="s">
        <v>1713</v>
      </c>
      <c r="C186" s="560" t="s">
        <v>800</v>
      </c>
      <c r="D186" s="560">
        <v>3</v>
      </c>
      <c r="E186" s="560">
        <v>490.40903600000001</v>
      </c>
      <c r="F186" s="560">
        <v>56.987139999999997</v>
      </c>
      <c r="G186" s="560">
        <v>7927.5</v>
      </c>
      <c r="H186" s="560">
        <v>755.94</v>
      </c>
      <c r="I186" s="560">
        <v>0.90101900000000001</v>
      </c>
      <c r="J186" s="560">
        <v>0.32872200000000001</v>
      </c>
      <c r="K186" s="560">
        <v>0.35243600000000003</v>
      </c>
      <c r="L186" s="560">
        <v>0.57311199999999995</v>
      </c>
      <c r="M186" s="560">
        <v>18666.037435999999</v>
      </c>
      <c r="N186" s="560">
        <v>24167.475640000001</v>
      </c>
      <c r="O186" s="560">
        <v>7980.0219090000001</v>
      </c>
      <c r="P186" s="560">
        <v>1270.725868</v>
      </c>
      <c r="Q186" s="560">
        <v>614.26707199999998</v>
      </c>
      <c r="R186" s="560">
        <v>2685.2083859999998</v>
      </c>
      <c r="S186" s="560">
        <v>3861.5918980000001</v>
      </c>
      <c r="T186" s="560">
        <v>4675.4531960000004</v>
      </c>
      <c r="U186" s="560">
        <v>1093.6780409999999</v>
      </c>
      <c r="V186" s="560">
        <v>19.861886999999999</v>
      </c>
      <c r="W186" s="560">
        <v>1.816063</v>
      </c>
      <c r="X186" s="560">
        <v>0</v>
      </c>
      <c r="Y186" s="560">
        <v>110.83104899999999</v>
      </c>
      <c r="Z186" s="560">
        <v>484.48708199999999</v>
      </c>
      <c r="AA186" s="560">
        <v>48783.511750999998</v>
      </c>
      <c r="AB186" s="560">
        <v>61079.196623000003</v>
      </c>
      <c r="AC186" s="560">
        <v>44634.527866999997</v>
      </c>
      <c r="AD186" s="560">
        <v>36968.883093999997</v>
      </c>
      <c r="AE186" s="560">
        <v>780.52759700000001</v>
      </c>
      <c r="AF186" s="560">
        <v>20162.405619000001</v>
      </c>
      <c r="AG186" s="560">
        <v>26024.643208000001</v>
      </c>
      <c r="AH186" s="560">
        <v>6105.3991800000003</v>
      </c>
      <c r="AI186" s="560">
        <v>14</v>
      </c>
      <c r="AJ186" s="560">
        <v>1301.996071</v>
      </c>
      <c r="AK186" s="560">
        <v>3033.288153</v>
      </c>
      <c r="AL186" s="560">
        <v>200.75</v>
      </c>
      <c r="AM186" s="560">
        <v>0</v>
      </c>
      <c r="AN186" s="560">
        <v>0</v>
      </c>
      <c r="AO186" s="560">
        <v>0</v>
      </c>
      <c r="AP186" s="560">
        <v>0</v>
      </c>
      <c r="AQ186" s="560" t="s">
        <v>903</v>
      </c>
      <c r="AR186" s="560" t="s">
        <v>1742</v>
      </c>
      <c r="AS186" s="560">
        <v>0</v>
      </c>
      <c r="AT186" s="560">
        <v>0</v>
      </c>
      <c r="AU186" s="560">
        <v>0</v>
      </c>
      <c r="AV186" s="560">
        <v>69</v>
      </c>
      <c r="AW186" s="560">
        <v>64</v>
      </c>
      <c r="AX186" s="560">
        <v>74</v>
      </c>
      <c r="AY186" s="560">
        <v>78</v>
      </c>
      <c r="AZ186" s="560">
        <v>1</v>
      </c>
      <c r="BA186" s="560">
        <v>2268</v>
      </c>
      <c r="BB186" s="560">
        <v>0</v>
      </c>
      <c r="BC186" s="560">
        <v>0.5</v>
      </c>
      <c r="BD186" s="560">
        <v>0</v>
      </c>
      <c r="BE186" s="560" t="s">
        <v>1799</v>
      </c>
      <c r="BF186" s="560">
        <v>3</v>
      </c>
      <c r="BG186" s="560">
        <v>17.399999999999999</v>
      </c>
      <c r="BH186" s="560">
        <v>1</v>
      </c>
      <c r="BI186" s="560">
        <v>2</v>
      </c>
      <c r="BJ186" s="560">
        <v>35</v>
      </c>
      <c r="BK186" s="560">
        <v>0</v>
      </c>
      <c r="BL186" s="560" t="s">
        <v>1716</v>
      </c>
      <c r="BM186" s="560">
        <v>0.06</v>
      </c>
      <c r="BN186" s="560">
        <v>300</v>
      </c>
      <c r="BO186" s="560">
        <v>4.5</v>
      </c>
      <c r="BP186" s="560" t="s">
        <v>1747</v>
      </c>
      <c r="BQ186" s="560">
        <v>0.03</v>
      </c>
      <c r="BR186" s="560">
        <v>80</v>
      </c>
      <c r="BS186" s="560">
        <v>4.9000000000000004</v>
      </c>
      <c r="BT186" s="560">
        <v>2200</v>
      </c>
      <c r="BU186" s="560">
        <v>18700</v>
      </c>
      <c r="BV186" s="560">
        <v>200</v>
      </c>
      <c r="BW186" s="560">
        <v>26.8</v>
      </c>
      <c r="BX186" s="560">
        <v>2210</v>
      </c>
      <c r="BY186" s="560">
        <v>11.4</v>
      </c>
      <c r="BZ186" s="560">
        <v>1784</v>
      </c>
      <c r="CA186" s="560">
        <v>35</v>
      </c>
      <c r="CB186" s="560">
        <v>0.85</v>
      </c>
      <c r="CC186" s="560">
        <v>91</v>
      </c>
      <c r="CD186" s="560">
        <v>91</v>
      </c>
      <c r="CE186" s="560">
        <v>91</v>
      </c>
      <c r="CF186" s="560">
        <v>91</v>
      </c>
      <c r="CG186" s="560">
        <v>0.29299999999999998</v>
      </c>
      <c r="CH186" s="560">
        <v>0.3</v>
      </c>
      <c r="CI186" s="560">
        <v>0.54</v>
      </c>
      <c r="CJ186" s="560">
        <v>40</v>
      </c>
      <c r="CK186" s="560">
        <v>5</v>
      </c>
      <c r="CL186" s="560">
        <v>1</v>
      </c>
      <c r="CM186" s="562">
        <v>1584</v>
      </c>
      <c r="CN186" s="562">
        <v>160</v>
      </c>
      <c r="CO186" s="562">
        <v>26.8</v>
      </c>
      <c r="CP186" s="562">
        <v>0</v>
      </c>
      <c r="CQ186" s="562">
        <v>0</v>
      </c>
      <c r="CR186" s="562" t="s">
        <v>1718</v>
      </c>
      <c r="CS186" s="562">
        <v>0</v>
      </c>
      <c r="CT186" s="562">
        <v>0</v>
      </c>
      <c r="CU186" s="562">
        <v>0.75</v>
      </c>
      <c r="CV186" s="562">
        <v>1</v>
      </c>
      <c r="CW186" s="562">
        <v>1.75</v>
      </c>
      <c r="CX186" s="562">
        <v>2</v>
      </c>
      <c r="CY186" s="562">
        <v>1.5</v>
      </c>
      <c r="CZ186" s="560">
        <v>2181.666667</v>
      </c>
      <c r="DA186" s="560">
        <v>11.80555556</v>
      </c>
      <c r="DB186" s="560" t="s">
        <v>1719</v>
      </c>
      <c r="DC186" s="560">
        <v>50</v>
      </c>
      <c r="DD186" s="560">
        <v>4</v>
      </c>
      <c r="DE186" s="560" t="s">
        <v>1720</v>
      </c>
      <c r="DF186" s="560">
        <v>5</v>
      </c>
      <c r="DG186" s="560">
        <v>0</v>
      </c>
      <c r="DH186" s="560">
        <v>4.5</v>
      </c>
      <c r="DI186" s="560">
        <v>4.5</v>
      </c>
      <c r="DJ186" s="560">
        <v>0</v>
      </c>
      <c r="DK186" s="560">
        <v>0</v>
      </c>
      <c r="DL186" s="560">
        <v>0</v>
      </c>
      <c r="DM186" s="560">
        <v>0</v>
      </c>
      <c r="DN186" s="560">
        <v>0</v>
      </c>
      <c r="DO186" s="560">
        <v>0</v>
      </c>
    </row>
    <row r="187" spans="1:119" hidden="1">
      <c r="A187" s="560" t="s">
        <v>904</v>
      </c>
      <c r="B187" s="560" t="s">
        <v>1713</v>
      </c>
      <c r="C187" s="560" t="s">
        <v>764</v>
      </c>
      <c r="D187" s="560">
        <v>3</v>
      </c>
      <c r="E187" s="560">
        <v>439.57963699999999</v>
      </c>
      <c r="F187" s="560">
        <v>58.194254000000001</v>
      </c>
      <c r="G187" s="560">
        <v>4974.4274999999998</v>
      </c>
      <c r="H187" s="560">
        <v>139.9665</v>
      </c>
      <c r="I187" s="560">
        <v>0.968943</v>
      </c>
      <c r="J187" s="560">
        <v>0.259459</v>
      </c>
      <c r="K187" s="560">
        <v>0.278003</v>
      </c>
      <c r="L187" s="560">
        <v>0.375558</v>
      </c>
      <c r="M187" s="560">
        <v>9434.5542110000006</v>
      </c>
      <c r="N187" s="560">
        <v>9592.1602629999998</v>
      </c>
      <c r="O187" s="560">
        <v>3084.3868349999998</v>
      </c>
      <c r="P187" s="560">
        <v>89.309372999999994</v>
      </c>
      <c r="Q187" s="560">
        <v>266.779785</v>
      </c>
      <c r="R187" s="560">
        <v>1399.4420640000001</v>
      </c>
      <c r="S187" s="560">
        <v>887.10516199999995</v>
      </c>
      <c r="T187" s="560">
        <v>1053.915389</v>
      </c>
      <c r="U187" s="560">
        <v>254.21410800000001</v>
      </c>
      <c r="V187" s="560">
        <v>35.493046</v>
      </c>
      <c r="W187" s="560">
        <v>14.074054</v>
      </c>
      <c r="X187" s="560">
        <v>0</v>
      </c>
      <c r="Y187" s="560">
        <v>24.519632999999999</v>
      </c>
      <c r="Z187" s="560">
        <v>128.62221</v>
      </c>
      <c r="AA187" s="560">
        <v>36198.988513999997</v>
      </c>
      <c r="AB187" s="560">
        <v>36876.745122</v>
      </c>
      <c r="AC187" s="560">
        <v>22259.502111000002</v>
      </c>
      <c r="AD187" s="560">
        <v>15732.164360999999</v>
      </c>
      <c r="AE187" s="560">
        <v>650.43966399999999</v>
      </c>
      <c r="AF187" s="560">
        <v>12739.517005</v>
      </c>
      <c r="AG187" s="560">
        <v>13710.483619000001</v>
      </c>
      <c r="AH187" s="560">
        <v>3362.145356</v>
      </c>
      <c r="AI187" s="560">
        <v>0.35</v>
      </c>
      <c r="AJ187" s="560">
        <v>600.13731800000005</v>
      </c>
      <c r="AK187" s="560">
        <v>1670.3458559999999</v>
      </c>
      <c r="AL187" s="560">
        <v>200.75</v>
      </c>
      <c r="AM187" s="560">
        <v>0</v>
      </c>
      <c r="AN187" s="560">
        <v>0</v>
      </c>
      <c r="AO187" s="560">
        <v>0</v>
      </c>
      <c r="AP187" s="560">
        <v>0</v>
      </c>
      <c r="AQ187" s="560" t="s">
        <v>904</v>
      </c>
      <c r="AR187" s="560" t="s">
        <v>1714</v>
      </c>
      <c r="AS187" s="560">
        <v>0</v>
      </c>
      <c r="AT187" s="560">
        <v>0</v>
      </c>
      <c r="AU187" s="560">
        <v>0</v>
      </c>
      <c r="AV187" s="560">
        <v>69</v>
      </c>
      <c r="AW187" s="560">
        <v>64</v>
      </c>
      <c r="AX187" s="560">
        <v>74</v>
      </c>
      <c r="AY187" s="560">
        <v>78</v>
      </c>
      <c r="AZ187" s="560">
        <v>1</v>
      </c>
      <c r="BA187" s="560">
        <v>2522</v>
      </c>
      <c r="BB187" s="560">
        <v>0</v>
      </c>
      <c r="BC187" s="560">
        <v>0.5</v>
      </c>
      <c r="BD187" s="560">
        <v>0</v>
      </c>
      <c r="BE187" s="560" t="s">
        <v>1799</v>
      </c>
      <c r="BF187" s="560">
        <v>2.5</v>
      </c>
      <c r="BG187" s="560">
        <v>17.399999999999999</v>
      </c>
      <c r="BH187" s="560">
        <v>1</v>
      </c>
      <c r="BI187" s="560">
        <v>2</v>
      </c>
      <c r="BJ187" s="560">
        <v>35</v>
      </c>
      <c r="BK187" s="560">
        <v>0</v>
      </c>
      <c r="BL187" s="560" t="s">
        <v>1747</v>
      </c>
      <c r="BM187" s="560">
        <v>3.0000000000000001E-3</v>
      </c>
      <c r="BN187" s="560">
        <v>15</v>
      </c>
      <c r="BO187" s="560">
        <v>6</v>
      </c>
      <c r="BP187" s="560" t="s">
        <v>1747</v>
      </c>
      <c r="BQ187" s="560">
        <v>5.0000000000000001E-3</v>
      </c>
      <c r="BR187" s="560">
        <v>40</v>
      </c>
      <c r="BS187" s="560">
        <v>6</v>
      </c>
      <c r="BT187" s="560">
        <v>2688</v>
      </c>
      <c r="BU187" s="560">
        <v>22848</v>
      </c>
      <c r="BV187" s="560">
        <v>0</v>
      </c>
      <c r="BW187" s="560">
        <v>30.609376350000002</v>
      </c>
      <c r="BX187" s="560">
        <v>1480</v>
      </c>
      <c r="BY187" s="560">
        <v>17.543859650000002</v>
      </c>
      <c r="BZ187" s="560">
        <v>1344</v>
      </c>
      <c r="CA187" s="560">
        <v>37.664196859999997</v>
      </c>
      <c r="CB187" s="560">
        <v>0.85</v>
      </c>
      <c r="CC187" s="560">
        <v>94</v>
      </c>
      <c r="CD187" s="560">
        <v>94</v>
      </c>
      <c r="CE187" s="560">
        <v>94</v>
      </c>
      <c r="CF187" s="560">
        <v>94</v>
      </c>
      <c r="CG187" s="560">
        <v>0.29299999999999998</v>
      </c>
      <c r="CH187" s="560">
        <v>0.3</v>
      </c>
      <c r="CI187" s="560">
        <v>0.54</v>
      </c>
      <c r="CJ187" s="560">
        <v>40</v>
      </c>
      <c r="CK187" s="560">
        <v>5</v>
      </c>
      <c r="CL187" s="560">
        <v>4</v>
      </c>
      <c r="CM187" s="562">
        <v>1344</v>
      </c>
      <c r="CN187" s="562">
        <v>148</v>
      </c>
      <c r="CO187" s="562">
        <v>30.609376350000002</v>
      </c>
      <c r="CP187" s="562">
        <v>0</v>
      </c>
      <c r="CQ187" s="562">
        <v>0</v>
      </c>
      <c r="CR187" s="562" t="s">
        <v>1718</v>
      </c>
      <c r="CS187" s="562">
        <v>0</v>
      </c>
      <c r="CT187" s="562">
        <v>0</v>
      </c>
      <c r="CU187" s="562">
        <v>0.75</v>
      </c>
      <c r="CV187" s="562">
        <v>0.5</v>
      </c>
      <c r="CW187" s="562">
        <v>17.856999999999999</v>
      </c>
      <c r="CX187" s="562">
        <v>6.5</v>
      </c>
      <c r="CY187" s="562">
        <v>17.856999999999999</v>
      </c>
      <c r="CZ187" s="560">
        <v>2665.6</v>
      </c>
      <c r="DA187" s="560">
        <v>17</v>
      </c>
      <c r="DB187" s="560" t="s">
        <v>1719</v>
      </c>
      <c r="DC187" s="560">
        <v>50</v>
      </c>
      <c r="DD187" s="560">
        <v>4</v>
      </c>
      <c r="DE187" s="560" t="s">
        <v>1720</v>
      </c>
      <c r="DF187" s="560">
        <v>5</v>
      </c>
      <c r="DG187" s="560">
        <v>0</v>
      </c>
      <c r="DH187" s="560">
        <v>4.5</v>
      </c>
      <c r="DI187" s="560">
        <v>4.5</v>
      </c>
      <c r="DJ187" s="560">
        <v>0</v>
      </c>
      <c r="DK187" s="560">
        <v>0</v>
      </c>
      <c r="DL187" s="560">
        <v>0</v>
      </c>
      <c r="DM187" s="560">
        <v>0</v>
      </c>
      <c r="DN187" s="560">
        <v>0</v>
      </c>
      <c r="DO187" s="560">
        <v>0</v>
      </c>
    </row>
    <row r="188" spans="1:119" hidden="1">
      <c r="A188" s="560" t="s">
        <v>905</v>
      </c>
      <c r="B188" s="560" t="s">
        <v>1713</v>
      </c>
      <c r="C188" s="560" t="s">
        <v>767</v>
      </c>
      <c r="D188" s="560">
        <v>3</v>
      </c>
      <c r="E188" s="560">
        <v>439.57963699999999</v>
      </c>
      <c r="F188" s="560">
        <v>58.194254000000001</v>
      </c>
      <c r="G188" s="560">
        <v>4974.4274999999998</v>
      </c>
      <c r="H188" s="560">
        <v>391.60199999999998</v>
      </c>
      <c r="I188" s="560">
        <v>0.968943</v>
      </c>
      <c r="J188" s="560">
        <v>0.259459</v>
      </c>
      <c r="K188" s="560">
        <v>0.278003</v>
      </c>
      <c r="L188" s="560">
        <v>0.375558</v>
      </c>
      <c r="M188" s="560">
        <v>9434.5542110000006</v>
      </c>
      <c r="N188" s="560">
        <v>9592.1602629999998</v>
      </c>
      <c r="O188" s="560">
        <v>3084.3868349999998</v>
      </c>
      <c r="P188" s="560">
        <v>89.309372999999994</v>
      </c>
      <c r="Q188" s="560">
        <v>266.779785</v>
      </c>
      <c r="R188" s="560">
        <v>1399.4420640000001</v>
      </c>
      <c r="S188" s="560">
        <v>1789.08851</v>
      </c>
      <c r="T188" s="560">
        <v>1977.5496860000001</v>
      </c>
      <c r="U188" s="560">
        <v>475.19546800000001</v>
      </c>
      <c r="V188" s="560">
        <v>35.168267</v>
      </c>
      <c r="W188" s="560">
        <v>7.4627280000000003</v>
      </c>
      <c r="X188" s="560">
        <v>0</v>
      </c>
      <c r="Y188" s="560">
        <v>46.748452999999998</v>
      </c>
      <c r="Z188" s="560">
        <v>245.22754499999999</v>
      </c>
      <c r="AA188" s="560">
        <v>36198.988513999997</v>
      </c>
      <c r="AB188" s="560">
        <v>36876.745122</v>
      </c>
      <c r="AC188" s="560">
        <v>22259.502111000002</v>
      </c>
      <c r="AD188" s="560">
        <v>15732.164360999999</v>
      </c>
      <c r="AE188" s="560">
        <v>650.43966399999999</v>
      </c>
      <c r="AF188" s="560">
        <v>17251.651534000001</v>
      </c>
      <c r="AG188" s="560">
        <v>18665.179012000001</v>
      </c>
      <c r="AH188" s="560">
        <v>4518.8256250000004</v>
      </c>
      <c r="AI188" s="560">
        <v>0.35</v>
      </c>
      <c r="AJ188" s="560">
        <v>600.13731800000005</v>
      </c>
      <c r="AK188" s="560">
        <v>1670.3458559999999</v>
      </c>
      <c r="AL188" s="560">
        <v>200.75</v>
      </c>
      <c r="AM188" s="560">
        <v>0</v>
      </c>
      <c r="AN188" s="560">
        <v>0</v>
      </c>
      <c r="AO188" s="560">
        <v>0</v>
      </c>
      <c r="AP188" s="560">
        <v>0</v>
      </c>
      <c r="AQ188" s="560" t="s">
        <v>905</v>
      </c>
      <c r="AR188" s="560" t="s">
        <v>1722</v>
      </c>
      <c r="AS188" s="560">
        <v>0</v>
      </c>
      <c r="AT188" s="560">
        <v>0</v>
      </c>
      <c r="AU188" s="560">
        <v>0</v>
      </c>
      <c r="AV188" s="560">
        <v>69</v>
      </c>
      <c r="AW188" s="560">
        <v>64</v>
      </c>
      <c r="AX188" s="560">
        <v>74</v>
      </c>
      <c r="AY188" s="560">
        <v>78</v>
      </c>
      <c r="AZ188" s="560">
        <v>1</v>
      </c>
      <c r="BA188" s="560">
        <v>2522</v>
      </c>
      <c r="BB188" s="560">
        <v>0</v>
      </c>
      <c r="BC188" s="560">
        <v>0.5</v>
      </c>
      <c r="BD188" s="560">
        <v>0</v>
      </c>
      <c r="BE188" s="560" t="s">
        <v>1799</v>
      </c>
      <c r="BF188" s="560">
        <v>2.5</v>
      </c>
      <c r="BG188" s="560">
        <v>17.399999999999999</v>
      </c>
      <c r="BH188" s="560">
        <v>1</v>
      </c>
      <c r="BI188" s="560">
        <v>2</v>
      </c>
      <c r="BJ188" s="560">
        <v>35</v>
      </c>
      <c r="BK188" s="560">
        <v>0</v>
      </c>
      <c r="BL188" s="560" t="s">
        <v>1747</v>
      </c>
      <c r="BM188" s="560">
        <v>3.0000000000000001E-3</v>
      </c>
      <c r="BN188" s="560">
        <v>15</v>
      </c>
      <c r="BO188" s="560">
        <v>6</v>
      </c>
      <c r="BP188" s="560" t="s">
        <v>1747</v>
      </c>
      <c r="BQ188" s="560">
        <v>5.0000000000000001E-3</v>
      </c>
      <c r="BR188" s="560">
        <v>40</v>
      </c>
      <c r="BS188" s="560">
        <v>6</v>
      </c>
      <c r="BT188" s="560">
        <v>2688</v>
      </c>
      <c r="BU188" s="560">
        <v>22848</v>
      </c>
      <c r="BV188" s="560">
        <v>0</v>
      </c>
      <c r="BW188" s="560">
        <v>30.609376350000002</v>
      </c>
      <c r="BX188" s="560">
        <v>1480</v>
      </c>
      <c r="BY188" s="560">
        <v>17.543859650000002</v>
      </c>
      <c r="BZ188" s="560">
        <v>1344</v>
      </c>
      <c r="CA188" s="560">
        <v>37.664196859999997</v>
      </c>
      <c r="CB188" s="560">
        <v>0.85</v>
      </c>
      <c r="CC188" s="560">
        <v>94</v>
      </c>
      <c r="CD188" s="560">
        <v>94</v>
      </c>
      <c r="CE188" s="560">
        <v>94</v>
      </c>
      <c r="CF188" s="560">
        <v>94</v>
      </c>
      <c r="CG188" s="560">
        <v>0.29299999999999998</v>
      </c>
      <c r="CH188" s="560">
        <v>0.3</v>
      </c>
      <c r="CI188" s="560">
        <v>0.54</v>
      </c>
      <c r="CJ188" s="560">
        <v>40</v>
      </c>
      <c r="CK188" s="560">
        <v>5</v>
      </c>
      <c r="CL188" s="560">
        <v>4</v>
      </c>
      <c r="CM188" s="562">
        <v>1344</v>
      </c>
      <c r="CN188" s="562">
        <v>148</v>
      </c>
      <c r="CO188" s="562">
        <v>30.609376350000002</v>
      </c>
      <c r="CP188" s="562">
        <v>0</v>
      </c>
      <c r="CQ188" s="562">
        <v>0</v>
      </c>
      <c r="CR188" s="562" t="s">
        <v>1718</v>
      </c>
      <c r="CS188" s="562">
        <v>0</v>
      </c>
      <c r="CT188" s="562">
        <v>0</v>
      </c>
      <c r="CU188" s="562">
        <v>0.75</v>
      </c>
      <c r="CV188" s="562">
        <v>0.5</v>
      </c>
      <c r="CW188" s="562">
        <v>17.856999999999999</v>
      </c>
      <c r="CX188" s="562">
        <v>6.5</v>
      </c>
      <c r="CY188" s="562">
        <v>17.856999999999999</v>
      </c>
      <c r="CZ188" s="560">
        <v>2665.6</v>
      </c>
      <c r="DA188" s="560">
        <v>17</v>
      </c>
      <c r="DB188" s="560" t="s">
        <v>1719</v>
      </c>
      <c r="DC188" s="560">
        <v>50</v>
      </c>
      <c r="DD188" s="560">
        <v>4</v>
      </c>
      <c r="DE188" s="560" t="s">
        <v>1720</v>
      </c>
      <c r="DF188" s="560">
        <v>5</v>
      </c>
      <c r="DG188" s="560">
        <v>0</v>
      </c>
      <c r="DH188" s="560">
        <v>4.5</v>
      </c>
      <c r="DI188" s="560">
        <v>4.5</v>
      </c>
      <c r="DJ188" s="560">
        <v>0</v>
      </c>
      <c r="DK188" s="560">
        <v>0</v>
      </c>
      <c r="DL188" s="560">
        <v>0</v>
      </c>
      <c r="DM188" s="560">
        <v>0</v>
      </c>
      <c r="DN188" s="560">
        <v>0</v>
      </c>
      <c r="DO188" s="560">
        <v>0</v>
      </c>
    </row>
    <row r="189" spans="1:119" hidden="1">
      <c r="A189" s="560" t="s">
        <v>906</v>
      </c>
      <c r="B189" s="560" t="s">
        <v>1713</v>
      </c>
      <c r="C189" s="560" t="s">
        <v>770</v>
      </c>
      <c r="D189" s="560">
        <v>3</v>
      </c>
      <c r="E189" s="560">
        <v>439.57963699999999</v>
      </c>
      <c r="F189" s="560">
        <v>58.194254000000001</v>
      </c>
      <c r="G189" s="560">
        <v>4974.4274999999998</v>
      </c>
      <c r="H189" s="560">
        <v>755.94</v>
      </c>
      <c r="I189" s="560">
        <v>0.968943</v>
      </c>
      <c r="J189" s="560">
        <v>0.259459</v>
      </c>
      <c r="K189" s="560">
        <v>0.278003</v>
      </c>
      <c r="L189" s="560">
        <v>0.375558</v>
      </c>
      <c r="M189" s="560">
        <v>9434.5542110000006</v>
      </c>
      <c r="N189" s="560">
        <v>9592.1602629999998</v>
      </c>
      <c r="O189" s="560">
        <v>3084.3868349999998</v>
      </c>
      <c r="P189" s="560">
        <v>89.309372999999994</v>
      </c>
      <c r="Q189" s="560">
        <v>266.779785</v>
      </c>
      <c r="R189" s="560">
        <v>1399.4420640000001</v>
      </c>
      <c r="S189" s="560">
        <v>3032.3074459999998</v>
      </c>
      <c r="T189" s="560">
        <v>3175.3384449999999</v>
      </c>
      <c r="U189" s="560">
        <v>765.57208400000002</v>
      </c>
      <c r="V189" s="560">
        <v>17.372004</v>
      </c>
      <c r="W189" s="560">
        <v>2.2691530000000002</v>
      </c>
      <c r="X189" s="560">
        <v>0</v>
      </c>
      <c r="Y189" s="560">
        <v>76.389345000000006</v>
      </c>
      <c r="Z189" s="560">
        <v>400.71425499999998</v>
      </c>
      <c r="AA189" s="560">
        <v>36198.988513999997</v>
      </c>
      <c r="AB189" s="560">
        <v>36876.745122</v>
      </c>
      <c r="AC189" s="560">
        <v>22259.502111000002</v>
      </c>
      <c r="AD189" s="560">
        <v>15732.164360999999</v>
      </c>
      <c r="AE189" s="560">
        <v>650.43966399999999</v>
      </c>
      <c r="AF189" s="560">
        <v>19227.454378999999</v>
      </c>
      <c r="AG189" s="560">
        <v>19868.236019</v>
      </c>
      <c r="AH189" s="560">
        <v>5034.0512479999998</v>
      </c>
      <c r="AI189" s="560">
        <v>0.35</v>
      </c>
      <c r="AJ189" s="560">
        <v>600.13731800000005</v>
      </c>
      <c r="AK189" s="560">
        <v>1670.3458559999999</v>
      </c>
      <c r="AL189" s="560">
        <v>200.75</v>
      </c>
      <c r="AM189" s="560">
        <v>0</v>
      </c>
      <c r="AN189" s="560">
        <v>0</v>
      </c>
      <c r="AO189" s="560">
        <v>0</v>
      </c>
      <c r="AP189" s="560">
        <v>0</v>
      </c>
      <c r="AQ189" s="560" t="s">
        <v>906</v>
      </c>
      <c r="AR189" s="560" t="s">
        <v>1724</v>
      </c>
      <c r="AS189" s="560">
        <v>0</v>
      </c>
      <c r="AT189" s="560">
        <v>0</v>
      </c>
      <c r="AU189" s="560">
        <v>0</v>
      </c>
      <c r="AV189" s="560">
        <v>69</v>
      </c>
      <c r="AW189" s="560">
        <v>64</v>
      </c>
      <c r="AX189" s="560">
        <v>74</v>
      </c>
      <c r="AY189" s="560">
        <v>78</v>
      </c>
      <c r="AZ189" s="560">
        <v>1</v>
      </c>
      <c r="BA189" s="560">
        <v>2522</v>
      </c>
      <c r="BB189" s="560">
        <v>0</v>
      </c>
      <c r="BC189" s="560">
        <v>0.5</v>
      </c>
      <c r="BD189" s="560">
        <v>0</v>
      </c>
      <c r="BE189" s="560" t="s">
        <v>1799</v>
      </c>
      <c r="BF189" s="560">
        <v>2.5</v>
      </c>
      <c r="BG189" s="560">
        <v>17.399999999999999</v>
      </c>
      <c r="BH189" s="560">
        <v>1</v>
      </c>
      <c r="BI189" s="560">
        <v>2</v>
      </c>
      <c r="BJ189" s="560">
        <v>35</v>
      </c>
      <c r="BK189" s="560">
        <v>0</v>
      </c>
      <c r="BL189" s="560" t="s">
        <v>1747</v>
      </c>
      <c r="BM189" s="560">
        <v>3.0000000000000001E-3</v>
      </c>
      <c r="BN189" s="560">
        <v>15</v>
      </c>
      <c r="BO189" s="560">
        <v>6</v>
      </c>
      <c r="BP189" s="560" t="s">
        <v>1747</v>
      </c>
      <c r="BQ189" s="560">
        <v>5.0000000000000001E-3</v>
      </c>
      <c r="BR189" s="560">
        <v>40</v>
      </c>
      <c r="BS189" s="560">
        <v>6</v>
      </c>
      <c r="BT189" s="560">
        <v>2688</v>
      </c>
      <c r="BU189" s="560">
        <v>22848</v>
      </c>
      <c r="BV189" s="560">
        <v>0</v>
      </c>
      <c r="BW189" s="560">
        <v>30.609376350000002</v>
      </c>
      <c r="BX189" s="560">
        <v>1480</v>
      </c>
      <c r="BY189" s="560">
        <v>17.543859650000002</v>
      </c>
      <c r="BZ189" s="560">
        <v>1344</v>
      </c>
      <c r="CA189" s="560">
        <v>37.664196859999997</v>
      </c>
      <c r="CB189" s="560">
        <v>0.85</v>
      </c>
      <c r="CC189" s="560">
        <v>94</v>
      </c>
      <c r="CD189" s="560">
        <v>94</v>
      </c>
      <c r="CE189" s="560">
        <v>94</v>
      </c>
      <c r="CF189" s="560">
        <v>94</v>
      </c>
      <c r="CG189" s="560">
        <v>0.29299999999999998</v>
      </c>
      <c r="CH189" s="560">
        <v>0.3</v>
      </c>
      <c r="CI189" s="560">
        <v>0.54</v>
      </c>
      <c r="CJ189" s="560">
        <v>40</v>
      </c>
      <c r="CK189" s="560">
        <v>5</v>
      </c>
      <c r="CL189" s="560">
        <v>4</v>
      </c>
      <c r="CM189" s="562">
        <v>1344</v>
      </c>
      <c r="CN189" s="562">
        <v>148</v>
      </c>
      <c r="CO189" s="562">
        <v>30.609376350000002</v>
      </c>
      <c r="CP189" s="562">
        <v>0</v>
      </c>
      <c r="CQ189" s="562">
        <v>0</v>
      </c>
      <c r="CR189" s="562" t="s">
        <v>1718</v>
      </c>
      <c r="CS189" s="562">
        <v>0</v>
      </c>
      <c r="CT189" s="562">
        <v>0</v>
      </c>
      <c r="CU189" s="562">
        <v>0.75</v>
      </c>
      <c r="CV189" s="562">
        <v>0.5</v>
      </c>
      <c r="CW189" s="562">
        <v>17.856999999999999</v>
      </c>
      <c r="CX189" s="562">
        <v>6.5</v>
      </c>
      <c r="CY189" s="562">
        <v>17.856999999999999</v>
      </c>
      <c r="CZ189" s="560">
        <v>2665.6</v>
      </c>
      <c r="DA189" s="560">
        <v>17</v>
      </c>
      <c r="DB189" s="560" t="s">
        <v>1719</v>
      </c>
      <c r="DC189" s="560">
        <v>50</v>
      </c>
      <c r="DD189" s="560">
        <v>4</v>
      </c>
      <c r="DE189" s="560" t="s">
        <v>1720</v>
      </c>
      <c r="DF189" s="560">
        <v>5</v>
      </c>
      <c r="DG189" s="560">
        <v>0</v>
      </c>
      <c r="DH189" s="560">
        <v>4.5</v>
      </c>
      <c r="DI189" s="560">
        <v>4.5</v>
      </c>
      <c r="DJ189" s="560">
        <v>0</v>
      </c>
      <c r="DK189" s="560">
        <v>0</v>
      </c>
      <c r="DL189" s="560">
        <v>0</v>
      </c>
      <c r="DM189" s="560">
        <v>0</v>
      </c>
      <c r="DN189" s="560">
        <v>0</v>
      </c>
      <c r="DO189" s="560">
        <v>0</v>
      </c>
    </row>
    <row r="190" spans="1:119" hidden="1">
      <c r="A190" s="560" t="s">
        <v>907</v>
      </c>
      <c r="B190" s="560" t="s">
        <v>1713</v>
      </c>
      <c r="C190" s="560" t="s">
        <v>764</v>
      </c>
      <c r="D190" s="560">
        <v>3</v>
      </c>
      <c r="E190" s="560">
        <v>474.02737200000001</v>
      </c>
      <c r="F190" s="560">
        <v>58.562381000000002</v>
      </c>
      <c r="G190" s="560">
        <v>4974.4274999999998</v>
      </c>
      <c r="H190" s="560">
        <v>139.9665</v>
      </c>
      <c r="I190" s="560">
        <v>0.968943</v>
      </c>
      <c r="J190" s="560">
        <v>0.25909100000000002</v>
      </c>
      <c r="K190" s="560">
        <v>0.27608300000000002</v>
      </c>
      <c r="L190" s="560">
        <v>0.37603900000000001</v>
      </c>
      <c r="M190" s="560">
        <v>10531.589663000001</v>
      </c>
      <c r="N190" s="560">
        <v>10732.900556000001</v>
      </c>
      <c r="O190" s="560">
        <v>3449.009274</v>
      </c>
      <c r="P190" s="560">
        <v>122.815231</v>
      </c>
      <c r="Q190" s="560">
        <v>297.21672000000001</v>
      </c>
      <c r="R190" s="560">
        <v>1559.104562</v>
      </c>
      <c r="S190" s="560">
        <v>891.06695300000001</v>
      </c>
      <c r="T190" s="560">
        <v>1055.225207</v>
      </c>
      <c r="U190" s="560">
        <v>254.056308</v>
      </c>
      <c r="V190" s="560">
        <v>33.980572000000002</v>
      </c>
      <c r="W190" s="560">
        <v>13.522157</v>
      </c>
      <c r="X190" s="560">
        <v>0</v>
      </c>
      <c r="Y190" s="560">
        <v>24.568102</v>
      </c>
      <c r="Z190" s="560">
        <v>128.876463</v>
      </c>
      <c r="AA190" s="560">
        <v>37735.057794</v>
      </c>
      <c r="AB190" s="560">
        <v>38514.319054</v>
      </c>
      <c r="AC190" s="560">
        <v>23859.860321</v>
      </c>
      <c r="AD190" s="560">
        <v>17334.203054000001</v>
      </c>
      <c r="AE190" s="560">
        <v>650.43966399999999</v>
      </c>
      <c r="AF190" s="560">
        <v>13389.909847000001</v>
      </c>
      <c r="AG190" s="560">
        <v>14409.551428000001</v>
      </c>
      <c r="AH190" s="560">
        <v>3524.8985069999999</v>
      </c>
      <c r="AI190" s="560">
        <v>2.15</v>
      </c>
      <c r="AJ190" s="560">
        <v>661.25419299999999</v>
      </c>
      <c r="AK190" s="560">
        <v>1840.2162800000001</v>
      </c>
      <c r="AL190" s="560">
        <v>200.75</v>
      </c>
      <c r="AM190" s="560">
        <v>0</v>
      </c>
      <c r="AN190" s="560">
        <v>0</v>
      </c>
      <c r="AO190" s="560">
        <v>0</v>
      </c>
      <c r="AP190" s="560">
        <v>0</v>
      </c>
      <c r="AQ190" s="560" t="s">
        <v>907</v>
      </c>
      <c r="AR190" s="560" t="s">
        <v>1714</v>
      </c>
      <c r="AS190" s="560">
        <v>0</v>
      </c>
      <c r="AT190" s="560">
        <v>0</v>
      </c>
      <c r="AU190" s="560">
        <v>0</v>
      </c>
      <c r="AV190" s="560">
        <v>69</v>
      </c>
      <c r="AW190" s="560">
        <v>64</v>
      </c>
      <c r="AX190" s="560">
        <v>74</v>
      </c>
      <c r="AY190" s="560">
        <v>78</v>
      </c>
      <c r="AZ190" s="560">
        <v>1</v>
      </c>
      <c r="BA190" s="560">
        <v>2522</v>
      </c>
      <c r="BB190" s="560">
        <v>0</v>
      </c>
      <c r="BC190" s="560">
        <v>0.5</v>
      </c>
      <c r="BD190" s="560">
        <v>0</v>
      </c>
      <c r="BE190" s="560" t="s">
        <v>1799</v>
      </c>
      <c r="BF190" s="560">
        <v>2.5</v>
      </c>
      <c r="BG190" s="560">
        <v>17.399999999999999</v>
      </c>
      <c r="BH190" s="560">
        <v>1</v>
      </c>
      <c r="BI190" s="560">
        <v>2</v>
      </c>
      <c r="BJ190" s="560">
        <v>35</v>
      </c>
      <c r="BK190" s="560">
        <v>0</v>
      </c>
      <c r="BL190" s="560" t="s">
        <v>1747</v>
      </c>
      <c r="BM190" s="560">
        <v>3.0000000000000001E-3</v>
      </c>
      <c r="BN190" s="560">
        <v>15</v>
      </c>
      <c r="BO190" s="560">
        <v>4.5</v>
      </c>
      <c r="BP190" s="560" t="s">
        <v>1747</v>
      </c>
      <c r="BQ190" s="560">
        <v>5.0000000000000001E-3</v>
      </c>
      <c r="BR190" s="560">
        <v>40</v>
      </c>
      <c r="BS190" s="560">
        <v>4.9000000000000004</v>
      </c>
      <c r="BT190" s="560">
        <v>2688</v>
      </c>
      <c r="BU190" s="560">
        <v>22848</v>
      </c>
      <c r="BV190" s="560">
        <v>0</v>
      </c>
      <c r="BW190" s="560">
        <v>26.8</v>
      </c>
      <c r="BX190" s="560">
        <v>1480</v>
      </c>
      <c r="BY190" s="560">
        <v>11.4</v>
      </c>
      <c r="BZ190" s="560">
        <v>1344</v>
      </c>
      <c r="CA190" s="560">
        <v>35</v>
      </c>
      <c r="CB190" s="560">
        <v>0.85</v>
      </c>
      <c r="CC190" s="560">
        <v>94</v>
      </c>
      <c r="CD190" s="560">
        <v>94</v>
      </c>
      <c r="CE190" s="560">
        <v>94</v>
      </c>
      <c r="CF190" s="560">
        <v>94</v>
      </c>
      <c r="CG190" s="560">
        <v>0.29299999999999998</v>
      </c>
      <c r="CH190" s="560">
        <v>0.3</v>
      </c>
      <c r="CI190" s="560">
        <v>0.54</v>
      </c>
      <c r="CJ190" s="560">
        <v>40</v>
      </c>
      <c r="CK190" s="560">
        <v>5</v>
      </c>
      <c r="CL190" s="560">
        <v>4</v>
      </c>
      <c r="CM190" s="562">
        <v>1344</v>
      </c>
      <c r="CN190" s="562">
        <v>148</v>
      </c>
      <c r="CO190" s="562">
        <v>26.8</v>
      </c>
      <c r="CP190" s="562">
        <v>0</v>
      </c>
      <c r="CQ190" s="562">
        <v>0</v>
      </c>
      <c r="CR190" s="562" t="s">
        <v>1718</v>
      </c>
      <c r="CS190" s="562">
        <v>0</v>
      </c>
      <c r="CT190" s="562">
        <v>0</v>
      </c>
      <c r="CU190" s="562">
        <v>0.75</v>
      </c>
      <c r="CV190" s="562">
        <v>0.5</v>
      </c>
      <c r="CW190" s="562">
        <v>17.856999999999999</v>
      </c>
      <c r="CX190" s="562">
        <v>6.5</v>
      </c>
      <c r="CY190" s="562">
        <v>17.856999999999999</v>
      </c>
      <c r="CZ190" s="560">
        <v>2665.6</v>
      </c>
      <c r="DA190" s="560">
        <v>17</v>
      </c>
      <c r="DB190" s="560" t="s">
        <v>1719</v>
      </c>
      <c r="DC190" s="560">
        <v>50</v>
      </c>
      <c r="DD190" s="560">
        <v>4</v>
      </c>
      <c r="DE190" s="560" t="s">
        <v>1720</v>
      </c>
      <c r="DF190" s="560">
        <v>5</v>
      </c>
      <c r="DG190" s="560">
        <v>0</v>
      </c>
      <c r="DH190" s="560">
        <v>4.5</v>
      </c>
      <c r="DI190" s="560">
        <v>4.5</v>
      </c>
      <c r="DJ190" s="560">
        <v>0</v>
      </c>
      <c r="DK190" s="560">
        <v>0</v>
      </c>
      <c r="DL190" s="560">
        <v>0</v>
      </c>
      <c r="DM190" s="560">
        <v>0</v>
      </c>
      <c r="DN190" s="560">
        <v>0</v>
      </c>
      <c r="DO190" s="560">
        <v>0</v>
      </c>
    </row>
    <row r="191" spans="1:119" hidden="1">
      <c r="A191" s="560" t="s">
        <v>908</v>
      </c>
      <c r="B191" s="560" t="s">
        <v>1713</v>
      </c>
      <c r="C191" s="560" t="s">
        <v>767</v>
      </c>
      <c r="D191" s="560">
        <v>3</v>
      </c>
      <c r="E191" s="560">
        <v>474.02737200000001</v>
      </c>
      <c r="F191" s="560">
        <v>58.562381000000002</v>
      </c>
      <c r="G191" s="560">
        <v>4974.4274999999998</v>
      </c>
      <c r="H191" s="560">
        <v>391.60199999999998</v>
      </c>
      <c r="I191" s="560">
        <v>0.968943</v>
      </c>
      <c r="J191" s="560">
        <v>0.25909100000000002</v>
      </c>
      <c r="K191" s="560">
        <v>0.27608300000000002</v>
      </c>
      <c r="L191" s="560">
        <v>0.37603900000000001</v>
      </c>
      <c r="M191" s="560">
        <v>10531.589663000001</v>
      </c>
      <c r="N191" s="560">
        <v>10732.900556000001</v>
      </c>
      <c r="O191" s="560">
        <v>3449.009274</v>
      </c>
      <c r="P191" s="560">
        <v>122.815231</v>
      </c>
      <c r="Q191" s="560">
        <v>297.21672000000001</v>
      </c>
      <c r="R191" s="560">
        <v>1559.104562</v>
      </c>
      <c r="S191" s="560">
        <v>1834.952949</v>
      </c>
      <c r="T191" s="560">
        <v>2026.374793</v>
      </c>
      <c r="U191" s="560">
        <v>485.67804599999999</v>
      </c>
      <c r="V191" s="560">
        <v>33.866807000000001</v>
      </c>
      <c r="W191" s="560">
        <v>7.0845589999999996</v>
      </c>
      <c r="X191" s="560">
        <v>0</v>
      </c>
      <c r="Y191" s="560">
        <v>47.922367999999999</v>
      </c>
      <c r="Z191" s="560">
        <v>251.38552899999999</v>
      </c>
      <c r="AA191" s="560">
        <v>37735.057794</v>
      </c>
      <c r="AB191" s="560">
        <v>38514.319054</v>
      </c>
      <c r="AC191" s="560">
        <v>23859.860321</v>
      </c>
      <c r="AD191" s="560">
        <v>17334.203054000001</v>
      </c>
      <c r="AE191" s="560">
        <v>650.43966399999999</v>
      </c>
      <c r="AF191" s="560">
        <v>18069.521883000001</v>
      </c>
      <c r="AG191" s="560">
        <v>19578.558295999999</v>
      </c>
      <c r="AH191" s="560">
        <v>4728.1157919999996</v>
      </c>
      <c r="AI191" s="560">
        <v>2.15</v>
      </c>
      <c r="AJ191" s="560">
        <v>661.25419299999999</v>
      </c>
      <c r="AK191" s="560">
        <v>1840.2162800000001</v>
      </c>
      <c r="AL191" s="560">
        <v>200.75</v>
      </c>
      <c r="AM191" s="560">
        <v>0</v>
      </c>
      <c r="AN191" s="560">
        <v>0</v>
      </c>
      <c r="AO191" s="560">
        <v>0</v>
      </c>
      <c r="AP191" s="560">
        <v>0</v>
      </c>
      <c r="AQ191" s="560" t="s">
        <v>908</v>
      </c>
      <c r="AR191" s="560" t="s">
        <v>1722</v>
      </c>
      <c r="AS191" s="560">
        <v>0</v>
      </c>
      <c r="AT191" s="560">
        <v>0</v>
      </c>
      <c r="AU191" s="560">
        <v>0</v>
      </c>
      <c r="AV191" s="560">
        <v>69</v>
      </c>
      <c r="AW191" s="560">
        <v>64</v>
      </c>
      <c r="AX191" s="560">
        <v>74</v>
      </c>
      <c r="AY191" s="560">
        <v>78</v>
      </c>
      <c r="AZ191" s="560">
        <v>1</v>
      </c>
      <c r="BA191" s="560">
        <v>2522</v>
      </c>
      <c r="BB191" s="560">
        <v>0</v>
      </c>
      <c r="BC191" s="560">
        <v>0.5</v>
      </c>
      <c r="BD191" s="560">
        <v>0</v>
      </c>
      <c r="BE191" s="560" t="s">
        <v>1799</v>
      </c>
      <c r="BF191" s="560">
        <v>2.5</v>
      </c>
      <c r="BG191" s="560">
        <v>17.399999999999999</v>
      </c>
      <c r="BH191" s="560">
        <v>1</v>
      </c>
      <c r="BI191" s="560">
        <v>2</v>
      </c>
      <c r="BJ191" s="560">
        <v>35</v>
      </c>
      <c r="BK191" s="560">
        <v>0</v>
      </c>
      <c r="BL191" s="560" t="s">
        <v>1747</v>
      </c>
      <c r="BM191" s="560">
        <v>3.0000000000000001E-3</v>
      </c>
      <c r="BN191" s="560">
        <v>15</v>
      </c>
      <c r="BO191" s="560">
        <v>4.5</v>
      </c>
      <c r="BP191" s="560" t="s">
        <v>1747</v>
      </c>
      <c r="BQ191" s="560">
        <v>5.0000000000000001E-3</v>
      </c>
      <c r="BR191" s="560">
        <v>40</v>
      </c>
      <c r="BS191" s="560">
        <v>4.9000000000000004</v>
      </c>
      <c r="BT191" s="560">
        <v>2688</v>
      </c>
      <c r="BU191" s="560">
        <v>22848</v>
      </c>
      <c r="BV191" s="560">
        <v>0</v>
      </c>
      <c r="BW191" s="560">
        <v>26.8</v>
      </c>
      <c r="BX191" s="560">
        <v>1480</v>
      </c>
      <c r="BY191" s="560">
        <v>11.4</v>
      </c>
      <c r="BZ191" s="560">
        <v>1344</v>
      </c>
      <c r="CA191" s="560">
        <v>35</v>
      </c>
      <c r="CB191" s="560">
        <v>0.85</v>
      </c>
      <c r="CC191" s="560">
        <v>94</v>
      </c>
      <c r="CD191" s="560">
        <v>94</v>
      </c>
      <c r="CE191" s="560">
        <v>94</v>
      </c>
      <c r="CF191" s="560">
        <v>94</v>
      </c>
      <c r="CG191" s="560">
        <v>0.29299999999999998</v>
      </c>
      <c r="CH191" s="560">
        <v>0.3</v>
      </c>
      <c r="CI191" s="560">
        <v>0.54</v>
      </c>
      <c r="CJ191" s="560">
        <v>40</v>
      </c>
      <c r="CK191" s="560">
        <v>5</v>
      </c>
      <c r="CL191" s="560">
        <v>4</v>
      </c>
      <c r="CM191" s="562">
        <v>1344</v>
      </c>
      <c r="CN191" s="562">
        <v>148</v>
      </c>
      <c r="CO191" s="562">
        <v>26.8</v>
      </c>
      <c r="CP191" s="562">
        <v>0</v>
      </c>
      <c r="CQ191" s="562">
        <v>0</v>
      </c>
      <c r="CR191" s="562" t="s">
        <v>1718</v>
      </c>
      <c r="CS191" s="562">
        <v>0</v>
      </c>
      <c r="CT191" s="562">
        <v>0</v>
      </c>
      <c r="CU191" s="562">
        <v>0.75</v>
      </c>
      <c r="CV191" s="562">
        <v>0.5</v>
      </c>
      <c r="CW191" s="562">
        <v>17.856999999999999</v>
      </c>
      <c r="CX191" s="562">
        <v>6.5</v>
      </c>
      <c r="CY191" s="562">
        <v>17.856999999999999</v>
      </c>
      <c r="CZ191" s="560">
        <v>2665.6</v>
      </c>
      <c r="DA191" s="560">
        <v>17</v>
      </c>
      <c r="DB191" s="560" t="s">
        <v>1719</v>
      </c>
      <c r="DC191" s="560">
        <v>50</v>
      </c>
      <c r="DD191" s="560">
        <v>4</v>
      </c>
      <c r="DE191" s="560" t="s">
        <v>1720</v>
      </c>
      <c r="DF191" s="560">
        <v>5</v>
      </c>
      <c r="DG191" s="560">
        <v>0</v>
      </c>
      <c r="DH191" s="560">
        <v>4.5</v>
      </c>
      <c r="DI191" s="560">
        <v>4.5</v>
      </c>
      <c r="DJ191" s="560">
        <v>0</v>
      </c>
      <c r="DK191" s="560">
        <v>0</v>
      </c>
      <c r="DL191" s="560">
        <v>0</v>
      </c>
      <c r="DM191" s="560">
        <v>0</v>
      </c>
      <c r="DN191" s="560">
        <v>0</v>
      </c>
      <c r="DO191" s="560">
        <v>0</v>
      </c>
    </row>
    <row r="192" spans="1:119" hidden="1">
      <c r="A192" s="560" t="s">
        <v>909</v>
      </c>
      <c r="B192" s="560" t="s">
        <v>1713</v>
      </c>
      <c r="C192" s="560" t="s">
        <v>770</v>
      </c>
      <c r="D192" s="560">
        <v>3</v>
      </c>
      <c r="E192" s="560">
        <v>474.02737200000001</v>
      </c>
      <c r="F192" s="560">
        <v>58.562381000000002</v>
      </c>
      <c r="G192" s="560">
        <v>4974.4274999999998</v>
      </c>
      <c r="H192" s="560">
        <v>755.94</v>
      </c>
      <c r="I192" s="560">
        <v>0.968943</v>
      </c>
      <c r="J192" s="560">
        <v>0.25909100000000002</v>
      </c>
      <c r="K192" s="560">
        <v>0.27608300000000002</v>
      </c>
      <c r="L192" s="560">
        <v>0.37603900000000001</v>
      </c>
      <c r="M192" s="560">
        <v>10531.589663000001</v>
      </c>
      <c r="N192" s="560">
        <v>10732.900556000001</v>
      </c>
      <c r="O192" s="560">
        <v>3449.009274</v>
      </c>
      <c r="P192" s="560">
        <v>122.815231</v>
      </c>
      <c r="Q192" s="560">
        <v>297.21672000000001</v>
      </c>
      <c r="R192" s="560">
        <v>1559.104562</v>
      </c>
      <c r="S192" s="560">
        <v>3130.205007</v>
      </c>
      <c r="T192" s="560">
        <v>3285.6904650000001</v>
      </c>
      <c r="U192" s="560">
        <v>789.33243600000003</v>
      </c>
      <c r="V192" s="560">
        <v>16.652051</v>
      </c>
      <c r="W192" s="560">
        <v>2.1096370000000002</v>
      </c>
      <c r="X192" s="560">
        <v>0</v>
      </c>
      <c r="Y192" s="560">
        <v>79.024229000000005</v>
      </c>
      <c r="Z192" s="560">
        <v>414.53601800000001</v>
      </c>
      <c r="AA192" s="560">
        <v>37735.057794</v>
      </c>
      <c r="AB192" s="560">
        <v>38514.319054</v>
      </c>
      <c r="AC192" s="560">
        <v>23859.860321</v>
      </c>
      <c r="AD192" s="560">
        <v>17334.203054000001</v>
      </c>
      <c r="AE192" s="560">
        <v>650.43966399999999</v>
      </c>
      <c r="AF192" s="560">
        <v>20210.595789999999</v>
      </c>
      <c r="AG192" s="560">
        <v>20997.673794999999</v>
      </c>
      <c r="AH192" s="560">
        <v>5294.5128839999998</v>
      </c>
      <c r="AI192" s="560">
        <v>2.15</v>
      </c>
      <c r="AJ192" s="560">
        <v>661.25419299999999</v>
      </c>
      <c r="AK192" s="560">
        <v>1840.2162800000001</v>
      </c>
      <c r="AL192" s="560">
        <v>200.75</v>
      </c>
      <c r="AM192" s="560">
        <v>0</v>
      </c>
      <c r="AN192" s="560">
        <v>0</v>
      </c>
      <c r="AO192" s="560">
        <v>0</v>
      </c>
      <c r="AP192" s="560">
        <v>0</v>
      </c>
      <c r="AQ192" s="560" t="s">
        <v>909</v>
      </c>
      <c r="AR192" s="560" t="s">
        <v>1724</v>
      </c>
      <c r="AS192" s="560">
        <v>0</v>
      </c>
      <c r="AT192" s="560">
        <v>0</v>
      </c>
      <c r="AU192" s="560">
        <v>0</v>
      </c>
      <c r="AV192" s="560">
        <v>69</v>
      </c>
      <c r="AW192" s="560">
        <v>64</v>
      </c>
      <c r="AX192" s="560">
        <v>74</v>
      </c>
      <c r="AY192" s="560">
        <v>78</v>
      </c>
      <c r="AZ192" s="560">
        <v>1</v>
      </c>
      <c r="BA192" s="560">
        <v>2522</v>
      </c>
      <c r="BB192" s="560">
        <v>0</v>
      </c>
      <c r="BC192" s="560">
        <v>0.5</v>
      </c>
      <c r="BD192" s="560">
        <v>0</v>
      </c>
      <c r="BE192" s="560" t="s">
        <v>1799</v>
      </c>
      <c r="BF192" s="560">
        <v>2.5</v>
      </c>
      <c r="BG192" s="560">
        <v>17.399999999999999</v>
      </c>
      <c r="BH192" s="560">
        <v>1</v>
      </c>
      <c r="BI192" s="560">
        <v>2</v>
      </c>
      <c r="BJ192" s="560">
        <v>35</v>
      </c>
      <c r="BK192" s="560">
        <v>0</v>
      </c>
      <c r="BL192" s="560" t="s">
        <v>1747</v>
      </c>
      <c r="BM192" s="560">
        <v>3.0000000000000001E-3</v>
      </c>
      <c r="BN192" s="560">
        <v>15</v>
      </c>
      <c r="BO192" s="560">
        <v>4.5</v>
      </c>
      <c r="BP192" s="560" t="s">
        <v>1747</v>
      </c>
      <c r="BQ192" s="560">
        <v>5.0000000000000001E-3</v>
      </c>
      <c r="BR192" s="560">
        <v>40</v>
      </c>
      <c r="BS192" s="560">
        <v>4.9000000000000004</v>
      </c>
      <c r="BT192" s="560">
        <v>2688</v>
      </c>
      <c r="BU192" s="560">
        <v>22848</v>
      </c>
      <c r="BV192" s="560">
        <v>0</v>
      </c>
      <c r="BW192" s="560">
        <v>26.8</v>
      </c>
      <c r="BX192" s="560">
        <v>1480</v>
      </c>
      <c r="BY192" s="560">
        <v>11.4</v>
      </c>
      <c r="BZ192" s="560">
        <v>1344</v>
      </c>
      <c r="CA192" s="560">
        <v>35</v>
      </c>
      <c r="CB192" s="560">
        <v>0.85</v>
      </c>
      <c r="CC192" s="560">
        <v>94</v>
      </c>
      <c r="CD192" s="560">
        <v>94</v>
      </c>
      <c r="CE192" s="560">
        <v>94</v>
      </c>
      <c r="CF192" s="560">
        <v>94</v>
      </c>
      <c r="CG192" s="560">
        <v>0.29299999999999998</v>
      </c>
      <c r="CH192" s="560">
        <v>0.3</v>
      </c>
      <c r="CI192" s="560">
        <v>0.54</v>
      </c>
      <c r="CJ192" s="560">
        <v>40</v>
      </c>
      <c r="CK192" s="560">
        <v>5</v>
      </c>
      <c r="CL192" s="560">
        <v>4</v>
      </c>
      <c r="CM192" s="562">
        <v>1344</v>
      </c>
      <c r="CN192" s="562">
        <v>148</v>
      </c>
      <c r="CO192" s="562">
        <v>26.8</v>
      </c>
      <c r="CP192" s="562">
        <v>0</v>
      </c>
      <c r="CQ192" s="562">
        <v>0</v>
      </c>
      <c r="CR192" s="562" t="s">
        <v>1718</v>
      </c>
      <c r="CS192" s="562">
        <v>0</v>
      </c>
      <c r="CT192" s="562">
        <v>0</v>
      </c>
      <c r="CU192" s="562">
        <v>0.75</v>
      </c>
      <c r="CV192" s="562">
        <v>0.5</v>
      </c>
      <c r="CW192" s="562">
        <v>17.856999999999999</v>
      </c>
      <c r="CX192" s="562">
        <v>6.5</v>
      </c>
      <c r="CY192" s="562">
        <v>17.856999999999999</v>
      </c>
      <c r="CZ192" s="560">
        <v>2665.6</v>
      </c>
      <c r="DA192" s="560">
        <v>17</v>
      </c>
      <c r="DB192" s="560" t="s">
        <v>1719</v>
      </c>
      <c r="DC192" s="560">
        <v>50</v>
      </c>
      <c r="DD192" s="560">
        <v>4</v>
      </c>
      <c r="DE192" s="560" t="s">
        <v>1720</v>
      </c>
      <c r="DF192" s="560">
        <v>5</v>
      </c>
      <c r="DG192" s="560">
        <v>0</v>
      </c>
      <c r="DH192" s="560">
        <v>4.5</v>
      </c>
      <c r="DI192" s="560">
        <v>4.5</v>
      </c>
      <c r="DJ192" s="560">
        <v>0</v>
      </c>
      <c r="DK192" s="560">
        <v>0</v>
      </c>
      <c r="DL192" s="560">
        <v>0</v>
      </c>
      <c r="DM192" s="560">
        <v>0</v>
      </c>
      <c r="DN192" s="560">
        <v>0</v>
      </c>
      <c r="DO192" s="560">
        <v>0</v>
      </c>
    </row>
    <row r="193" spans="1:119" hidden="1">
      <c r="A193" s="560" t="s">
        <v>910</v>
      </c>
      <c r="B193" s="560" t="s">
        <v>1713</v>
      </c>
      <c r="C193" s="560" t="s">
        <v>779</v>
      </c>
      <c r="D193" s="560">
        <v>3</v>
      </c>
      <c r="E193" s="560">
        <v>445.63036699999998</v>
      </c>
      <c r="F193" s="560">
        <v>57.088642999999998</v>
      </c>
      <c r="G193" s="560">
        <v>6644.9655000000002</v>
      </c>
      <c r="H193" s="560">
        <v>139.9665</v>
      </c>
      <c r="I193" s="560">
        <v>0.91800700000000002</v>
      </c>
      <c r="J193" s="560">
        <v>0.28922599999999998</v>
      </c>
      <c r="K193" s="560">
        <v>0.30898599999999998</v>
      </c>
      <c r="L193" s="560">
        <v>0.42718499999999998</v>
      </c>
      <c r="M193" s="560">
        <v>13970.943831000001</v>
      </c>
      <c r="N193" s="560">
        <v>14220.599620000001</v>
      </c>
      <c r="O193" s="560">
        <v>4610.1849050000001</v>
      </c>
      <c r="P193" s="560">
        <v>285.97919400000001</v>
      </c>
      <c r="Q193" s="560">
        <v>389.25018799999998</v>
      </c>
      <c r="R193" s="560">
        <v>2041.88292</v>
      </c>
      <c r="S193" s="560">
        <v>887.10516199999995</v>
      </c>
      <c r="T193" s="560">
        <v>1053.915389</v>
      </c>
      <c r="U193" s="560">
        <v>254.21410800000001</v>
      </c>
      <c r="V193" s="560">
        <v>35.493046</v>
      </c>
      <c r="W193" s="560">
        <v>14.074054</v>
      </c>
      <c r="X193" s="560">
        <v>0</v>
      </c>
      <c r="Y193" s="560">
        <v>24.519632999999999</v>
      </c>
      <c r="Z193" s="560">
        <v>128.62221</v>
      </c>
      <c r="AA193" s="560">
        <v>42145.530096000002</v>
      </c>
      <c r="AB193" s="560">
        <v>42859.376003999998</v>
      </c>
      <c r="AC193" s="560">
        <v>27169.161700000001</v>
      </c>
      <c r="AD193" s="560">
        <v>20573.881216999998</v>
      </c>
      <c r="AE193" s="560">
        <v>650.43966399999999</v>
      </c>
      <c r="AF193" s="560">
        <v>12739.517005</v>
      </c>
      <c r="AG193" s="560">
        <v>13710.483619000001</v>
      </c>
      <c r="AH193" s="560">
        <v>3362.145356</v>
      </c>
      <c r="AI193" s="560">
        <v>0.85</v>
      </c>
      <c r="AJ193" s="560">
        <v>852.60317299999997</v>
      </c>
      <c r="AK193" s="560">
        <v>2366.2141059999999</v>
      </c>
      <c r="AL193" s="560">
        <v>200.75</v>
      </c>
      <c r="AM193" s="560">
        <v>0</v>
      </c>
      <c r="AN193" s="560">
        <v>0</v>
      </c>
      <c r="AO193" s="560">
        <v>0</v>
      </c>
      <c r="AP193" s="560">
        <v>0</v>
      </c>
      <c r="AQ193" s="560" t="s">
        <v>910</v>
      </c>
      <c r="AR193" s="560" t="s">
        <v>1729</v>
      </c>
      <c r="AS193" s="560">
        <v>0</v>
      </c>
      <c r="AT193" s="560">
        <v>0</v>
      </c>
      <c r="AU193" s="560">
        <v>0</v>
      </c>
      <c r="AV193" s="560">
        <v>69</v>
      </c>
      <c r="AW193" s="560">
        <v>64</v>
      </c>
      <c r="AX193" s="560">
        <v>74</v>
      </c>
      <c r="AY193" s="560">
        <v>78</v>
      </c>
      <c r="AZ193" s="560">
        <v>1</v>
      </c>
      <c r="BA193" s="560">
        <v>2522</v>
      </c>
      <c r="BB193" s="560">
        <v>0</v>
      </c>
      <c r="BC193" s="560">
        <v>0.5</v>
      </c>
      <c r="BD193" s="560">
        <v>0</v>
      </c>
      <c r="BE193" s="560" t="s">
        <v>1799</v>
      </c>
      <c r="BF193" s="560">
        <v>2.5</v>
      </c>
      <c r="BG193" s="560">
        <v>17.399999999999999</v>
      </c>
      <c r="BH193" s="560">
        <v>1</v>
      </c>
      <c r="BI193" s="560">
        <v>2</v>
      </c>
      <c r="BJ193" s="560">
        <v>35</v>
      </c>
      <c r="BK193" s="560">
        <v>0</v>
      </c>
      <c r="BL193" s="560" t="s">
        <v>1747</v>
      </c>
      <c r="BM193" s="560">
        <v>3.0000000000000001E-3</v>
      </c>
      <c r="BN193" s="560">
        <v>15</v>
      </c>
      <c r="BO193" s="560">
        <v>6</v>
      </c>
      <c r="BP193" s="560" t="s">
        <v>1747</v>
      </c>
      <c r="BQ193" s="560">
        <v>5.0000000000000001E-3</v>
      </c>
      <c r="BR193" s="560">
        <v>40</v>
      </c>
      <c r="BS193" s="560">
        <v>6</v>
      </c>
      <c r="BT193" s="560">
        <v>2688</v>
      </c>
      <c r="BU193" s="560">
        <v>22848</v>
      </c>
      <c r="BV193" s="560">
        <v>0</v>
      </c>
      <c r="BW193" s="560">
        <v>30.609376350000002</v>
      </c>
      <c r="BX193" s="560">
        <v>1480</v>
      </c>
      <c r="BY193" s="560">
        <v>17.543859650000002</v>
      </c>
      <c r="BZ193" s="560">
        <v>1344</v>
      </c>
      <c r="CA193" s="560">
        <v>37.664196859999997</v>
      </c>
      <c r="CB193" s="560">
        <v>0.85</v>
      </c>
      <c r="CC193" s="560">
        <v>94</v>
      </c>
      <c r="CD193" s="560">
        <v>94</v>
      </c>
      <c r="CE193" s="560">
        <v>94</v>
      </c>
      <c r="CF193" s="560">
        <v>94</v>
      </c>
      <c r="CG193" s="560">
        <v>0.29299999999999998</v>
      </c>
      <c r="CH193" s="560">
        <v>0.3</v>
      </c>
      <c r="CI193" s="560">
        <v>0.54</v>
      </c>
      <c r="CJ193" s="560">
        <v>40</v>
      </c>
      <c r="CK193" s="560">
        <v>5</v>
      </c>
      <c r="CL193" s="560">
        <v>4</v>
      </c>
      <c r="CM193" s="562">
        <v>1344</v>
      </c>
      <c r="CN193" s="562">
        <v>148</v>
      </c>
      <c r="CO193" s="562">
        <v>30.609376350000002</v>
      </c>
      <c r="CP193" s="562">
        <v>0</v>
      </c>
      <c r="CQ193" s="562">
        <v>0</v>
      </c>
      <c r="CR193" s="562" t="s">
        <v>1718</v>
      </c>
      <c r="CS193" s="562">
        <v>0</v>
      </c>
      <c r="CT193" s="562">
        <v>0</v>
      </c>
      <c r="CU193" s="562">
        <v>0.75</v>
      </c>
      <c r="CV193" s="562">
        <v>0.5</v>
      </c>
      <c r="CW193" s="562">
        <v>17.856999999999999</v>
      </c>
      <c r="CX193" s="562">
        <v>6.5</v>
      </c>
      <c r="CY193" s="562">
        <v>17.856999999999999</v>
      </c>
      <c r="CZ193" s="560">
        <v>2665.6</v>
      </c>
      <c r="DA193" s="560">
        <v>17</v>
      </c>
      <c r="DB193" s="560" t="s">
        <v>1719</v>
      </c>
      <c r="DC193" s="560">
        <v>50</v>
      </c>
      <c r="DD193" s="560">
        <v>4</v>
      </c>
      <c r="DE193" s="560" t="s">
        <v>1720</v>
      </c>
      <c r="DF193" s="560">
        <v>5</v>
      </c>
      <c r="DG193" s="560">
        <v>0</v>
      </c>
      <c r="DH193" s="560">
        <v>4.5</v>
      </c>
      <c r="DI193" s="560">
        <v>4.5</v>
      </c>
      <c r="DJ193" s="560">
        <v>0</v>
      </c>
      <c r="DK193" s="560">
        <v>0</v>
      </c>
      <c r="DL193" s="560">
        <v>0</v>
      </c>
      <c r="DM193" s="560">
        <v>0</v>
      </c>
      <c r="DN193" s="560">
        <v>0</v>
      </c>
      <c r="DO193" s="560">
        <v>0</v>
      </c>
    </row>
    <row r="194" spans="1:119" hidden="1">
      <c r="A194" s="560" t="s">
        <v>911</v>
      </c>
      <c r="B194" s="560" t="s">
        <v>1713</v>
      </c>
      <c r="C194" s="560" t="s">
        <v>782</v>
      </c>
      <c r="D194" s="560">
        <v>3</v>
      </c>
      <c r="E194" s="560">
        <v>445.63036699999998</v>
      </c>
      <c r="F194" s="560">
        <v>57.088642999999998</v>
      </c>
      <c r="G194" s="560">
        <v>6644.9655000000002</v>
      </c>
      <c r="H194" s="560">
        <v>391.60199999999998</v>
      </c>
      <c r="I194" s="560">
        <v>0.91800700000000002</v>
      </c>
      <c r="J194" s="560">
        <v>0.28922599999999998</v>
      </c>
      <c r="K194" s="560">
        <v>0.30898599999999998</v>
      </c>
      <c r="L194" s="560">
        <v>0.42718499999999998</v>
      </c>
      <c r="M194" s="560">
        <v>13970.943831000001</v>
      </c>
      <c r="N194" s="560">
        <v>14220.599620000001</v>
      </c>
      <c r="O194" s="560">
        <v>4610.1849050000001</v>
      </c>
      <c r="P194" s="560">
        <v>285.97919400000001</v>
      </c>
      <c r="Q194" s="560">
        <v>389.25018799999998</v>
      </c>
      <c r="R194" s="560">
        <v>2041.88292</v>
      </c>
      <c r="S194" s="560">
        <v>1789.08851</v>
      </c>
      <c r="T194" s="560">
        <v>1977.5496860000001</v>
      </c>
      <c r="U194" s="560">
        <v>475.19546800000001</v>
      </c>
      <c r="V194" s="560">
        <v>35.168267</v>
      </c>
      <c r="W194" s="560">
        <v>7.4627280000000003</v>
      </c>
      <c r="X194" s="560">
        <v>0</v>
      </c>
      <c r="Y194" s="560">
        <v>46.748452999999998</v>
      </c>
      <c r="Z194" s="560">
        <v>245.22754499999999</v>
      </c>
      <c r="AA194" s="560">
        <v>42145.530096000002</v>
      </c>
      <c r="AB194" s="560">
        <v>42859.376003999998</v>
      </c>
      <c r="AC194" s="560">
        <v>27169.161700000001</v>
      </c>
      <c r="AD194" s="560">
        <v>20573.881216999998</v>
      </c>
      <c r="AE194" s="560">
        <v>650.43966399999999</v>
      </c>
      <c r="AF194" s="560">
        <v>17251.651534000001</v>
      </c>
      <c r="AG194" s="560">
        <v>18665.179012000001</v>
      </c>
      <c r="AH194" s="560">
        <v>4518.8256250000004</v>
      </c>
      <c r="AI194" s="560">
        <v>0.85</v>
      </c>
      <c r="AJ194" s="560">
        <v>852.60317299999997</v>
      </c>
      <c r="AK194" s="560">
        <v>2366.2141059999999</v>
      </c>
      <c r="AL194" s="560">
        <v>200.75</v>
      </c>
      <c r="AM194" s="560">
        <v>0</v>
      </c>
      <c r="AN194" s="560">
        <v>0</v>
      </c>
      <c r="AO194" s="560">
        <v>0</v>
      </c>
      <c r="AP194" s="560">
        <v>0</v>
      </c>
      <c r="AQ194" s="560" t="s">
        <v>911</v>
      </c>
      <c r="AR194" s="560" t="s">
        <v>1731</v>
      </c>
      <c r="AS194" s="560">
        <v>0</v>
      </c>
      <c r="AT194" s="560">
        <v>0</v>
      </c>
      <c r="AU194" s="560">
        <v>0</v>
      </c>
      <c r="AV194" s="560">
        <v>69</v>
      </c>
      <c r="AW194" s="560">
        <v>64</v>
      </c>
      <c r="AX194" s="560">
        <v>74</v>
      </c>
      <c r="AY194" s="560">
        <v>78</v>
      </c>
      <c r="AZ194" s="560">
        <v>1</v>
      </c>
      <c r="BA194" s="560">
        <v>2522</v>
      </c>
      <c r="BB194" s="560">
        <v>0</v>
      </c>
      <c r="BC194" s="560">
        <v>0.5</v>
      </c>
      <c r="BD194" s="560">
        <v>0</v>
      </c>
      <c r="BE194" s="560" t="s">
        <v>1799</v>
      </c>
      <c r="BF194" s="560">
        <v>2.5</v>
      </c>
      <c r="BG194" s="560">
        <v>17.399999999999999</v>
      </c>
      <c r="BH194" s="560">
        <v>1</v>
      </c>
      <c r="BI194" s="560">
        <v>2</v>
      </c>
      <c r="BJ194" s="560">
        <v>35</v>
      </c>
      <c r="BK194" s="560">
        <v>0</v>
      </c>
      <c r="BL194" s="560" t="s">
        <v>1747</v>
      </c>
      <c r="BM194" s="560">
        <v>3.0000000000000001E-3</v>
      </c>
      <c r="BN194" s="560">
        <v>15</v>
      </c>
      <c r="BO194" s="560">
        <v>6</v>
      </c>
      <c r="BP194" s="560" t="s">
        <v>1747</v>
      </c>
      <c r="BQ194" s="560">
        <v>5.0000000000000001E-3</v>
      </c>
      <c r="BR194" s="560">
        <v>40</v>
      </c>
      <c r="BS194" s="560">
        <v>6</v>
      </c>
      <c r="BT194" s="560">
        <v>2688</v>
      </c>
      <c r="BU194" s="560">
        <v>22848</v>
      </c>
      <c r="BV194" s="560">
        <v>0</v>
      </c>
      <c r="BW194" s="560">
        <v>30.609376350000002</v>
      </c>
      <c r="BX194" s="560">
        <v>1480</v>
      </c>
      <c r="BY194" s="560">
        <v>17.543859650000002</v>
      </c>
      <c r="BZ194" s="560">
        <v>1344</v>
      </c>
      <c r="CA194" s="560">
        <v>37.664196859999997</v>
      </c>
      <c r="CB194" s="560">
        <v>0.85</v>
      </c>
      <c r="CC194" s="560">
        <v>94</v>
      </c>
      <c r="CD194" s="560">
        <v>94</v>
      </c>
      <c r="CE194" s="560">
        <v>94</v>
      </c>
      <c r="CF194" s="560">
        <v>94</v>
      </c>
      <c r="CG194" s="560">
        <v>0.29299999999999998</v>
      </c>
      <c r="CH194" s="560">
        <v>0.3</v>
      </c>
      <c r="CI194" s="560">
        <v>0.54</v>
      </c>
      <c r="CJ194" s="560">
        <v>40</v>
      </c>
      <c r="CK194" s="560">
        <v>5</v>
      </c>
      <c r="CL194" s="560">
        <v>4</v>
      </c>
      <c r="CM194" s="562">
        <v>1344</v>
      </c>
      <c r="CN194" s="562">
        <v>148</v>
      </c>
      <c r="CO194" s="562">
        <v>30.609376350000002</v>
      </c>
      <c r="CP194" s="562">
        <v>0</v>
      </c>
      <c r="CQ194" s="562">
        <v>0</v>
      </c>
      <c r="CR194" s="562" t="s">
        <v>1718</v>
      </c>
      <c r="CS194" s="562">
        <v>0</v>
      </c>
      <c r="CT194" s="562">
        <v>0</v>
      </c>
      <c r="CU194" s="562">
        <v>0.75</v>
      </c>
      <c r="CV194" s="562">
        <v>0.5</v>
      </c>
      <c r="CW194" s="562">
        <v>17.856999999999999</v>
      </c>
      <c r="CX194" s="562">
        <v>6.5</v>
      </c>
      <c r="CY194" s="562">
        <v>17.856999999999999</v>
      </c>
      <c r="CZ194" s="560">
        <v>2665.6</v>
      </c>
      <c r="DA194" s="560">
        <v>17</v>
      </c>
      <c r="DB194" s="560" t="s">
        <v>1719</v>
      </c>
      <c r="DC194" s="560">
        <v>50</v>
      </c>
      <c r="DD194" s="560">
        <v>4</v>
      </c>
      <c r="DE194" s="560" t="s">
        <v>1720</v>
      </c>
      <c r="DF194" s="560">
        <v>5</v>
      </c>
      <c r="DG194" s="560">
        <v>0</v>
      </c>
      <c r="DH194" s="560">
        <v>4.5</v>
      </c>
      <c r="DI194" s="560">
        <v>4.5</v>
      </c>
      <c r="DJ194" s="560">
        <v>0</v>
      </c>
      <c r="DK194" s="560">
        <v>0</v>
      </c>
      <c r="DL194" s="560">
        <v>0</v>
      </c>
      <c r="DM194" s="560">
        <v>0</v>
      </c>
      <c r="DN194" s="560">
        <v>0</v>
      </c>
      <c r="DO194" s="560">
        <v>0</v>
      </c>
    </row>
    <row r="195" spans="1:119" hidden="1">
      <c r="A195" s="560" t="s">
        <v>912</v>
      </c>
      <c r="B195" s="560" t="s">
        <v>1713</v>
      </c>
      <c r="C195" s="560" t="s">
        <v>785</v>
      </c>
      <c r="D195" s="560">
        <v>3</v>
      </c>
      <c r="E195" s="560">
        <v>445.63036699999998</v>
      </c>
      <c r="F195" s="560">
        <v>57.088642999999998</v>
      </c>
      <c r="G195" s="560">
        <v>6644.9655000000002</v>
      </c>
      <c r="H195" s="560">
        <v>755.94</v>
      </c>
      <c r="I195" s="560">
        <v>0.91800700000000002</v>
      </c>
      <c r="J195" s="560">
        <v>0.28922599999999998</v>
      </c>
      <c r="K195" s="560">
        <v>0.30898599999999998</v>
      </c>
      <c r="L195" s="560">
        <v>0.42718499999999998</v>
      </c>
      <c r="M195" s="560">
        <v>13970.943831000001</v>
      </c>
      <c r="N195" s="560">
        <v>14220.599620000001</v>
      </c>
      <c r="O195" s="560">
        <v>4610.1849050000001</v>
      </c>
      <c r="P195" s="560">
        <v>285.97919400000001</v>
      </c>
      <c r="Q195" s="560">
        <v>389.25018799999998</v>
      </c>
      <c r="R195" s="560">
        <v>2041.88292</v>
      </c>
      <c r="S195" s="560">
        <v>3032.3074459999998</v>
      </c>
      <c r="T195" s="560">
        <v>3175.3384449999999</v>
      </c>
      <c r="U195" s="560">
        <v>765.57208400000002</v>
      </c>
      <c r="V195" s="560">
        <v>17.372004</v>
      </c>
      <c r="W195" s="560">
        <v>2.2691530000000002</v>
      </c>
      <c r="X195" s="560">
        <v>0</v>
      </c>
      <c r="Y195" s="560">
        <v>76.389345000000006</v>
      </c>
      <c r="Z195" s="560">
        <v>400.71425499999998</v>
      </c>
      <c r="AA195" s="560">
        <v>42145.530096000002</v>
      </c>
      <c r="AB195" s="560">
        <v>42859.376003999998</v>
      </c>
      <c r="AC195" s="560">
        <v>27169.161700000001</v>
      </c>
      <c r="AD195" s="560">
        <v>20573.881216999998</v>
      </c>
      <c r="AE195" s="560">
        <v>650.43966399999999</v>
      </c>
      <c r="AF195" s="560">
        <v>19227.454378999999</v>
      </c>
      <c r="AG195" s="560">
        <v>19868.236019</v>
      </c>
      <c r="AH195" s="560">
        <v>5034.0512479999998</v>
      </c>
      <c r="AI195" s="560">
        <v>0.85</v>
      </c>
      <c r="AJ195" s="560">
        <v>852.60317299999997</v>
      </c>
      <c r="AK195" s="560">
        <v>2366.2141059999999</v>
      </c>
      <c r="AL195" s="560">
        <v>200.75</v>
      </c>
      <c r="AM195" s="560">
        <v>0</v>
      </c>
      <c r="AN195" s="560">
        <v>0</v>
      </c>
      <c r="AO195" s="560">
        <v>0</v>
      </c>
      <c r="AP195" s="560">
        <v>0</v>
      </c>
      <c r="AQ195" s="560" t="s">
        <v>912</v>
      </c>
      <c r="AR195" s="560" t="s">
        <v>1733</v>
      </c>
      <c r="AS195" s="560">
        <v>0</v>
      </c>
      <c r="AT195" s="560">
        <v>0</v>
      </c>
      <c r="AU195" s="560">
        <v>0</v>
      </c>
      <c r="AV195" s="560">
        <v>69</v>
      </c>
      <c r="AW195" s="560">
        <v>64</v>
      </c>
      <c r="AX195" s="560">
        <v>74</v>
      </c>
      <c r="AY195" s="560">
        <v>78</v>
      </c>
      <c r="AZ195" s="560">
        <v>1</v>
      </c>
      <c r="BA195" s="560">
        <v>2522</v>
      </c>
      <c r="BB195" s="560">
        <v>0</v>
      </c>
      <c r="BC195" s="560">
        <v>0.5</v>
      </c>
      <c r="BD195" s="560">
        <v>0</v>
      </c>
      <c r="BE195" s="560" t="s">
        <v>1799</v>
      </c>
      <c r="BF195" s="560">
        <v>2.5</v>
      </c>
      <c r="BG195" s="560">
        <v>17.399999999999999</v>
      </c>
      <c r="BH195" s="560">
        <v>1</v>
      </c>
      <c r="BI195" s="560">
        <v>2</v>
      </c>
      <c r="BJ195" s="560">
        <v>35</v>
      </c>
      <c r="BK195" s="560">
        <v>0</v>
      </c>
      <c r="BL195" s="560" t="s">
        <v>1747</v>
      </c>
      <c r="BM195" s="560">
        <v>3.0000000000000001E-3</v>
      </c>
      <c r="BN195" s="560">
        <v>15</v>
      </c>
      <c r="BO195" s="560">
        <v>6</v>
      </c>
      <c r="BP195" s="560" t="s">
        <v>1747</v>
      </c>
      <c r="BQ195" s="560">
        <v>5.0000000000000001E-3</v>
      </c>
      <c r="BR195" s="560">
        <v>40</v>
      </c>
      <c r="BS195" s="560">
        <v>6</v>
      </c>
      <c r="BT195" s="560">
        <v>2688</v>
      </c>
      <c r="BU195" s="560">
        <v>22848</v>
      </c>
      <c r="BV195" s="560">
        <v>0</v>
      </c>
      <c r="BW195" s="560">
        <v>30.609376350000002</v>
      </c>
      <c r="BX195" s="560">
        <v>1480</v>
      </c>
      <c r="BY195" s="560">
        <v>17.543859650000002</v>
      </c>
      <c r="BZ195" s="560">
        <v>1344</v>
      </c>
      <c r="CA195" s="560">
        <v>37.664196859999997</v>
      </c>
      <c r="CB195" s="560">
        <v>0.85</v>
      </c>
      <c r="CC195" s="560">
        <v>94</v>
      </c>
      <c r="CD195" s="560">
        <v>94</v>
      </c>
      <c r="CE195" s="560">
        <v>94</v>
      </c>
      <c r="CF195" s="560">
        <v>94</v>
      </c>
      <c r="CG195" s="560">
        <v>0.29299999999999998</v>
      </c>
      <c r="CH195" s="560">
        <v>0.3</v>
      </c>
      <c r="CI195" s="560">
        <v>0.54</v>
      </c>
      <c r="CJ195" s="560">
        <v>40</v>
      </c>
      <c r="CK195" s="560">
        <v>5</v>
      </c>
      <c r="CL195" s="560">
        <v>4</v>
      </c>
      <c r="CM195" s="562">
        <v>1344</v>
      </c>
      <c r="CN195" s="562">
        <v>148</v>
      </c>
      <c r="CO195" s="562">
        <v>30.609376350000002</v>
      </c>
      <c r="CP195" s="562">
        <v>0</v>
      </c>
      <c r="CQ195" s="562">
        <v>0</v>
      </c>
      <c r="CR195" s="562" t="s">
        <v>1718</v>
      </c>
      <c r="CS195" s="562">
        <v>0</v>
      </c>
      <c r="CT195" s="562">
        <v>0</v>
      </c>
      <c r="CU195" s="562">
        <v>0.75</v>
      </c>
      <c r="CV195" s="562">
        <v>0.5</v>
      </c>
      <c r="CW195" s="562">
        <v>17.856999999999999</v>
      </c>
      <c r="CX195" s="562">
        <v>6.5</v>
      </c>
      <c r="CY195" s="562">
        <v>17.856999999999999</v>
      </c>
      <c r="CZ195" s="560">
        <v>2665.6</v>
      </c>
      <c r="DA195" s="560">
        <v>17</v>
      </c>
      <c r="DB195" s="560" t="s">
        <v>1719</v>
      </c>
      <c r="DC195" s="560">
        <v>50</v>
      </c>
      <c r="DD195" s="560">
        <v>4</v>
      </c>
      <c r="DE195" s="560" t="s">
        <v>1720</v>
      </c>
      <c r="DF195" s="560">
        <v>5</v>
      </c>
      <c r="DG195" s="560">
        <v>0</v>
      </c>
      <c r="DH195" s="560">
        <v>4.5</v>
      </c>
      <c r="DI195" s="560">
        <v>4.5</v>
      </c>
      <c r="DJ195" s="560">
        <v>0</v>
      </c>
      <c r="DK195" s="560">
        <v>0</v>
      </c>
      <c r="DL195" s="560">
        <v>0</v>
      </c>
      <c r="DM195" s="560">
        <v>0</v>
      </c>
      <c r="DN195" s="560">
        <v>0</v>
      </c>
      <c r="DO195" s="560">
        <v>0</v>
      </c>
    </row>
    <row r="196" spans="1:119" hidden="1">
      <c r="A196" s="560" t="s">
        <v>913</v>
      </c>
      <c r="B196" s="560" t="s">
        <v>1713</v>
      </c>
      <c r="C196" s="560" t="s">
        <v>779</v>
      </c>
      <c r="D196" s="560">
        <v>3</v>
      </c>
      <c r="E196" s="560">
        <v>480.15157099999999</v>
      </c>
      <c r="F196" s="560">
        <v>57.516230999999998</v>
      </c>
      <c r="G196" s="560">
        <v>6644.9655000000002</v>
      </c>
      <c r="H196" s="560">
        <v>139.9665</v>
      </c>
      <c r="I196" s="560">
        <v>0.91800700000000002</v>
      </c>
      <c r="J196" s="560">
        <v>0.28910000000000002</v>
      </c>
      <c r="K196" s="560">
        <v>0.30715700000000001</v>
      </c>
      <c r="L196" s="560">
        <v>0.42756899999999998</v>
      </c>
      <c r="M196" s="560">
        <v>15420.528565000001</v>
      </c>
      <c r="N196" s="560">
        <v>15736.289677000001</v>
      </c>
      <c r="O196" s="560">
        <v>5125.9323979999999</v>
      </c>
      <c r="P196" s="560">
        <v>391.60946899999999</v>
      </c>
      <c r="Q196" s="560">
        <v>427.66496599999999</v>
      </c>
      <c r="R196" s="560">
        <v>2243.3946500000002</v>
      </c>
      <c r="S196" s="560">
        <v>891.06695300000001</v>
      </c>
      <c r="T196" s="560">
        <v>1055.225207</v>
      </c>
      <c r="U196" s="560">
        <v>254.056308</v>
      </c>
      <c r="V196" s="560">
        <v>33.980572000000002</v>
      </c>
      <c r="W196" s="560">
        <v>13.522157</v>
      </c>
      <c r="X196" s="560">
        <v>0</v>
      </c>
      <c r="Y196" s="560">
        <v>24.568102</v>
      </c>
      <c r="Z196" s="560">
        <v>128.876463</v>
      </c>
      <c r="AA196" s="560">
        <v>44025.066507000003</v>
      </c>
      <c r="AB196" s="560">
        <v>44847.912608999999</v>
      </c>
      <c r="AC196" s="560">
        <v>29132.005101999999</v>
      </c>
      <c r="AD196" s="560">
        <v>22538.640207</v>
      </c>
      <c r="AE196" s="560">
        <v>650.43966399999999</v>
      </c>
      <c r="AF196" s="560">
        <v>13389.909847000001</v>
      </c>
      <c r="AG196" s="560">
        <v>14409.551428000001</v>
      </c>
      <c r="AH196" s="560">
        <v>3524.8985069999999</v>
      </c>
      <c r="AI196" s="560">
        <v>2.7</v>
      </c>
      <c r="AJ196" s="560">
        <v>930.983474</v>
      </c>
      <c r="AK196" s="560">
        <v>2582.2245750000002</v>
      </c>
      <c r="AL196" s="560">
        <v>200.75</v>
      </c>
      <c r="AM196" s="560">
        <v>0</v>
      </c>
      <c r="AN196" s="560">
        <v>0</v>
      </c>
      <c r="AO196" s="560">
        <v>0</v>
      </c>
      <c r="AP196" s="560">
        <v>0</v>
      </c>
      <c r="AQ196" s="560" t="s">
        <v>913</v>
      </c>
      <c r="AR196" s="560" t="s">
        <v>1729</v>
      </c>
      <c r="AS196" s="560">
        <v>0</v>
      </c>
      <c r="AT196" s="560">
        <v>0</v>
      </c>
      <c r="AU196" s="560">
        <v>0</v>
      </c>
      <c r="AV196" s="560">
        <v>69</v>
      </c>
      <c r="AW196" s="560">
        <v>64</v>
      </c>
      <c r="AX196" s="560">
        <v>74</v>
      </c>
      <c r="AY196" s="560">
        <v>78</v>
      </c>
      <c r="AZ196" s="560">
        <v>1</v>
      </c>
      <c r="BA196" s="560">
        <v>2522</v>
      </c>
      <c r="BB196" s="560">
        <v>0</v>
      </c>
      <c r="BC196" s="560">
        <v>0.5</v>
      </c>
      <c r="BD196" s="560">
        <v>0</v>
      </c>
      <c r="BE196" s="560" t="s">
        <v>1799</v>
      </c>
      <c r="BF196" s="560">
        <v>2.5</v>
      </c>
      <c r="BG196" s="560">
        <v>17.399999999999999</v>
      </c>
      <c r="BH196" s="560">
        <v>1</v>
      </c>
      <c r="BI196" s="560">
        <v>2</v>
      </c>
      <c r="BJ196" s="560">
        <v>35</v>
      </c>
      <c r="BK196" s="560">
        <v>0</v>
      </c>
      <c r="BL196" s="560" t="s">
        <v>1747</v>
      </c>
      <c r="BM196" s="560">
        <v>3.0000000000000001E-3</v>
      </c>
      <c r="BN196" s="560">
        <v>15</v>
      </c>
      <c r="BO196" s="560">
        <v>4.5</v>
      </c>
      <c r="BP196" s="560" t="s">
        <v>1747</v>
      </c>
      <c r="BQ196" s="560">
        <v>5.0000000000000001E-3</v>
      </c>
      <c r="BR196" s="560">
        <v>40</v>
      </c>
      <c r="BS196" s="560">
        <v>4.9000000000000004</v>
      </c>
      <c r="BT196" s="560">
        <v>2688</v>
      </c>
      <c r="BU196" s="560">
        <v>22848</v>
      </c>
      <c r="BV196" s="560">
        <v>0</v>
      </c>
      <c r="BW196" s="560">
        <v>26.8</v>
      </c>
      <c r="BX196" s="560">
        <v>1480</v>
      </c>
      <c r="BY196" s="560">
        <v>11.4</v>
      </c>
      <c r="BZ196" s="560">
        <v>1344</v>
      </c>
      <c r="CA196" s="560">
        <v>35</v>
      </c>
      <c r="CB196" s="560">
        <v>0.85</v>
      </c>
      <c r="CC196" s="560">
        <v>94</v>
      </c>
      <c r="CD196" s="560">
        <v>94</v>
      </c>
      <c r="CE196" s="560">
        <v>94</v>
      </c>
      <c r="CF196" s="560">
        <v>94</v>
      </c>
      <c r="CG196" s="560">
        <v>0.29299999999999998</v>
      </c>
      <c r="CH196" s="560">
        <v>0.3</v>
      </c>
      <c r="CI196" s="560">
        <v>0.54</v>
      </c>
      <c r="CJ196" s="560">
        <v>40</v>
      </c>
      <c r="CK196" s="560">
        <v>5</v>
      </c>
      <c r="CL196" s="560">
        <v>4</v>
      </c>
      <c r="CM196" s="562">
        <v>1344</v>
      </c>
      <c r="CN196" s="562">
        <v>148</v>
      </c>
      <c r="CO196" s="562">
        <v>26.8</v>
      </c>
      <c r="CP196" s="562">
        <v>0</v>
      </c>
      <c r="CQ196" s="562">
        <v>0</v>
      </c>
      <c r="CR196" s="562" t="s">
        <v>1718</v>
      </c>
      <c r="CS196" s="562">
        <v>0</v>
      </c>
      <c r="CT196" s="562">
        <v>0</v>
      </c>
      <c r="CU196" s="562">
        <v>0.75</v>
      </c>
      <c r="CV196" s="562">
        <v>0.5</v>
      </c>
      <c r="CW196" s="562">
        <v>17.856999999999999</v>
      </c>
      <c r="CX196" s="562">
        <v>6.5</v>
      </c>
      <c r="CY196" s="562">
        <v>17.856999999999999</v>
      </c>
      <c r="CZ196" s="560">
        <v>2665.6</v>
      </c>
      <c r="DA196" s="560">
        <v>17</v>
      </c>
      <c r="DB196" s="560" t="s">
        <v>1719</v>
      </c>
      <c r="DC196" s="560">
        <v>50</v>
      </c>
      <c r="DD196" s="560">
        <v>4</v>
      </c>
      <c r="DE196" s="560" t="s">
        <v>1720</v>
      </c>
      <c r="DF196" s="560">
        <v>5</v>
      </c>
      <c r="DG196" s="560">
        <v>0</v>
      </c>
      <c r="DH196" s="560">
        <v>4.5</v>
      </c>
      <c r="DI196" s="560">
        <v>4.5</v>
      </c>
      <c r="DJ196" s="560">
        <v>0</v>
      </c>
      <c r="DK196" s="560">
        <v>0</v>
      </c>
      <c r="DL196" s="560">
        <v>0</v>
      </c>
      <c r="DM196" s="560">
        <v>0</v>
      </c>
      <c r="DN196" s="560">
        <v>0</v>
      </c>
      <c r="DO196" s="560">
        <v>0</v>
      </c>
    </row>
    <row r="197" spans="1:119" hidden="1">
      <c r="A197" s="560" t="s">
        <v>914</v>
      </c>
      <c r="B197" s="560" t="s">
        <v>1713</v>
      </c>
      <c r="C197" s="560" t="s">
        <v>782</v>
      </c>
      <c r="D197" s="560">
        <v>3</v>
      </c>
      <c r="E197" s="560">
        <v>480.15157099999999</v>
      </c>
      <c r="F197" s="560">
        <v>57.516230999999998</v>
      </c>
      <c r="G197" s="560">
        <v>6644.9655000000002</v>
      </c>
      <c r="H197" s="560">
        <v>391.60199999999998</v>
      </c>
      <c r="I197" s="560">
        <v>0.91800700000000002</v>
      </c>
      <c r="J197" s="560">
        <v>0.28910000000000002</v>
      </c>
      <c r="K197" s="560">
        <v>0.30715700000000001</v>
      </c>
      <c r="L197" s="560">
        <v>0.42756899999999998</v>
      </c>
      <c r="M197" s="560">
        <v>15420.528565000001</v>
      </c>
      <c r="N197" s="560">
        <v>15736.289677000001</v>
      </c>
      <c r="O197" s="560">
        <v>5125.9323979999999</v>
      </c>
      <c r="P197" s="560">
        <v>391.60946899999999</v>
      </c>
      <c r="Q197" s="560">
        <v>427.66496599999999</v>
      </c>
      <c r="R197" s="560">
        <v>2243.3946500000002</v>
      </c>
      <c r="S197" s="560">
        <v>1834.952949</v>
      </c>
      <c r="T197" s="560">
        <v>2026.374793</v>
      </c>
      <c r="U197" s="560">
        <v>485.67804599999999</v>
      </c>
      <c r="V197" s="560">
        <v>33.866807000000001</v>
      </c>
      <c r="W197" s="560">
        <v>7.0845589999999996</v>
      </c>
      <c r="X197" s="560">
        <v>0</v>
      </c>
      <c r="Y197" s="560">
        <v>47.922367999999999</v>
      </c>
      <c r="Z197" s="560">
        <v>251.38552899999999</v>
      </c>
      <c r="AA197" s="560">
        <v>44025.066507000003</v>
      </c>
      <c r="AB197" s="560">
        <v>44847.912608999999</v>
      </c>
      <c r="AC197" s="560">
        <v>29132.005101999999</v>
      </c>
      <c r="AD197" s="560">
        <v>22538.640207</v>
      </c>
      <c r="AE197" s="560">
        <v>650.43966399999999</v>
      </c>
      <c r="AF197" s="560">
        <v>18069.521883000001</v>
      </c>
      <c r="AG197" s="560">
        <v>19578.558295999999</v>
      </c>
      <c r="AH197" s="560">
        <v>4728.1157919999996</v>
      </c>
      <c r="AI197" s="560">
        <v>2.7</v>
      </c>
      <c r="AJ197" s="560">
        <v>930.983474</v>
      </c>
      <c r="AK197" s="560">
        <v>2582.2245750000002</v>
      </c>
      <c r="AL197" s="560">
        <v>200.75</v>
      </c>
      <c r="AM197" s="560">
        <v>0</v>
      </c>
      <c r="AN197" s="560">
        <v>0</v>
      </c>
      <c r="AO197" s="560">
        <v>0</v>
      </c>
      <c r="AP197" s="560">
        <v>0</v>
      </c>
      <c r="AQ197" s="560" t="s">
        <v>914</v>
      </c>
      <c r="AR197" s="560" t="s">
        <v>1731</v>
      </c>
      <c r="AS197" s="560">
        <v>0</v>
      </c>
      <c r="AT197" s="560">
        <v>0</v>
      </c>
      <c r="AU197" s="560">
        <v>0</v>
      </c>
      <c r="AV197" s="560">
        <v>69</v>
      </c>
      <c r="AW197" s="560">
        <v>64</v>
      </c>
      <c r="AX197" s="560">
        <v>74</v>
      </c>
      <c r="AY197" s="560">
        <v>78</v>
      </c>
      <c r="AZ197" s="560">
        <v>1</v>
      </c>
      <c r="BA197" s="560">
        <v>2522</v>
      </c>
      <c r="BB197" s="560">
        <v>0</v>
      </c>
      <c r="BC197" s="560">
        <v>0.5</v>
      </c>
      <c r="BD197" s="560">
        <v>0</v>
      </c>
      <c r="BE197" s="560" t="s">
        <v>1799</v>
      </c>
      <c r="BF197" s="560">
        <v>2.5</v>
      </c>
      <c r="BG197" s="560">
        <v>17.399999999999999</v>
      </c>
      <c r="BH197" s="560">
        <v>1</v>
      </c>
      <c r="BI197" s="560">
        <v>2</v>
      </c>
      <c r="BJ197" s="560">
        <v>35</v>
      </c>
      <c r="BK197" s="560">
        <v>0</v>
      </c>
      <c r="BL197" s="560" t="s">
        <v>1747</v>
      </c>
      <c r="BM197" s="560">
        <v>3.0000000000000001E-3</v>
      </c>
      <c r="BN197" s="560">
        <v>15</v>
      </c>
      <c r="BO197" s="560">
        <v>4.5</v>
      </c>
      <c r="BP197" s="560" t="s">
        <v>1747</v>
      </c>
      <c r="BQ197" s="560">
        <v>5.0000000000000001E-3</v>
      </c>
      <c r="BR197" s="560">
        <v>40</v>
      </c>
      <c r="BS197" s="560">
        <v>4.9000000000000004</v>
      </c>
      <c r="BT197" s="560">
        <v>2688</v>
      </c>
      <c r="BU197" s="560">
        <v>22848</v>
      </c>
      <c r="BV197" s="560">
        <v>0</v>
      </c>
      <c r="BW197" s="560">
        <v>26.8</v>
      </c>
      <c r="BX197" s="560">
        <v>1480</v>
      </c>
      <c r="BY197" s="560">
        <v>11.4</v>
      </c>
      <c r="BZ197" s="560">
        <v>1344</v>
      </c>
      <c r="CA197" s="560">
        <v>35</v>
      </c>
      <c r="CB197" s="560">
        <v>0.85</v>
      </c>
      <c r="CC197" s="560">
        <v>94</v>
      </c>
      <c r="CD197" s="560">
        <v>94</v>
      </c>
      <c r="CE197" s="560">
        <v>94</v>
      </c>
      <c r="CF197" s="560">
        <v>94</v>
      </c>
      <c r="CG197" s="560">
        <v>0.29299999999999998</v>
      </c>
      <c r="CH197" s="560">
        <v>0.3</v>
      </c>
      <c r="CI197" s="560">
        <v>0.54</v>
      </c>
      <c r="CJ197" s="560">
        <v>40</v>
      </c>
      <c r="CK197" s="560">
        <v>5</v>
      </c>
      <c r="CL197" s="560">
        <v>4</v>
      </c>
      <c r="CM197" s="562">
        <v>1344</v>
      </c>
      <c r="CN197" s="562">
        <v>148</v>
      </c>
      <c r="CO197" s="562">
        <v>26.8</v>
      </c>
      <c r="CP197" s="562">
        <v>0</v>
      </c>
      <c r="CQ197" s="562">
        <v>0</v>
      </c>
      <c r="CR197" s="562" t="s">
        <v>1718</v>
      </c>
      <c r="CS197" s="562">
        <v>0</v>
      </c>
      <c r="CT197" s="562">
        <v>0</v>
      </c>
      <c r="CU197" s="562">
        <v>0.75</v>
      </c>
      <c r="CV197" s="562">
        <v>0.5</v>
      </c>
      <c r="CW197" s="562">
        <v>17.856999999999999</v>
      </c>
      <c r="CX197" s="562">
        <v>6.5</v>
      </c>
      <c r="CY197" s="562">
        <v>17.856999999999999</v>
      </c>
      <c r="CZ197" s="560">
        <v>2665.6</v>
      </c>
      <c r="DA197" s="560">
        <v>17</v>
      </c>
      <c r="DB197" s="560" t="s">
        <v>1719</v>
      </c>
      <c r="DC197" s="560">
        <v>50</v>
      </c>
      <c r="DD197" s="560">
        <v>4</v>
      </c>
      <c r="DE197" s="560" t="s">
        <v>1720</v>
      </c>
      <c r="DF197" s="560">
        <v>5</v>
      </c>
      <c r="DG197" s="560">
        <v>0</v>
      </c>
      <c r="DH197" s="560">
        <v>4.5</v>
      </c>
      <c r="DI197" s="560">
        <v>4.5</v>
      </c>
      <c r="DJ197" s="560">
        <v>0</v>
      </c>
      <c r="DK197" s="560">
        <v>0</v>
      </c>
      <c r="DL197" s="560">
        <v>0</v>
      </c>
      <c r="DM197" s="560">
        <v>0</v>
      </c>
      <c r="DN197" s="560">
        <v>0</v>
      </c>
      <c r="DO197" s="560">
        <v>0</v>
      </c>
    </row>
    <row r="198" spans="1:119" hidden="1">
      <c r="A198" s="560" t="s">
        <v>915</v>
      </c>
      <c r="B198" s="560" t="s">
        <v>1713</v>
      </c>
      <c r="C198" s="560" t="s">
        <v>785</v>
      </c>
      <c r="D198" s="560">
        <v>3</v>
      </c>
      <c r="E198" s="560">
        <v>480.15157099999999</v>
      </c>
      <c r="F198" s="560">
        <v>57.516230999999998</v>
      </c>
      <c r="G198" s="560">
        <v>6644.9655000000002</v>
      </c>
      <c r="H198" s="560">
        <v>755.94</v>
      </c>
      <c r="I198" s="560">
        <v>0.91800700000000002</v>
      </c>
      <c r="J198" s="560">
        <v>0.28910000000000002</v>
      </c>
      <c r="K198" s="560">
        <v>0.30715700000000001</v>
      </c>
      <c r="L198" s="560">
        <v>0.42756899999999998</v>
      </c>
      <c r="M198" s="560">
        <v>15420.528565000001</v>
      </c>
      <c r="N198" s="560">
        <v>15736.289677000001</v>
      </c>
      <c r="O198" s="560">
        <v>5125.9323979999999</v>
      </c>
      <c r="P198" s="560">
        <v>391.60946899999999</v>
      </c>
      <c r="Q198" s="560">
        <v>427.66496599999999</v>
      </c>
      <c r="R198" s="560">
        <v>2243.3946500000002</v>
      </c>
      <c r="S198" s="560">
        <v>3130.205007</v>
      </c>
      <c r="T198" s="560">
        <v>3285.6904650000001</v>
      </c>
      <c r="U198" s="560">
        <v>789.33243600000003</v>
      </c>
      <c r="V198" s="560">
        <v>16.652051</v>
      </c>
      <c r="W198" s="560">
        <v>2.1096370000000002</v>
      </c>
      <c r="X198" s="560">
        <v>0</v>
      </c>
      <c r="Y198" s="560">
        <v>79.024229000000005</v>
      </c>
      <c r="Z198" s="560">
        <v>414.53601800000001</v>
      </c>
      <c r="AA198" s="560">
        <v>44025.066507000003</v>
      </c>
      <c r="AB198" s="560">
        <v>44847.912608999999</v>
      </c>
      <c r="AC198" s="560">
        <v>29132.005101999999</v>
      </c>
      <c r="AD198" s="560">
        <v>22538.640207</v>
      </c>
      <c r="AE198" s="560">
        <v>650.43966399999999</v>
      </c>
      <c r="AF198" s="560">
        <v>20210.595789999999</v>
      </c>
      <c r="AG198" s="560">
        <v>20997.673794999999</v>
      </c>
      <c r="AH198" s="560">
        <v>5294.5128839999998</v>
      </c>
      <c r="AI198" s="560">
        <v>2.7</v>
      </c>
      <c r="AJ198" s="560">
        <v>930.983474</v>
      </c>
      <c r="AK198" s="560">
        <v>2582.2245750000002</v>
      </c>
      <c r="AL198" s="560">
        <v>200.75</v>
      </c>
      <c r="AM198" s="560">
        <v>0</v>
      </c>
      <c r="AN198" s="560">
        <v>0</v>
      </c>
      <c r="AO198" s="560">
        <v>0</v>
      </c>
      <c r="AP198" s="560">
        <v>0</v>
      </c>
      <c r="AQ198" s="560" t="s">
        <v>915</v>
      </c>
      <c r="AR198" s="560" t="s">
        <v>1733</v>
      </c>
      <c r="AS198" s="560">
        <v>0</v>
      </c>
      <c r="AT198" s="560">
        <v>0</v>
      </c>
      <c r="AU198" s="560">
        <v>0</v>
      </c>
      <c r="AV198" s="560">
        <v>69</v>
      </c>
      <c r="AW198" s="560">
        <v>64</v>
      </c>
      <c r="AX198" s="560">
        <v>74</v>
      </c>
      <c r="AY198" s="560">
        <v>78</v>
      </c>
      <c r="AZ198" s="560">
        <v>1</v>
      </c>
      <c r="BA198" s="560">
        <v>2522</v>
      </c>
      <c r="BB198" s="560">
        <v>0</v>
      </c>
      <c r="BC198" s="560">
        <v>0.5</v>
      </c>
      <c r="BD198" s="560">
        <v>0</v>
      </c>
      <c r="BE198" s="560" t="s">
        <v>1799</v>
      </c>
      <c r="BF198" s="560">
        <v>2.5</v>
      </c>
      <c r="BG198" s="560">
        <v>17.399999999999999</v>
      </c>
      <c r="BH198" s="560">
        <v>1</v>
      </c>
      <c r="BI198" s="560">
        <v>2</v>
      </c>
      <c r="BJ198" s="560">
        <v>35</v>
      </c>
      <c r="BK198" s="560">
        <v>0</v>
      </c>
      <c r="BL198" s="560" t="s">
        <v>1747</v>
      </c>
      <c r="BM198" s="560">
        <v>3.0000000000000001E-3</v>
      </c>
      <c r="BN198" s="560">
        <v>15</v>
      </c>
      <c r="BO198" s="560">
        <v>4.5</v>
      </c>
      <c r="BP198" s="560" t="s">
        <v>1747</v>
      </c>
      <c r="BQ198" s="560">
        <v>5.0000000000000001E-3</v>
      </c>
      <c r="BR198" s="560">
        <v>40</v>
      </c>
      <c r="BS198" s="560">
        <v>4.9000000000000004</v>
      </c>
      <c r="BT198" s="560">
        <v>2688</v>
      </c>
      <c r="BU198" s="560">
        <v>22848</v>
      </c>
      <c r="BV198" s="560">
        <v>0</v>
      </c>
      <c r="BW198" s="560">
        <v>26.8</v>
      </c>
      <c r="BX198" s="560">
        <v>1480</v>
      </c>
      <c r="BY198" s="560">
        <v>11.4</v>
      </c>
      <c r="BZ198" s="560">
        <v>1344</v>
      </c>
      <c r="CA198" s="560">
        <v>35</v>
      </c>
      <c r="CB198" s="560">
        <v>0.85</v>
      </c>
      <c r="CC198" s="560">
        <v>94</v>
      </c>
      <c r="CD198" s="560">
        <v>94</v>
      </c>
      <c r="CE198" s="560">
        <v>94</v>
      </c>
      <c r="CF198" s="560">
        <v>94</v>
      </c>
      <c r="CG198" s="560">
        <v>0.29299999999999998</v>
      </c>
      <c r="CH198" s="560">
        <v>0.3</v>
      </c>
      <c r="CI198" s="560">
        <v>0.54</v>
      </c>
      <c r="CJ198" s="560">
        <v>40</v>
      </c>
      <c r="CK198" s="560">
        <v>5</v>
      </c>
      <c r="CL198" s="560">
        <v>4</v>
      </c>
      <c r="CM198" s="562">
        <v>1344</v>
      </c>
      <c r="CN198" s="562">
        <v>148</v>
      </c>
      <c r="CO198" s="562">
        <v>26.8</v>
      </c>
      <c r="CP198" s="562">
        <v>0</v>
      </c>
      <c r="CQ198" s="562">
        <v>0</v>
      </c>
      <c r="CR198" s="562" t="s">
        <v>1718</v>
      </c>
      <c r="CS198" s="562">
        <v>0</v>
      </c>
      <c r="CT198" s="562">
        <v>0</v>
      </c>
      <c r="CU198" s="562">
        <v>0.75</v>
      </c>
      <c r="CV198" s="562">
        <v>0.5</v>
      </c>
      <c r="CW198" s="562">
        <v>17.856999999999999</v>
      </c>
      <c r="CX198" s="562">
        <v>6.5</v>
      </c>
      <c r="CY198" s="562">
        <v>17.856999999999999</v>
      </c>
      <c r="CZ198" s="560">
        <v>2665.6</v>
      </c>
      <c r="DA198" s="560">
        <v>17</v>
      </c>
      <c r="DB198" s="560" t="s">
        <v>1719</v>
      </c>
      <c r="DC198" s="560">
        <v>50</v>
      </c>
      <c r="DD198" s="560">
        <v>4</v>
      </c>
      <c r="DE198" s="560" t="s">
        <v>1720</v>
      </c>
      <c r="DF198" s="560">
        <v>5</v>
      </c>
      <c r="DG198" s="560">
        <v>0</v>
      </c>
      <c r="DH198" s="560">
        <v>4.5</v>
      </c>
      <c r="DI198" s="560">
        <v>4.5</v>
      </c>
      <c r="DJ198" s="560">
        <v>0</v>
      </c>
      <c r="DK198" s="560">
        <v>0</v>
      </c>
      <c r="DL198" s="560">
        <v>0</v>
      </c>
      <c r="DM198" s="560">
        <v>0</v>
      </c>
      <c r="DN198" s="560">
        <v>0</v>
      </c>
      <c r="DO198" s="560">
        <v>0</v>
      </c>
    </row>
    <row r="199" spans="1:119" hidden="1">
      <c r="A199" s="560" t="s">
        <v>916</v>
      </c>
      <c r="B199" s="560" t="s">
        <v>1713</v>
      </c>
      <c r="C199" s="560" t="s">
        <v>794</v>
      </c>
      <c r="D199" s="560">
        <v>3</v>
      </c>
      <c r="E199" s="560">
        <v>438.66687400000001</v>
      </c>
      <c r="F199" s="560">
        <v>56.631793999999999</v>
      </c>
      <c r="G199" s="560">
        <v>7927.5</v>
      </c>
      <c r="H199" s="560">
        <v>139.9665</v>
      </c>
      <c r="I199" s="560">
        <v>0.90101900000000001</v>
      </c>
      <c r="J199" s="560">
        <v>0.27978700000000001</v>
      </c>
      <c r="K199" s="560">
        <v>0.29609600000000003</v>
      </c>
      <c r="L199" s="560">
        <v>0.44143900000000003</v>
      </c>
      <c r="M199" s="560">
        <v>17407.371652000002</v>
      </c>
      <c r="N199" s="560">
        <v>17716.750497000001</v>
      </c>
      <c r="O199" s="560">
        <v>5863.1229469999998</v>
      </c>
      <c r="P199" s="560">
        <v>618.69737799999996</v>
      </c>
      <c r="Q199" s="560">
        <v>474.08957900000001</v>
      </c>
      <c r="R199" s="560">
        <v>2486.9234339999998</v>
      </c>
      <c r="S199" s="560">
        <v>887.10516199999995</v>
      </c>
      <c r="T199" s="560">
        <v>1053.915389</v>
      </c>
      <c r="U199" s="560">
        <v>254.21410800000001</v>
      </c>
      <c r="V199" s="560">
        <v>35.493046</v>
      </c>
      <c r="W199" s="560">
        <v>14.074054</v>
      </c>
      <c r="X199" s="560">
        <v>0</v>
      </c>
      <c r="Y199" s="560">
        <v>24.519632999999999</v>
      </c>
      <c r="Z199" s="560">
        <v>128.62221</v>
      </c>
      <c r="AA199" s="560">
        <v>46175.510781999998</v>
      </c>
      <c r="AB199" s="560">
        <v>46954.681586999999</v>
      </c>
      <c r="AC199" s="560">
        <v>33822.914633</v>
      </c>
      <c r="AD199" s="560">
        <v>27346.060680999999</v>
      </c>
      <c r="AE199" s="560">
        <v>650.43966399999999</v>
      </c>
      <c r="AF199" s="560">
        <v>12739.517005</v>
      </c>
      <c r="AG199" s="560">
        <v>13710.483619000001</v>
      </c>
      <c r="AH199" s="560">
        <v>3362.145356</v>
      </c>
      <c r="AI199" s="560">
        <v>0</v>
      </c>
      <c r="AJ199" s="560">
        <v>986.562453</v>
      </c>
      <c r="AK199" s="560">
        <v>2765.3289060000002</v>
      </c>
      <c r="AL199" s="560">
        <v>200.75</v>
      </c>
      <c r="AM199" s="560">
        <v>0</v>
      </c>
      <c r="AN199" s="560">
        <v>0</v>
      </c>
      <c r="AO199" s="560">
        <v>0</v>
      </c>
      <c r="AP199" s="560">
        <v>0</v>
      </c>
      <c r="AQ199" s="560" t="s">
        <v>916</v>
      </c>
      <c r="AR199" s="560" t="s">
        <v>1738</v>
      </c>
      <c r="AS199" s="560">
        <v>0</v>
      </c>
      <c r="AT199" s="560">
        <v>0</v>
      </c>
      <c r="AU199" s="560">
        <v>0</v>
      </c>
      <c r="AV199" s="560">
        <v>69</v>
      </c>
      <c r="AW199" s="560">
        <v>64</v>
      </c>
      <c r="AX199" s="560">
        <v>74</v>
      </c>
      <c r="AY199" s="560">
        <v>78</v>
      </c>
      <c r="AZ199" s="560">
        <v>1</v>
      </c>
      <c r="BA199" s="560">
        <v>2522</v>
      </c>
      <c r="BB199" s="560">
        <v>0</v>
      </c>
      <c r="BC199" s="560">
        <v>0.5</v>
      </c>
      <c r="BD199" s="560">
        <v>0</v>
      </c>
      <c r="BE199" s="560" t="s">
        <v>1799</v>
      </c>
      <c r="BF199" s="560">
        <v>2.5</v>
      </c>
      <c r="BG199" s="560">
        <v>17.399999999999999</v>
      </c>
      <c r="BH199" s="560">
        <v>1</v>
      </c>
      <c r="BI199" s="560">
        <v>2</v>
      </c>
      <c r="BJ199" s="560">
        <v>35</v>
      </c>
      <c r="BK199" s="560">
        <v>0</v>
      </c>
      <c r="BL199" s="560" t="s">
        <v>1747</v>
      </c>
      <c r="BM199" s="560">
        <v>3.0000000000000001E-3</v>
      </c>
      <c r="BN199" s="560">
        <v>15</v>
      </c>
      <c r="BO199" s="560">
        <v>6</v>
      </c>
      <c r="BP199" s="560" t="s">
        <v>1747</v>
      </c>
      <c r="BQ199" s="560">
        <v>5.0000000000000001E-3</v>
      </c>
      <c r="BR199" s="560">
        <v>40</v>
      </c>
      <c r="BS199" s="560">
        <v>6</v>
      </c>
      <c r="BT199" s="560">
        <v>2688</v>
      </c>
      <c r="BU199" s="560">
        <v>22848</v>
      </c>
      <c r="BV199" s="560">
        <v>0</v>
      </c>
      <c r="BW199" s="560">
        <v>30.609376350000002</v>
      </c>
      <c r="BX199" s="560">
        <v>1480</v>
      </c>
      <c r="BY199" s="560">
        <v>17.543859650000002</v>
      </c>
      <c r="BZ199" s="560">
        <v>1344</v>
      </c>
      <c r="CA199" s="560">
        <v>37.664196859999997</v>
      </c>
      <c r="CB199" s="560">
        <v>0.85</v>
      </c>
      <c r="CC199" s="560">
        <v>94</v>
      </c>
      <c r="CD199" s="560">
        <v>94</v>
      </c>
      <c r="CE199" s="560">
        <v>94</v>
      </c>
      <c r="CF199" s="560">
        <v>94</v>
      </c>
      <c r="CG199" s="560">
        <v>0.29299999999999998</v>
      </c>
      <c r="CH199" s="560">
        <v>0.3</v>
      </c>
      <c r="CI199" s="560">
        <v>0.54</v>
      </c>
      <c r="CJ199" s="560">
        <v>40</v>
      </c>
      <c r="CK199" s="560">
        <v>5</v>
      </c>
      <c r="CL199" s="560">
        <v>4</v>
      </c>
      <c r="CM199" s="562">
        <v>1344</v>
      </c>
      <c r="CN199" s="562">
        <v>148</v>
      </c>
      <c r="CO199" s="562">
        <v>30.609376350000002</v>
      </c>
      <c r="CP199" s="562">
        <v>0</v>
      </c>
      <c r="CQ199" s="562">
        <v>0</v>
      </c>
      <c r="CR199" s="562" t="s">
        <v>1718</v>
      </c>
      <c r="CS199" s="562">
        <v>0</v>
      </c>
      <c r="CT199" s="562">
        <v>0</v>
      </c>
      <c r="CU199" s="562">
        <v>0.75</v>
      </c>
      <c r="CV199" s="562">
        <v>0.5</v>
      </c>
      <c r="CW199" s="562">
        <v>17.856999999999999</v>
      </c>
      <c r="CX199" s="562">
        <v>6.5</v>
      </c>
      <c r="CY199" s="562">
        <v>17.856999999999999</v>
      </c>
      <c r="CZ199" s="560">
        <v>2665.6</v>
      </c>
      <c r="DA199" s="560">
        <v>17</v>
      </c>
      <c r="DB199" s="560" t="s">
        <v>1719</v>
      </c>
      <c r="DC199" s="560">
        <v>50</v>
      </c>
      <c r="DD199" s="560">
        <v>4</v>
      </c>
      <c r="DE199" s="560" t="s">
        <v>1720</v>
      </c>
      <c r="DF199" s="560">
        <v>5</v>
      </c>
      <c r="DG199" s="560">
        <v>0</v>
      </c>
      <c r="DH199" s="560">
        <v>4.5</v>
      </c>
      <c r="DI199" s="560">
        <v>4.5</v>
      </c>
      <c r="DJ199" s="560">
        <v>0</v>
      </c>
      <c r="DK199" s="560">
        <v>0</v>
      </c>
      <c r="DL199" s="560">
        <v>0</v>
      </c>
      <c r="DM199" s="560">
        <v>0</v>
      </c>
      <c r="DN199" s="560">
        <v>0</v>
      </c>
      <c r="DO199" s="560">
        <v>0</v>
      </c>
    </row>
    <row r="200" spans="1:119" hidden="1">
      <c r="A200" s="560" t="s">
        <v>917</v>
      </c>
      <c r="B200" s="560" t="s">
        <v>1713</v>
      </c>
      <c r="C200" s="560" t="s">
        <v>797</v>
      </c>
      <c r="D200" s="560">
        <v>3</v>
      </c>
      <c r="E200" s="560">
        <v>438.66687400000001</v>
      </c>
      <c r="F200" s="560">
        <v>56.631793999999999</v>
      </c>
      <c r="G200" s="560">
        <v>7927.5</v>
      </c>
      <c r="H200" s="560">
        <v>391.60199999999998</v>
      </c>
      <c r="I200" s="560">
        <v>0.90101900000000001</v>
      </c>
      <c r="J200" s="560">
        <v>0.27978700000000001</v>
      </c>
      <c r="K200" s="560">
        <v>0.29609600000000003</v>
      </c>
      <c r="L200" s="560">
        <v>0.44143900000000003</v>
      </c>
      <c r="M200" s="560">
        <v>17407.371652000002</v>
      </c>
      <c r="N200" s="560">
        <v>17716.750497000001</v>
      </c>
      <c r="O200" s="560">
        <v>5863.1229469999998</v>
      </c>
      <c r="P200" s="560">
        <v>618.69737799999996</v>
      </c>
      <c r="Q200" s="560">
        <v>474.08957900000001</v>
      </c>
      <c r="R200" s="560">
        <v>2486.9234339999998</v>
      </c>
      <c r="S200" s="560">
        <v>1789.08851</v>
      </c>
      <c r="T200" s="560">
        <v>1977.5496860000001</v>
      </c>
      <c r="U200" s="560">
        <v>475.19546800000001</v>
      </c>
      <c r="V200" s="560">
        <v>35.168267</v>
      </c>
      <c r="W200" s="560">
        <v>7.4627280000000003</v>
      </c>
      <c r="X200" s="560">
        <v>0</v>
      </c>
      <c r="Y200" s="560">
        <v>46.748452999999998</v>
      </c>
      <c r="Z200" s="560">
        <v>245.22754499999999</v>
      </c>
      <c r="AA200" s="560">
        <v>46175.510781999998</v>
      </c>
      <c r="AB200" s="560">
        <v>46954.681586999999</v>
      </c>
      <c r="AC200" s="560">
        <v>33822.914633</v>
      </c>
      <c r="AD200" s="560">
        <v>27346.060680999999</v>
      </c>
      <c r="AE200" s="560">
        <v>650.43966399999999</v>
      </c>
      <c r="AF200" s="560">
        <v>17251.651534000001</v>
      </c>
      <c r="AG200" s="560">
        <v>18665.179012000001</v>
      </c>
      <c r="AH200" s="560">
        <v>4518.8256250000004</v>
      </c>
      <c r="AI200" s="560">
        <v>0</v>
      </c>
      <c r="AJ200" s="560">
        <v>986.562453</v>
      </c>
      <c r="AK200" s="560">
        <v>2765.3289060000002</v>
      </c>
      <c r="AL200" s="560">
        <v>200.75</v>
      </c>
      <c r="AM200" s="560">
        <v>0</v>
      </c>
      <c r="AN200" s="560">
        <v>0</v>
      </c>
      <c r="AO200" s="560">
        <v>0</v>
      </c>
      <c r="AP200" s="560">
        <v>0</v>
      </c>
      <c r="AQ200" s="560" t="s">
        <v>917</v>
      </c>
      <c r="AR200" s="560" t="s">
        <v>1740</v>
      </c>
      <c r="AS200" s="560">
        <v>0</v>
      </c>
      <c r="AT200" s="560">
        <v>0</v>
      </c>
      <c r="AU200" s="560">
        <v>0</v>
      </c>
      <c r="AV200" s="560">
        <v>69</v>
      </c>
      <c r="AW200" s="560">
        <v>64</v>
      </c>
      <c r="AX200" s="560">
        <v>74</v>
      </c>
      <c r="AY200" s="560">
        <v>78</v>
      </c>
      <c r="AZ200" s="560">
        <v>1</v>
      </c>
      <c r="BA200" s="560">
        <v>2522</v>
      </c>
      <c r="BB200" s="560">
        <v>0</v>
      </c>
      <c r="BC200" s="560">
        <v>0.5</v>
      </c>
      <c r="BD200" s="560">
        <v>0</v>
      </c>
      <c r="BE200" s="560" t="s">
        <v>1799</v>
      </c>
      <c r="BF200" s="560">
        <v>2.5</v>
      </c>
      <c r="BG200" s="560">
        <v>17.399999999999999</v>
      </c>
      <c r="BH200" s="560">
        <v>1</v>
      </c>
      <c r="BI200" s="560">
        <v>2</v>
      </c>
      <c r="BJ200" s="560">
        <v>35</v>
      </c>
      <c r="BK200" s="560">
        <v>0</v>
      </c>
      <c r="BL200" s="560" t="s">
        <v>1747</v>
      </c>
      <c r="BM200" s="560">
        <v>3.0000000000000001E-3</v>
      </c>
      <c r="BN200" s="560">
        <v>15</v>
      </c>
      <c r="BO200" s="560">
        <v>6</v>
      </c>
      <c r="BP200" s="560" t="s">
        <v>1747</v>
      </c>
      <c r="BQ200" s="560">
        <v>5.0000000000000001E-3</v>
      </c>
      <c r="BR200" s="560">
        <v>40</v>
      </c>
      <c r="BS200" s="560">
        <v>6</v>
      </c>
      <c r="BT200" s="560">
        <v>2688</v>
      </c>
      <c r="BU200" s="560">
        <v>22848</v>
      </c>
      <c r="BV200" s="560">
        <v>0</v>
      </c>
      <c r="BW200" s="560">
        <v>30.609376350000002</v>
      </c>
      <c r="BX200" s="560">
        <v>1480</v>
      </c>
      <c r="BY200" s="560">
        <v>17.543859650000002</v>
      </c>
      <c r="BZ200" s="560">
        <v>1344</v>
      </c>
      <c r="CA200" s="560">
        <v>37.664196859999997</v>
      </c>
      <c r="CB200" s="560">
        <v>0.85</v>
      </c>
      <c r="CC200" s="560">
        <v>94</v>
      </c>
      <c r="CD200" s="560">
        <v>94</v>
      </c>
      <c r="CE200" s="560">
        <v>94</v>
      </c>
      <c r="CF200" s="560">
        <v>94</v>
      </c>
      <c r="CG200" s="560">
        <v>0.29299999999999998</v>
      </c>
      <c r="CH200" s="560">
        <v>0.3</v>
      </c>
      <c r="CI200" s="560">
        <v>0.54</v>
      </c>
      <c r="CJ200" s="560">
        <v>40</v>
      </c>
      <c r="CK200" s="560">
        <v>5</v>
      </c>
      <c r="CL200" s="560">
        <v>4</v>
      </c>
      <c r="CM200" s="562">
        <v>1344</v>
      </c>
      <c r="CN200" s="562">
        <v>148</v>
      </c>
      <c r="CO200" s="562">
        <v>30.609376350000002</v>
      </c>
      <c r="CP200" s="562">
        <v>0</v>
      </c>
      <c r="CQ200" s="562">
        <v>0</v>
      </c>
      <c r="CR200" s="562" t="s">
        <v>1718</v>
      </c>
      <c r="CS200" s="562">
        <v>0</v>
      </c>
      <c r="CT200" s="562">
        <v>0</v>
      </c>
      <c r="CU200" s="562">
        <v>0.75</v>
      </c>
      <c r="CV200" s="562">
        <v>0.5</v>
      </c>
      <c r="CW200" s="562">
        <v>17.856999999999999</v>
      </c>
      <c r="CX200" s="562">
        <v>6.5</v>
      </c>
      <c r="CY200" s="562">
        <v>17.856999999999999</v>
      </c>
      <c r="CZ200" s="560">
        <v>2665.6</v>
      </c>
      <c r="DA200" s="560">
        <v>17</v>
      </c>
      <c r="DB200" s="560" t="s">
        <v>1719</v>
      </c>
      <c r="DC200" s="560">
        <v>50</v>
      </c>
      <c r="DD200" s="560">
        <v>4</v>
      </c>
      <c r="DE200" s="560" t="s">
        <v>1720</v>
      </c>
      <c r="DF200" s="560">
        <v>5</v>
      </c>
      <c r="DG200" s="560">
        <v>0</v>
      </c>
      <c r="DH200" s="560">
        <v>4.5</v>
      </c>
      <c r="DI200" s="560">
        <v>4.5</v>
      </c>
      <c r="DJ200" s="560">
        <v>0</v>
      </c>
      <c r="DK200" s="560">
        <v>0</v>
      </c>
      <c r="DL200" s="560">
        <v>0</v>
      </c>
      <c r="DM200" s="560">
        <v>0</v>
      </c>
      <c r="DN200" s="560">
        <v>0</v>
      </c>
      <c r="DO200" s="560">
        <v>0</v>
      </c>
    </row>
    <row r="201" spans="1:119" hidden="1">
      <c r="A201" s="560" t="s">
        <v>918</v>
      </c>
      <c r="B201" s="560" t="s">
        <v>1713</v>
      </c>
      <c r="C201" s="560" t="s">
        <v>800</v>
      </c>
      <c r="D201" s="560">
        <v>3</v>
      </c>
      <c r="E201" s="560">
        <v>438.66687400000001</v>
      </c>
      <c r="F201" s="560">
        <v>56.631793999999999</v>
      </c>
      <c r="G201" s="560">
        <v>7927.5</v>
      </c>
      <c r="H201" s="560">
        <v>755.94</v>
      </c>
      <c r="I201" s="560">
        <v>0.90101900000000001</v>
      </c>
      <c r="J201" s="560">
        <v>0.27978700000000001</v>
      </c>
      <c r="K201" s="560">
        <v>0.29609600000000003</v>
      </c>
      <c r="L201" s="560">
        <v>0.44143900000000003</v>
      </c>
      <c r="M201" s="560">
        <v>17407.371652000002</v>
      </c>
      <c r="N201" s="560">
        <v>17716.750497000001</v>
      </c>
      <c r="O201" s="560">
        <v>5863.1229469999998</v>
      </c>
      <c r="P201" s="560">
        <v>618.69737799999996</v>
      </c>
      <c r="Q201" s="560">
        <v>474.08957900000001</v>
      </c>
      <c r="R201" s="560">
        <v>2486.9234339999998</v>
      </c>
      <c r="S201" s="560">
        <v>3032.3074459999998</v>
      </c>
      <c r="T201" s="560">
        <v>3175.3384449999999</v>
      </c>
      <c r="U201" s="560">
        <v>765.57208400000002</v>
      </c>
      <c r="V201" s="560">
        <v>17.372004</v>
      </c>
      <c r="W201" s="560">
        <v>2.2691530000000002</v>
      </c>
      <c r="X201" s="560">
        <v>0</v>
      </c>
      <c r="Y201" s="560">
        <v>76.389345000000006</v>
      </c>
      <c r="Z201" s="560">
        <v>400.71425499999998</v>
      </c>
      <c r="AA201" s="560">
        <v>46175.510781999998</v>
      </c>
      <c r="AB201" s="560">
        <v>46954.681586999999</v>
      </c>
      <c r="AC201" s="560">
        <v>33822.914633</v>
      </c>
      <c r="AD201" s="560">
        <v>27346.060680999999</v>
      </c>
      <c r="AE201" s="560">
        <v>650.43966399999999</v>
      </c>
      <c r="AF201" s="560">
        <v>19227.454378999999</v>
      </c>
      <c r="AG201" s="560">
        <v>19868.236019</v>
      </c>
      <c r="AH201" s="560">
        <v>5034.0512479999998</v>
      </c>
      <c r="AI201" s="560">
        <v>0</v>
      </c>
      <c r="AJ201" s="560">
        <v>986.562453</v>
      </c>
      <c r="AK201" s="560">
        <v>2765.3289060000002</v>
      </c>
      <c r="AL201" s="560">
        <v>200.75</v>
      </c>
      <c r="AM201" s="560">
        <v>0</v>
      </c>
      <c r="AN201" s="560">
        <v>0</v>
      </c>
      <c r="AO201" s="560">
        <v>0</v>
      </c>
      <c r="AP201" s="560">
        <v>0</v>
      </c>
      <c r="AQ201" s="560" t="s">
        <v>918</v>
      </c>
      <c r="AR201" s="560" t="s">
        <v>1742</v>
      </c>
      <c r="AS201" s="560">
        <v>0</v>
      </c>
      <c r="AT201" s="560">
        <v>0</v>
      </c>
      <c r="AU201" s="560">
        <v>0</v>
      </c>
      <c r="AV201" s="560">
        <v>69</v>
      </c>
      <c r="AW201" s="560">
        <v>64</v>
      </c>
      <c r="AX201" s="560">
        <v>74</v>
      </c>
      <c r="AY201" s="560">
        <v>78</v>
      </c>
      <c r="AZ201" s="560">
        <v>1</v>
      </c>
      <c r="BA201" s="560">
        <v>2522</v>
      </c>
      <c r="BB201" s="560">
        <v>0</v>
      </c>
      <c r="BC201" s="560">
        <v>0.5</v>
      </c>
      <c r="BD201" s="560">
        <v>0</v>
      </c>
      <c r="BE201" s="560" t="s">
        <v>1799</v>
      </c>
      <c r="BF201" s="560">
        <v>2.5</v>
      </c>
      <c r="BG201" s="560">
        <v>17.399999999999999</v>
      </c>
      <c r="BH201" s="560">
        <v>1</v>
      </c>
      <c r="BI201" s="560">
        <v>2</v>
      </c>
      <c r="BJ201" s="560">
        <v>35</v>
      </c>
      <c r="BK201" s="560">
        <v>0</v>
      </c>
      <c r="BL201" s="560" t="s">
        <v>1747</v>
      </c>
      <c r="BM201" s="560">
        <v>3.0000000000000001E-3</v>
      </c>
      <c r="BN201" s="560">
        <v>15</v>
      </c>
      <c r="BO201" s="560">
        <v>6</v>
      </c>
      <c r="BP201" s="560" t="s">
        <v>1747</v>
      </c>
      <c r="BQ201" s="560">
        <v>5.0000000000000001E-3</v>
      </c>
      <c r="BR201" s="560">
        <v>40</v>
      </c>
      <c r="BS201" s="560">
        <v>6</v>
      </c>
      <c r="BT201" s="560">
        <v>2688</v>
      </c>
      <c r="BU201" s="560">
        <v>22848</v>
      </c>
      <c r="BV201" s="560">
        <v>0</v>
      </c>
      <c r="BW201" s="560">
        <v>30.609376350000002</v>
      </c>
      <c r="BX201" s="560">
        <v>1480</v>
      </c>
      <c r="BY201" s="560">
        <v>17.543859650000002</v>
      </c>
      <c r="BZ201" s="560">
        <v>1344</v>
      </c>
      <c r="CA201" s="560">
        <v>37.664196859999997</v>
      </c>
      <c r="CB201" s="560">
        <v>0.85</v>
      </c>
      <c r="CC201" s="560">
        <v>94</v>
      </c>
      <c r="CD201" s="560">
        <v>94</v>
      </c>
      <c r="CE201" s="560">
        <v>94</v>
      </c>
      <c r="CF201" s="560">
        <v>94</v>
      </c>
      <c r="CG201" s="560">
        <v>0.29299999999999998</v>
      </c>
      <c r="CH201" s="560">
        <v>0.3</v>
      </c>
      <c r="CI201" s="560">
        <v>0.54</v>
      </c>
      <c r="CJ201" s="560">
        <v>40</v>
      </c>
      <c r="CK201" s="560">
        <v>5</v>
      </c>
      <c r="CL201" s="560">
        <v>4</v>
      </c>
      <c r="CM201" s="562">
        <v>1344</v>
      </c>
      <c r="CN201" s="562">
        <v>148</v>
      </c>
      <c r="CO201" s="562">
        <v>30.609376350000002</v>
      </c>
      <c r="CP201" s="562">
        <v>0</v>
      </c>
      <c r="CQ201" s="562">
        <v>0</v>
      </c>
      <c r="CR201" s="562" t="s">
        <v>1718</v>
      </c>
      <c r="CS201" s="562">
        <v>0</v>
      </c>
      <c r="CT201" s="562">
        <v>0</v>
      </c>
      <c r="CU201" s="562">
        <v>0.75</v>
      </c>
      <c r="CV201" s="562">
        <v>0.5</v>
      </c>
      <c r="CW201" s="562">
        <v>17.856999999999999</v>
      </c>
      <c r="CX201" s="562">
        <v>6.5</v>
      </c>
      <c r="CY201" s="562">
        <v>17.856999999999999</v>
      </c>
      <c r="CZ201" s="560">
        <v>2665.6</v>
      </c>
      <c r="DA201" s="560">
        <v>17</v>
      </c>
      <c r="DB201" s="560" t="s">
        <v>1719</v>
      </c>
      <c r="DC201" s="560">
        <v>50</v>
      </c>
      <c r="DD201" s="560">
        <v>4</v>
      </c>
      <c r="DE201" s="560" t="s">
        <v>1720</v>
      </c>
      <c r="DF201" s="560">
        <v>5</v>
      </c>
      <c r="DG201" s="560">
        <v>0</v>
      </c>
      <c r="DH201" s="560">
        <v>4.5</v>
      </c>
      <c r="DI201" s="560">
        <v>4.5</v>
      </c>
      <c r="DJ201" s="560">
        <v>0</v>
      </c>
      <c r="DK201" s="560">
        <v>0</v>
      </c>
      <c r="DL201" s="560">
        <v>0</v>
      </c>
      <c r="DM201" s="560">
        <v>0</v>
      </c>
      <c r="DN201" s="560">
        <v>0</v>
      </c>
      <c r="DO201" s="560">
        <v>0</v>
      </c>
    </row>
    <row r="202" spans="1:119" hidden="1">
      <c r="A202" s="560" t="s">
        <v>919</v>
      </c>
      <c r="B202" s="560" t="s">
        <v>1713</v>
      </c>
      <c r="C202" s="560" t="s">
        <v>794</v>
      </c>
      <c r="D202" s="560">
        <v>3</v>
      </c>
      <c r="E202" s="560">
        <v>472.56832600000001</v>
      </c>
      <c r="F202" s="560">
        <v>57.140076000000001</v>
      </c>
      <c r="G202" s="560">
        <v>7927.5</v>
      </c>
      <c r="H202" s="560">
        <v>139.9665</v>
      </c>
      <c r="I202" s="560">
        <v>0.90101900000000001</v>
      </c>
      <c r="J202" s="560">
        <v>0.27957799999999999</v>
      </c>
      <c r="K202" s="560">
        <v>0.29256500000000002</v>
      </c>
      <c r="L202" s="560">
        <v>0.44180000000000003</v>
      </c>
      <c r="M202" s="560">
        <v>19136.204978000002</v>
      </c>
      <c r="N202" s="560">
        <v>19525.715555999999</v>
      </c>
      <c r="O202" s="560">
        <v>6530.6534410000004</v>
      </c>
      <c r="P202" s="560">
        <v>831.32453599999997</v>
      </c>
      <c r="Q202" s="560">
        <v>516.93127900000002</v>
      </c>
      <c r="R202" s="560">
        <v>2711.6573950000002</v>
      </c>
      <c r="S202" s="560">
        <v>891.06695300000001</v>
      </c>
      <c r="T202" s="560">
        <v>1055.225207</v>
      </c>
      <c r="U202" s="560">
        <v>254.056308</v>
      </c>
      <c r="V202" s="560">
        <v>33.980572000000002</v>
      </c>
      <c r="W202" s="560">
        <v>13.522157</v>
      </c>
      <c r="X202" s="560">
        <v>0</v>
      </c>
      <c r="Y202" s="560">
        <v>24.568102</v>
      </c>
      <c r="Z202" s="560">
        <v>128.876463</v>
      </c>
      <c r="AA202" s="560">
        <v>47762.359203</v>
      </c>
      <c r="AB202" s="560">
        <v>48657.905148999998</v>
      </c>
      <c r="AC202" s="560">
        <v>35544.670441000002</v>
      </c>
      <c r="AD202" s="560">
        <v>29071.590445000002</v>
      </c>
      <c r="AE202" s="560">
        <v>650.43966399999999</v>
      </c>
      <c r="AF202" s="560">
        <v>13389.909847000001</v>
      </c>
      <c r="AG202" s="560">
        <v>14409.551428000001</v>
      </c>
      <c r="AH202" s="560">
        <v>3524.8985069999999</v>
      </c>
      <c r="AI202" s="560">
        <v>3</v>
      </c>
      <c r="AJ202" s="560">
        <v>1072.5176590000001</v>
      </c>
      <c r="AK202" s="560">
        <v>3005.4507570000001</v>
      </c>
      <c r="AL202" s="560">
        <v>200.75</v>
      </c>
      <c r="AM202" s="560">
        <v>0</v>
      </c>
      <c r="AN202" s="560">
        <v>0</v>
      </c>
      <c r="AO202" s="560">
        <v>0</v>
      </c>
      <c r="AP202" s="560">
        <v>0</v>
      </c>
      <c r="AQ202" s="560" t="s">
        <v>919</v>
      </c>
      <c r="AR202" s="560" t="s">
        <v>1738</v>
      </c>
      <c r="AS202" s="560">
        <v>0</v>
      </c>
      <c r="AT202" s="560">
        <v>0</v>
      </c>
      <c r="AU202" s="560">
        <v>0</v>
      </c>
      <c r="AV202" s="560">
        <v>69</v>
      </c>
      <c r="AW202" s="560">
        <v>64</v>
      </c>
      <c r="AX202" s="560">
        <v>74</v>
      </c>
      <c r="AY202" s="560">
        <v>78</v>
      </c>
      <c r="AZ202" s="560">
        <v>1</v>
      </c>
      <c r="BA202" s="560">
        <v>2522</v>
      </c>
      <c r="BB202" s="560">
        <v>0</v>
      </c>
      <c r="BC202" s="560">
        <v>0.5</v>
      </c>
      <c r="BD202" s="560">
        <v>0</v>
      </c>
      <c r="BE202" s="560" t="s">
        <v>1799</v>
      </c>
      <c r="BF202" s="560">
        <v>2.5</v>
      </c>
      <c r="BG202" s="560">
        <v>17.399999999999999</v>
      </c>
      <c r="BH202" s="560">
        <v>1</v>
      </c>
      <c r="BI202" s="560">
        <v>2</v>
      </c>
      <c r="BJ202" s="560">
        <v>35</v>
      </c>
      <c r="BK202" s="560">
        <v>0</v>
      </c>
      <c r="BL202" s="560" t="s">
        <v>1747</v>
      </c>
      <c r="BM202" s="560">
        <v>3.0000000000000001E-3</v>
      </c>
      <c r="BN202" s="560">
        <v>15</v>
      </c>
      <c r="BO202" s="560">
        <v>4.5</v>
      </c>
      <c r="BP202" s="560" t="s">
        <v>1747</v>
      </c>
      <c r="BQ202" s="560">
        <v>5.0000000000000001E-3</v>
      </c>
      <c r="BR202" s="560">
        <v>40</v>
      </c>
      <c r="BS202" s="560">
        <v>4.9000000000000004</v>
      </c>
      <c r="BT202" s="560">
        <v>2688</v>
      </c>
      <c r="BU202" s="560">
        <v>22848</v>
      </c>
      <c r="BV202" s="560">
        <v>0</v>
      </c>
      <c r="BW202" s="560">
        <v>26.8</v>
      </c>
      <c r="BX202" s="560">
        <v>1480</v>
      </c>
      <c r="BY202" s="560">
        <v>11.4</v>
      </c>
      <c r="BZ202" s="560">
        <v>1344</v>
      </c>
      <c r="CA202" s="560">
        <v>35</v>
      </c>
      <c r="CB202" s="560">
        <v>0.85</v>
      </c>
      <c r="CC202" s="560">
        <v>94</v>
      </c>
      <c r="CD202" s="560">
        <v>94</v>
      </c>
      <c r="CE202" s="560">
        <v>94</v>
      </c>
      <c r="CF202" s="560">
        <v>94</v>
      </c>
      <c r="CG202" s="560">
        <v>0.29299999999999998</v>
      </c>
      <c r="CH202" s="560">
        <v>0.3</v>
      </c>
      <c r="CI202" s="560">
        <v>0.54</v>
      </c>
      <c r="CJ202" s="560">
        <v>40</v>
      </c>
      <c r="CK202" s="560">
        <v>5</v>
      </c>
      <c r="CL202" s="560">
        <v>4</v>
      </c>
      <c r="CM202" s="562">
        <v>1344</v>
      </c>
      <c r="CN202" s="562">
        <v>148</v>
      </c>
      <c r="CO202" s="562">
        <v>26.8</v>
      </c>
      <c r="CP202" s="562">
        <v>0</v>
      </c>
      <c r="CQ202" s="562">
        <v>0</v>
      </c>
      <c r="CR202" s="562" t="s">
        <v>1718</v>
      </c>
      <c r="CS202" s="562">
        <v>0</v>
      </c>
      <c r="CT202" s="562">
        <v>0</v>
      </c>
      <c r="CU202" s="562">
        <v>0.75</v>
      </c>
      <c r="CV202" s="562">
        <v>0.5</v>
      </c>
      <c r="CW202" s="562">
        <v>17.856999999999999</v>
      </c>
      <c r="CX202" s="562">
        <v>6.5</v>
      </c>
      <c r="CY202" s="562">
        <v>17.856999999999999</v>
      </c>
      <c r="CZ202" s="560">
        <v>2665.6</v>
      </c>
      <c r="DA202" s="560">
        <v>17</v>
      </c>
      <c r="DB202" s="560" t="s">
        <v>1719</v>
      </c>
      <c r="DC202" s="560">
        <v>50</v>
      </c>
      <c r="DD202" s="560">
        <v>4</v>
      </c>
      <c r="DE202" s="560" t="s">
        <v>1720</v>
      </c>
      <c r="DF202" s="560">
        <v>5</v>
      </c>
      <c r="DG202" s="560">
        <v>0</v>
      </c>
      <c r="DH202" s="560">
        <v>4.5</v>
      </c>
      <c r="DI202" s="560">
        <v>4.5</v>
      </c>
      <c r="DJ202" s="560">
        <v>0</v>
      </c>
      <c r="DK202" s="560">
        <v>0</v>
      </c>
      <c r="DL202" s="560">
        <v>0</v>
      </c>
      <c r="DM202" s="560">
        <v>0</v>
      </c>
      <c r="DN202" s="560">
        <v>0</v>
      </c>
      <c r="DO202" s="560">
        <v>0</v>
      </c>
    </row>
    <row r="203" spans="1:119" hidden="1">
      <c r="A203" s="560" t="s">
        <v>920</v>
      </c>
      <c r="B203" s="560" t="s">
        <v>1713</v>
      </c>
      <c r="C203" s="560" t="s">
        <v>797</v>
      </c>
      <c r="D203" s="560">
        <v>3</v>
      </c>
      <c r="E203" s="560">
        <v>472.56832600000001</v>
      </c>
      <c r="F203" s="560">
        <v>57.140076000000001</v>
      </c>
      <c r="G203" s="560">
        <v>7927.5</v>
      </c>
      <c r="H203" s="560">
        <v>391.60199999999998</v>
      </c>
      <c r="I203" s="560">
        <v>0.90101900000000001</v>
      </c>
      <c r="J203" s="560">
        <v>0.27957799999999999</v>
      </c>
      <c r="K203" s="560">
        <v>0.29256500000000002</v>
      </c>
      <c r="L203" s="560">
        <v>0.44180000000000003</v>
      </c>
      <c r="M203" s="560">
        <v>19136.204978000002</v>
      </c>
      <c r="N203" s="560">
        <v>19525.715555999999</v>
      </c>
      <c r="O203" s="560">
        <v>6530.6534410000004</v>
      </c>
      <c r="P203" s="560">
        <v>831.32453599999997</v>
      </c>
      <c r="Q203" s="560">
        <v>516.93127900000002</v>
      </c>
      <c r="R203" s="560">
        <v>2711.6573950000002</v>
      </c>
      <c r="S203" s="560">
        <v>1834.952949</v>
      </c>
      <c r="T203" s="560">
        <v>2026.374793</v>
      </c>
      <c r="U203" s="560">
        <v>485.67804599999999</v>
      </c>
      <c r="V203" s="560">
        <v>33.866807000000001</v>
      </c>
      <c r="W203" s="560">
        <v>7.0845589999999996</v>
      </c>
      <c r="X203" s="560">
        <v>0</v>
      </c>
      <c r="Y203" s="560">
        <v>47.922367999999999</v>
      </c>
      <c r="Z203" s="560">
        <v>251.38552899999999</v>
      </c>
      <c r="AA203" s="560">
        <v>47762.359203</v>
      </c>
      <c r="AB203" s="560">
        <v>48657.905148999998</v>
      </c>
      <c r="AC203" s="560">
        <v>35544.670441000002</v>
      </c>
      <c r="AD203" s="560">
        <v>29071.590445000002</v>
      </c>
      <c r="AE203" s="560">
        <v>650.43966399999999</v>
      </c>
      <c r="AF203" s="560">
        <v>18069.521883000001</v>
      </c>
      <c r="AG203" s="560">
        <v>19578.558295999999</v>
      </c>
      <c r="AH203" s="560">
        <v>4728.1157919999996</v>
      </c>
      <c r="AI203" s="560">
        <v>3</v>
      </c>
      <c r="AJ203" s="560">
        <v>1072.5176590000001</v>
      </c>
      <c r="AK203" s="560">
        <v>3005.4507570000001</v>
      </c>
      <c r="AL203" s="560">
        <v>200.75</v>
      </c>
      <c r="AM203" s="560">
        <v>0</v>
      </c>
      <c r="AN203" s="560">
        <v>0</v>
      </c>
      <c r="AO203" s="560">
        <v>0</v>
      </c>
      <c r="AP203" s="560">
        <v>0</v>
      </c>
      <c r="AQ203" s="560" t="s">
        <v>920</v>
      </c>
      <c r="AR203" s="560" t="s">
        <v>1740</v>
      </c>
      <c r="AS203" s="560">
        <v>0</v>
      </c>
      <c r="AT203" s="560">
        <v>0</v>
      </c>
      <c r="AU203" s="560">
        <v>0</v>
      </c>
      <c r="AV203" s="560">
        <v>69</v>
      </c>
      <c r="AW203" s="560">
        <v>64</v>
      </c>
      <c r="AX203" s="560">
        <v>74</v>
      </c>
      <c r="AY203" s="560">
        <v>78</v>
      </c>
      <c r="AZ203" s="560">
        <v>1</v>
      </c>
      <c r="BA203" s="560">
        <v>2522</v>
      </c>
      <c r="BB203" s="560">
        <v>0</v>
      </c>
      <c r="BC203" s="560">
        <v>0.5</v>
      </c>
      <c r="BD203" s="560">
        <v>0</v>
      </c>
      <c r="BE203" s="560" t="s">
        <v>1799</v>
      </c>
      <c r="BF203" s="560">
        <v>2.5</v>
      </c>
      <c r="BG203" s="560">
        <v>17.399999999999999</v>
      </c>
      <c r="BH203" s="560">
        <v>1</v>
      </c>
      <c r="BI203" s="560">
        <v>2</v>
      </c>
      <c r="BJ203" s="560">
        <v>35</v>
      </c>
      <c r="BK203" s="560">
        <v>0</v>
      </c>
      <c r="BL203" s="560" t="s">
        <v>1747</v>
      </c>
      <c r="BM203" s="560">
        <v>3.0000000000000001E-3</v>
      </c>
      <c r="BN203" s="560">
        <v>15</v>
      </c>
      <c r="BO203" s="560">
        <v>4.5</v>
      </c>
      <c r="BP203" s="560" t="s">
        <v>1747</v>
      </c>
      <c r="BQ203" s="560">
        <v>5.0000000000000001E-3</v>
      </c>
      <c r="BR203" s="560">
        <v>40</v>
      </c>
      <c r="BS203" s="560">
        <v>4.9000000000000004</v>
      </c>
      <c r="BT203" s="560">
        <v>2688</v>
      </c>
      <c r="BU203" s="560">
        <v>22848</v>
      </c>
      <c r="BV203" s="560">
        <v>0</v>
      </c>
      <c r="BW203" s="560">
        <v>26.8</v>
      </c>
      <c r="BX203" s="560">
        <v>1480</v>
      </c>
      <c r="BY203" s="560">
        <v>11.4</v>
      </c>
      <c r="BZ203" s="560">
        <v>1344</v>
      </c>
      <c r="CA203" s="560">
        <v>35</v>
      </c>
      <c r="CB203" s="560">
        <v>0.85</v>
      </c>
      <c r="CC203" s="560">
        <v>94</v>
      </c>
      <c r="CD203" s="560">
        <v>94</v>
      </c>
      <c r="CE203" s="560">
        <v>94</v>
      </c>
      <c r="CF203" s="560">
        <v>94</v>
      </c>
      <c r="CG203" s="560">
        <v>0.29299999999999998</v>
      </c>
      <c r="CH203" s="560">
        <v>0.3</v>
      </c>
      <c r="CI203" s="560">
        <v>0.54</v>
      </c>
      <c r="CJ203" s="560">
        <v>40</v>
      </c>
      <c r="CK203" s="560">
        <v>5</v>
      </c>
      <c r="CL203" s="560">
        <v>4</v>
      </c>
      <c r="CM203" s="562">
        <v>1344</v>
      </c>
      <c r="CN203" s="562">
        <v>148</v>
      </c>
      <c r="CO203" s="562">
        <v>26.8</v>
      </c>
      <c r="CP203" s="562">
        <v>0</v>
      </c>
      <c r="CQ203" s="562">
        <v>0</v>
      </c>
      <c r="CR203" s="562" t="s">
        <v>1718</v>
      </c>
      <c r="CS203" s="562">
        <v>0</v>
      </c>
      <c r="CT203" s="562">
        <v>0</v>
      </c>
      <c r="CU203" s="562">
        <v>0.75</v>
      </c>
      <c r="CV203" s="562">
        <v>0.5</v>
      </c>
      <c r="CW203" s="562">
        <v>17.856999999999999</v>
      </c>
      <c r="CX203" s="562">
        <v>6.5</v>
      </c>
      <c r="CY203" s="562">
        <v>17.856999999999999</v>
      </c>
      <c r="CZ203" s="560">
        <v>2665.6</v>
      </c>
      <c r="DA203" s="560">
        <v>17</v>
      </c>
      <c r="DB203" s="560" t="s">
        <v>1719</v>
      </c>
      <c r="DC203" s="560">
        <v>50</v>
      </c>
      <c r="DD203" s="560">
        <v>4</v>
      </c>
      <c r="DE203" s="560" t="s">
        <v>1720</v>
      </c>
      <c r="DF203" s="560">
        <v>5</v>
      </c>
      <c r="DG203" s="560">
        <v>0</v>
      </c>
      <c r="DH203" s="560">
        <v>4.5</v>
      </c>
      <c r="DI203" s="560">
        <v>4.5</v>
      </c>
      <c r="DJ203" s="560">
        <v>0</v>
      </c>
      <c r="DK203" s="560">
        <v>0</v>
      </c>
      <c r="DL203" s="560">
        <v>0</v>
      </c>
      <c r="DM203" s="560">
        <v>0</v>
      </c>
      <c r="DN203" s="560">
        <v>0</v>
      </c>
      <c r="DO203" s="560">
        <v>0</v>
      </c>
    </row>
    <row r="204" spans="1:119" hidden="1">
      <c r="A204" s="560" t="s">
        <v>921</v>
      </c>
      <c r="B204" s="560" t="s">
        <v>1713</v>
      </c>
      <c r="C204" s="560" t="s">
        <v>800</v>
      </c>
      <c r="D204" s="560">
        <v>3</v>
      </c>
      <c r="E204" s="560">
        <v>472.56832600000001</v>
      </c>
      <c r="F204" s="560">
        <v>57.140076000000001</v>
      </c>
      <c r="G204" s="560">
        <v>7927.5</v>
      </c>
      <c r="H204" s="560">
        <v>755.94</v>
      </c>
      <c r="I204" s="560">
        <v>0.90101900000000001</v>
      </c>
      <c r="J204" s="560">
        <v>0.27957799999999999</v>
      </c>
      <c r="K204" s="560">
        <v>0.29256500000000002</v>
      </c>
      <c r="L204" s="560">
        <v>0.44180000000000003</v>
      </c>
      <c r="M204" s="560">
        <v>19136.204978000002</v>
      </c>
      <c r="N204" s="560">
        <v>19525.715555999999</v>
      </c>
      <c r="O204" s="560">
        <v>6530.6534410000004</v>
      </c>
      <c r="P204" s="560">
        <v>831.32453599999997</v>
      </c>
      <c r="Q204" s="560">
        <v>516.93127900000002</v>
      </c>
      <c r="R204" s="560">
        <v>2711.6573950000002</v>
      </c>
      <c r="S204" s="560">
        <v>3130.205007</v>
      </c>
      <c r="T204" s="560">
        <v>3285.6904650000001</v>
      </c>
      <c r="U204" s="560">
        <v>789.33243600000003</v>
      </c>
      <c r="V204" s="560">
        <v>16.652051</v>
      </c>
      <c r="W204" s="560">
        <v>2.1096370000000002</v>
      </c>
      <c r="X204" s="560">
        <v>0</v>
      </c>
      <c r="Y204" s="560">
        <v>79.024229000000005</v>
      </c>
      <c r="Z204" s="560">
        <v>414.53601800000001</v>
      </c>
      <c r="AA204" s="560">
        <v>47762.359203</v>
      </c>
      <c r="AB204" s="560">
        <v>48657.905148999998</v>
      </c>
      <c r="AC204" s="560">
        <v>35544.670441000002</v>
      </c>
      <c r="AD204" s="560">
        <v>29071.590445000002</v>
      </c>
      <c r="AE204" s="560">
        <v>650.43966399999999</v>
      </c>
      <c r="AF204" s="560">
        <v>20210.595789999999</v>
      </c>
      <c r="AG204" s="560">
        <v>20997.673794999999</v>
      </c>
      <c r="AH204" s="560">
        <v>5294.5128839999998</v>
      </c>
      <c r="AI204" s="560">
        <v>3</v>
      </c>
      <c r="AJ204" s="560">
        <v>1072.5176590000001</v>
      </c>
      <c r="AK204" s="560">
        <v>3005.4507570000001</v>
      </c>
      <c r="AL204" s="560">
        <v>200.75</v>
      </c>
      <c r="AM204" s="560">
        <v>0</v>
      </c>
      <c r="AN204" s="560">
        <v>0</v>
      </c>
      <c r="AO204" s="560">
        <v>0</v>
      </c>
      <c r="AP204" s="560">
        <v>0</v>
      </c>
      <c r="AQ204" s="560" t="s">
        <v>921</v>
      </c>
      <c r="AR204" s="560" t="s">
        <v>1742</v>
      </c>
      <c r="AS204" s="560">
        <v>0</v>
      </c>
      <c r="AT204" s="560">
        <v>0</v>
      </c>
      <c r="AU204" s="560">
        <v>0</v>
      </c>
      <c r="AV204" s="560">
        <v>69</v>
      </c>
      <c r="AW204" s="560">
        <v>64</v>
      </c>
      <c r="AX204" s="560">
        <v>74</v>
      </c>
      <c r="AY204" s="560">
        <v>78</v>
      </c>
      <c r="AZ204" s="560">
        <v>1</v>
      </c>
      <c r="BA204" s="560">
        <v>2522</v>
      </c>
      <c r="BB204" s="560">
        <v>0</v>
      </c>
      <c r="BC204" s="560">
        <v>0.5</v>
      </c>
      <c r="BD204" s="560">
        <v>0</v>
      </c>
      <c r="BE204" s="560" t="s">
        <v>1799</v>
      </c>
      <c r="BF204" s="560">
        <v>2.5</v>
      </c>
      <c r="BG204" s="560">
        <v>17.399999999999999</v>
      </c>
      <c r="BH204" s="560">
        <v>1</v>
      </c>
      <c r="BI204" s="560">
        <v>2</v>
      </c>
      <c r="BJ204" s="560">
        <v>35</v>
      </c>
      <c r="BK204" s="560">
        <v>0</v>
      </c>
      <c r="BL204" s="560" t="s">
        <v>1747</v>
      </c>
      <c r="BM204" s="560">
        <v>3.0000000000000001E-3</v>
      </c>
      <c r="BN204" s="560">
        <v>15</v>
      </c>
      <c r="BO204" s="560">
        <v>4.5</v>
      </c>
      <c r="BP204" s="560" t="s">
        <v>1747</v>
      </c>
      <c r="BQ204" s="560">
        <v>5.0000000000000001E-3</v>
      </c>
      <c r="BR204" s="560">
        <v>40</v>
      </c>
      <c r="BS204" s="560">
        <v>4.9000000000000004</v>
      </c>
      <c r="BT204" s="560">
        <v>2688</v>
      </c>
      <c r="BU204" s="560">
        <v>22848</v>
      </c>
      <c r="BV204" s="560">
        <v>0</v>
      </c>
      <c r="BW204" s="560">
        <v>26.8</v>
      </c>
      <c r="BX204" s="560">
        <v>1480</v>
      </c>
      <c r="BY204" s="560">
        <v>11.4</v>
      </c>
      <c r="BZ204" s="560">
        <v>1344</v>
      </c>
      <c r="CA204" s="560">
        <v>35</v>
      </c>
      <c r="CB204" s="560">
        <v>0.85</v>
      </c>
      <c r="CC204" s="560">
        <v>94</v>
      </c>
      <c r="CD204" s="560">
        <v>94</v>
      </c>
      <c r="CE204" s="560">
        <v>94</v>
      </c>
      <c r="CF204" s="560">
        <v>94</v>
      </c>
      <c r="CG204" s="560">
        <v>0.29299999999999998</v>
      </c>
      <c r="CH204" s="560">
        <v>0.3</v>
      </c>
      <c r="CI204" s="560">
        <v>0.54</v>
      </c>
      <c r="CJ204" s="560">
        <v>40</v>
      </c>
      <c r="CK204" s="560">
        <v>5</v>
      </c>
      <c r="CL204" s="560">
        <v>4</v>
      </c>
      <c r="CM204" s="562">
        <v>1344</v>
      </c>
      <c r="CN204" s="562">
        <v>148</v>
      </c>
      <c r="CO204" s="562">
        <v>26.8</v>
      </c>
      <c r="CP204" s="562">
        <v>0</v>
      </c>
      <c r="CQ204" s="562">
        <v>0</v>
      </c>
      <c r="CR204" s="562" t="s">
        <v>1718</v>
      </c>
      <c r="CS204" s="562">
        <v>0</v>
      </c>
      <c r="CT204" s="562">
        <v>0</v>
      </c>
      <c r="CU204" s="562">
        <v>0.75</v>
      </c>
      <c r="CV204" s="562">
        <v>0.5</v>
      </c>
      <c r="CW204" s="562">
        <v>17.856999999999999</v>
      </c>
      <c r="CX204" s="562">
        <v>6.5</v>
      </c>
      <c r="CY204" s="562">
        <v>17.856999999999999</v>
      </c>
      <c r="CZ204" s="560">
        <v>2665.6</v>
      </c>
      <c r="DA204" s="560">
        <v>17</v>
      </c>
      <c r="DB204" s="560" t="s">
        <v>1719</v>
      </c>
      <c r="DC204" s="560">
        <v>50</v>
      </c>
      <c r="DD204" s="560">
        <v>4</v>
      </c>
      <c r="DE204" s="560" t="s">
        <v>1720</v>
      </c>
      <c r="DF204" s="560">
        <v>5</v>
      </c>
      <c r="DG204" s="560">
        <v>0</v>
      </c>
      <c r="DH204" s="560">
        <v>4.5</v>
      </c>
      <c r="DI204" s="560">
        <v>4.5</v>
      </c>
      <c r="DJ204" s="560">
        <v>0</v>
      </c>
      <c r="DK204" s="560">
        <v>0</v>
      </c>
      <c r="DL204" s="560">
        <v>0</v>
      </c>
      <c r="DM204" s="560">
        <v>0</v>
      </c>
      <c r="DN204" s="560">
        <v>0</v>
      </c>
      <c r="DO204" s="560">
        <v>0</v>
      </c>
    </row>
    <row r="205" spans="1:119" hidden="1">
      <c r="A205" s="560" t="s">
        <v>922</v>
      </c>
      <c r="B205" s="560" t="s">
        <v>1713</v>
      </c>
      <c r="C205" s="560" t="s">
        <v>764</v>
      </c>
      <c r="D205" s="560">
        <v>3</v>
      </c>
      <c r="E205" s="560">
        <v>764.57521099999997</v>
      </c>
      <c r="F205" s="560">
        <v>58.576752999999997</v>
      </c>
      <c r="G205" s="560">
        <v>4974.4274999999998</v>
      </c>
      <c r="H205" s="560">
        <v>139.9665</v>
      </c>
      <c r="I205" s="560">
        <v>0.968943</v>
      </c>
      <c r="J205" s="560">
        <v>0.31800600000000001</v>
      </c>
      <c r="K205" s="560">
        <v>0.34258899999999998</v>
      </c>
      <c r="L205" s="560">
        <v>0.50643800000000005</v>
      </c>
      <c r="M205" s="560">
        <v>18830.505820999999</v>
      </c>
      <c r="N205" s="560">
        <v>19556.627524</v>
      </c>
      <c r="O205" s="560">
        <v>6223.6966469999998</v>
      </c>
      <c r="P205" s="560">
        <v>631.42484000000002</v>
      </c>
      <c r="Q205" s="560">
        <v>505.696324</v>
      </c>
      <c r="R205" s="560">
        <v>1894.801704</v>
      </c>
      <c r="S205" s="560">
        <v>1564.965166</v>
      </c>
      <c r="T205" s="560">
        <v>1822.305783</v>
      </c>
      <c r="U205" s="560">
        <v>434.721857</v>
      </c>
      <c r="V205" s="560">
        <v>37.999457999999997</v>
      </c>
      <c r="W205" s="560">
        <v>8.8898119999999992</v>
      </c>
      <c r="X205" s="560">
        <v>0</v>
      </c>
      <c r="Y205" s="560">
        <v>42.613838000000001</v>
      </c>
      <c r="Z205" s="560">
        <v>159.67047500000001</v>
      </c>
      <c r="AA205" s="560">
        <v>73033.755793000004</v>
      </c>
      <c r="AB205" s="560">
        <v>75776.265583999993</v>
      </c>
      <c r="AC205" s="560">
        <v>53793.316778</v>
      </c>
      <c r="AD205" s="560">
        <v>44656.567753000003</v>
      </c>
      <c r="AE205" s="560">
        <v>910.61553000000004</v>
      </c>
      <c r="AF205" s="560">
        <v>24468.989001000002</v>
      </c>
      <c r="AG205" s="560">
        <v>26948.697574999998</v>
      </c>
      <c r="AH205" s="560">
        <v>6445.3459000000003</v>
      </c>
      <c r="AI205" s="560">
        <v>78.099999999999994</v>
      </c>
      <c r="AJ205" s="560">
        <v>1129.0144760000001</v>
      </c>
      <c r="AK205" s="560">
        <v>2228.7916489999998</v>
      </c>
      <c r="AL205" s="560">
        <v>200.75</v>
      </c>
      <c r="AM205" s="560">
        <v>0</v>
      </c>
      <c r="AN205" s="560">
        <v>0</v>
      </c>
      <c r="AO205" s="560">
        <v>0</v>
      </c>
      <c r="AP205" s="560">
        <v>0</v>
      </c>
      <c r="AQ205" s="560" t="s">
        <v>922</v>
      </c>
      <c r="AR205" s="560" t="s">
        <v>1714</v>
      </c>
      <c r="AS205" s="560">
        <v>0</v>
      </c>
      <c r="AT205" s="560">
        <v>0</v>
      </c>
      <c r="AU205" s="560">
        <v>0</v>
      </c>
      <c r="AV205" s="560">
        <v>69</v>
      </c>
      <c r="AW205" s="560">
        <v>64</v>
      </c>
      <c r="AX205" s="560">
        <v>74</v>
      </c>
      <c r="AY205" s="560">
        <v>78</v>
      </c>
      <c r="AZ205" s="560">
        <v>1</v>
      </c>
      <c r="BA205" s="560">
        <v>3099</v>
      </c>
      <c r="BB205" s="560">
        <v>0</v>
      </c>
      <c r="BC205" s="560">
        <v>0.5</v>
      </c>
      <c r="BD205" s="560">
        <v>0</v>
      </c>
      <c r="BE205" s="560" t="s">
        <v>1799</v>
      </c>
      <c r="BF205" s="560">
        <v>3.5</v>
      </c>
      <c r="BG205" s="560">
        <v>17.399999999999999</v>
      </c>
      <c r="BH205" s="560">
        <v>1</v>
      </c>
      <c r="BI205" s="560">
        <v>2</v>
      </c>
      <c r="BJ205" s="560">
        <v>35</v>
      </c>
      <c r="BK205" s="560">
        <v>0</v>
      </c>
      <c r="BL205" s="560" t="s">
        <v>1747</v>
      </c>
      <c r="BM205" s="560">
        <v>0.02</v>
      </c>
      <c r="BN205" s="560">
        <v>0</v>
      </c>
      <c r="BO205" s="560">
        <v>6</v>
      </c>
      <c r="BP205" s="560" t="s">
        <v>1747</v>
      </c>
      <c r="BQ205" s="560">
        <v>0.03</v>
      </c>
      <c r="BR205" s="560">
        <v>60</v>
      </c>
      <c r="BS205" s="560">
        <v>6</v>
      </c>
      <c r="BT205" s="560">
        <v>5000</v>
      </c>
      <c r="BU205" s="560">
        <v>40100</v>
      </c>
      <c r="BV205" s="560">
        <v>200</v>
      </c>
      <c r="BW205" s="560">
        <v>30.609376350000002</v>
      </c>
      <c r="BX205" s="560">
        <v>2788</v>
      </c>
      <c r="BY205" s="560">
        <v>17.543859650000002</v>
      </c>
      <c r="BZ205" s="560">
        <v>1800</v>
      </c>
      <c r="CA205" s="560">
        <v>37.664196859999997</v>
      </c>
      <c r="CB205" s="560">
        <v>0.85</v>
      </c>
      <c r="CC205" s="560">
        <v>187.5</v>
      </c>
      <c r="CD205" s="560">
        <v>187.5</v>
      </c>
      <c r="CE205" s="560">
        <v>187.5</v>
      </c>
      <c r="CF205" s="560">
        <v>187.5</v>
      </c>
      <c r="CG205" s="560">
        <v>0.29299999999999998</v>
      </c>
      <c r="CH205" s="560">
        <v>0.3</v>
      </c>
      <c r="CI205" s="560">
        <v>0.54</v>
      </c>
      <c r="CJ205" s="560">
        <v>40</v>
      </c>
      <c r="CK205" s="560">
        <v>5</v>
      </c>
      <c r="CL205" s="560">
        <v>4</v>
      </c>
      <c r="CM205" s="562">
        <v>1600</v>
      </c>
      <c r="CN205" s="562">
        <v>164</v>
      </c>
      <c r="CO205" s="562">
        <v>30.609376350000002</v>
      </c>
      <c r="CP205" s="562">
        <v>0</v>
      </c>
      <c r="CQ205" s="562">
        <v>0</v>
      </c>
      <c r="CR205" s="562" t="s">
        <v>1718</v>
      </c>
      <c r="CS205" s="562">
        <v>0</v>
      </c>
      <c r="CT205" s="562">
        <v>0</v>
      </c>
      <c r="CU205" s="562">
        <v>0.75</v>
      </c>
      <c r="CV205" s="562">
        <v>0.5</v>
      </c>
      <c r="CW205" s="562">
        <v>17.856999999999999</v>
      </c>
      <c r="CX205" s="562">
        <v>6.5</v>
      </c>
      <c r="CY205" s="562">
        <v>17.856999999999999</v>
      </c>
      <c r="CZ205" s="560">
        <v>4678.3333329999996</v>
      </c>
      <c r="DA205" s="560">
        <v>26.5625</v>
      </c>
      <c r="DB205" s="560" t="s">
        <v>1719</v>
      </c>
      <c r="DC205" s="560">
        <v>50</v>
      </c>
      <c r="DD205" s="560">
        <v>4</v>
      </c>
      <c r="DE205" s="560" t="s">
        <v>1720</v>
      </c>
      <c r="DF205" s="560">
        <v>5</v>
      </c>
      <c r="DG205" s="560">
        <v>0</v>
      </c>
      <c r="DH205" s="560">
        <v>4.5</v>
      </c>
      <c r="DI205" s="560">
        <v>4.5</v>
      </c>
      <c r="DJ205" s="560">
        <v>0</v>
      </c>
      <c r="DK205" s="560">
        <v>0</v>
      </c>
      <c r="DL205" s="560">
        <v>0</v>
      </c>
      <c r="DM205" s="560">
        <v>0</v>
      </c>
      <c r="DN205" s="560">
        <v>0</v>
      </c>
      <c r="DO205" s="560">
        <v>0</v>
      </c>
    </row>
    <row r="206" spans="1:119" hidden="1">
      <c r="A206" s="560" t="s">
        <v>923</v>
      </c>
      <c r="B206" s="560" t="s">
        <v>1713</v>
      </c>
      <c r="C206" s="560" t="s">
        <v>767</v>
      </c>
      <c r="D206" s="560">
        <v>3</v>
      </c>
      <c r="E206" s="560">
        <v>764.57521099999997</v>
      </c>
      <c r="F206" s="560">
        <v>58.576752999999997</v>
      </c>
      <c r="G206" s="560">
        <v>4974.4274999999998</v>
      </c>
      <c r="H206" s="560">
        <v>391.60199999999998</v>
      </c>
      <c r="I206" s="560">
        <v>0.968943</v>
      </c>
      <c r="J206" s="560">
        <v>0.31800600000000001</v>
      </c>
      <c r="K206" s="560">
        <v>0.34258899999999998</v>
      </c>
      <c r="L206" s="560">
        <v>0.50643800000000005</v>
      </c>
      <c r="M206" s="560">
        <v>18830.505820999999</v>
      </c>
      <c r="N206" s="560">
        <v>19556.627524</v>
      </c>
      <c r="O206" s="560">
        <v>6223.6966469999998</v>
      </c>
      <c r="P206" s="560">
        <v>631.42484000000002</v>
      </c>
      <c r="Q206" s="560">
        <v>505.696324</v>
      </c>
      <c r="R206" s="560">
        <v>1894.801704</v>
      </c>
      <c r="S206" s="560">
        <v>3213.7484119999999</v>
      </c>
      <c r="T206" s="560">
        <v>3578.8531899999998</v>
      </c>
      <c r="U206" s="560">
        <v>850.19493699999998</v>
      </c>
      <c r="V206" s="560">
        <v>36.389122</v>
      </c>
      <c r="W206" s="560">
        <v>4.477684</v>
      </c>
      <c r="X206" s="560">
        <v>0</v>
      </c>
      <c r="Y206" s="560">
        <v>85.167258000000004</v>
      </c>
      <c r="Z206" s="560">
        <v>319.11457100000001</v>
      </c>
      <c r="AA206" s="560">
        <v>73033.755793000004</v>
      </c>
      <c r="AB206" s="560">
        <v>75776.265583999993</v>
      </c>
      <c r="AC206" s="560">
        <v>53793.316778</v>
      </c>
      <c r="AD206" s="560">
        <v>44656.567753000003</v>
      </c>
      <c r="AE206" s="560">
        <v>910.61553000000004</v>
      </c>
      <c r="AF206" s="560">
        <v>32652.278586</v>
      </c>
      <c r="AG206" s="560">
        <v>36906.245388000003</v>
      </c>
      <c r="AH206" s="560">
        <v>8647.7137540000003</v>
      </c>
      <c r="AI206" s="560">
        <v>78.099999999999994</v>
      </c>
      <c r="AJ206" s="560">
        <v>1129.0144760000001</v>
      </c>
      <c r="AK206" s="560">
        <v>2228.7916489999998</v>
      </c>
      <c r="AL206" s="560">
        <v>200.75</v>
      </c>
      <c r="AM206" s="560">
        <v>0</v>
      </c>
      <c r="AN206" s="560">
        <v>0</v>
      </c>
      <c r="AO206" s="560">
        <v>0</v>
      </c>
      <c r="AP206" s="560">
        <v>0</v>
      </c>
      <c r="AQ206" s="560" t="s">
        <v>923</v>
      </c>
      <c r="AR206" s="560" t="s">
        <v>1722</v>
      </c>
      <c r="AS206" s="560">
        <v>0</v>
      </c>
      <c r="AT206" s="560">
        <v>0</v>
      </c>
      <c r="AU206" s="560">
        <v>0</v>
      </c>
      <c r="AV206" s="560">
        <v>69</v>
      </c>
      <c r="AW206" s="560">
        <v>64</v>
      </c>
      <c r="AX206" s="560">
        <v>74</v>
      </c>
      <c r="AY206" s="560">
        <v>78</v>
      </c>
      <c r="AZ206" s="560">
        <v>1</v>
      </c>
      <c r="BA206" s="560">
        <v>3099</v>
      </c>
      <c r="BB206" s="560">
        <v>0</v>
      </c>
      <c r="BC206" s="560">
        <v>0.5</v>
      </c>
      <c r="BD206" s="560">
        <v>0</v>
      </c>
      <c r="BE206" s="560" t="s">
        <v>1799</v>
      </c>
      <c r="BF206" s="560">
        <v>3.5</v>
      </c>
      <c r="BG206" s="560">
        <v>17.399999999999999</v>
      </c>
      <c r="BH206" s="560">
        <v>1</v>
      </c>
      <c r="BI206" s="560">
        <v>2</v>
      </c>
      <c r="BJ206" s="560">
        <v>35</v>
      </c>
      <c r="BK206" s="560">
        <v>0</v>
      </c>
      <c r="BL206" s="560" t="s">
        <v>1747</v>
      </c>
      <c r="BM206" s="560">
        <v>0.02</v>
      </c>
      <c r="BN206" s="560">
        <v>0</v>
      </c>
      <c r="BO206" s="560">
        <v>6</v>
      </c>
      <c r="BP206" s="560" t="s">
        <v>1747</v>
      </c>
      <c r="BQ206" s="560">
        <v>0.03</v>
      </c>
      <c r="BR206" s="560">
        <v>60</v>
      </c>
      <c r="BS206" s="560">
        <v>6</v>
      </c>
      <c r="BT206" s="560">
        <v>5000</v>
      </c>
      <c r="BU206" s="560">
        <v>40100</v>
      </c>
      <c r="BV206" s="560">
        <v>200</v>
      </c>
      <c r="BW206" s="560">
        <v>30.609376350000002</v>
      </c>
      <c r="BX206" s="560">
        <v>2788</v>
      </c>
      <c r="BY206" s="560">
        <v>17.543859650000002</v>
      </c>
      <c r="BZ206" s="560">
        <v>1800</v>
      </c>
      <c r="CA206" s="560">
        <v>37.664196859999997</v>
      </c>
      <c r="CB206" s="560">
        <v>0.85</v>
      </c>
      <c r="CC206" s="560">
        <v>187.5</v>
      </c>
      <c r="CD206" s="560">
        <v>187.5</v>
      </c>
      <c r="CE206" s="560">
        <v>187.5</v>
      </c>
      <c r="CF206" s="560">
        <v>187.5</v>
      </c>
      <c r="CG206" s="560">
        <v>0.29299999999999998</v>
      </c>
      <c r="CH206" s="560">
        <v>0.3</v>
      </c>
      <c r="CI206" s="560">
        <v>0.54</v>
      </c>
      <c r="CJ206" s="560">
        <v>40</v>
      </c>
      <c r="CK206" s="560">
        <v>5</v>
      </c>
      <c r="CL206" s="560">
        <v>4</v>
      </c>
      <c r="CM206" s="562">
        <v>1600</v>
      </c>
      <c r="CN206" s="562">
        <v>164</v>
      </c>
      <c r="CO206" s="562">
        <v>30.609376350000002</v>
      </c>
      <c r="CP206" s="562">
        <v>0</v>
      </c>
      <c r="CQ206" s="562">
        <v>0</v>
      </c>
      <c r="CR206" s="562" t="s">
        <v>1718</v>
      </c>
      <c r="CS206" s="562">
        <v>0</v>
      </c>
      <c r="CT206" s="562">
        <v>0</v>
      </c>
      <c r="CU206" s="562">
        <v>0.75</v>
      </c>
      <c r="CV206" s="562">
        <v>0.5</v>
      </c>
      <c r="CW206" s="562">
        <v>17.856999999999999</v>
      </c>
      <c r="CX206" s="562">
        <v>6.5</v>
      </c>
      <c r="CY206" s="562">
        <v>17.856999999999999</v>
      </c>
      <c r="CZ206" s="560">
        <v>4678.3333329999996</v>
      </c>
      <c r="DA206" s="560">
        <v>26.5625</v>
      </c>
      <c r="DB206" s="560" t="s">
        <v>1719</v>
      </c>
      <c r="DC206" s="560">
        <v>50</v>
      </c>
      <c r="DD206" s="560">
        <v>4</v>
      </c>
      <c r="DE206" s="560" t="s">
        <v>1720</v>
      </c>
      <c r="DF206" s="560">
        <v>5</v>
      </c>
      <c r="DG206" s="560">
        <v>0</v>
      </c>
      <c r="DH206" s="560">
        <v>4.5</v>
      </c>
      <c r="DI206" s="560">
        <v>4.5</v>
      </c>
      <c r="DJ206" s="560">
        <v>0</v>
      </c>
      <c r="DK206" s="560">
        <v>0</v>
      </c>
      <c r="DL206" s="560">
        <v>0</v>
      </c>
      <c r="DM206" s="560">
        <v>0</v>
      </c>
      <c r="DN206" s="560">
        <v>0</v>
      </c>
      <c r="DO206" s="560">
        <v>0</v>
      </c>
    </row>
    <row r="207" spans="1:119" hidden="1">
      <c r="A207" s="560" t="s">
        <v>924</v>
      </c>
      <c r="B207" s="560" t="s">
        <v>1713</v>
      </c>
      <c r="C207" s="560" t="s">
        <v>770</v>
      </c>
      <c r="D207" s="560">
        <v>3</v>
      </c>
      <c r="E207" s="560">
        <v>764.57521099999997</v>
      </c>
      <c r="F207" s="560">
        <v>58.576752999999997</v>
      </c>
      <c r="G207" s="560">
        <v>4974.4274999999998</v>
      </c>
      <c r="H207" s="560">
        <v>755.94</v>
      </c>
      <c r="I207" s="560">
        <v>0.968943</v>
      </c>
      <c r="J207" s="560">
        <v>0.31800600000000001</v>
      </c>
      <c r="K207" s="560">
        <v>0.34258899999999998</v>
      </c>
      <c r="L207" s="560">
        <v>0.50643800000000005</v>
      </c>
      <c r="M207" s="560">
        <v>18830.505820999999</v>
      </c>
      <c r="N207" s="560">
        <v>19556.627524</v>
      </c>
      <c r="O207" s="560">
        <v>6223.6966469999998</v>
      </c>
      <c r="P207" s="560">
        <v>631.42484000000002</v>
      </c>
      <c r="Q207" s="560">
        <v>505.696324</v>
      </c>
      <c r="R207" s="560">
        <v>1894.801704</v>
      </c>
      <c r="S207" s="560">
        <v>5414.5253570000004</v>
      </c>
      <c r="T207" s="560">
        <v>5835.0241589999996</v>
      </c>
      <c r="U207" s="560">
        <v>1391.1645249999999</v>
      </c>
      <c r="V207" s="560">
        <v>12.438058</v>
      </c>
      <c r="W207" s="560">
        <v>0.89407499999999995</v>
      </c>
      <c r="X207" s="560">
        <v>0</v>
      </c>
      <c r="Y207" s="560">
        <v>141.716126</v>
      </c>
      <c r="Z207" s="560">
        <v>530.99843399999997</v>
      </c>
      <c r="AA207" s="560">
        <v>73033.755793000004</v>
      </c>
      <c r="AB207" s="560">
        <v>75776.265583999993</v>
      </c>
      <c r="AC207" s="560">
        <v>53793.316778</v>
      </c>
      <c r="AD207" s="560">
        <v>44656.567753000003</v>
      </c>
      <c r="AE207" s="560">
        <v>910.61553000000004</v>
      </c>
      <c r="AF207" s="560">
        <v>33299.536227999997</v>
      </c>
      <c r="AG207" s="560">
        <v>36747.236677000001</v>
      </c>
      <c r="AH207" s="560">
        <v>8913.1093419999997</v>
      </c>
      <c r="AI207" s="560">
        <v>78.099999999999994</v>
      </c>
      <c r="AJ207" s="560">
        <v>1129.0144760000001</v>
      </c>
      <c r="AK207" s="560">
        <v>2228.7916489999998</v>
      </c>
      <c r="AL207" s="560">
        <v>200.75</v>
      </c>
      <c r="AM207" s="560">
        <v>0</v>
      </c>
      <c r="AN207" s="560">
        <v>0</v>
      </c>
      <c r="AO207" s="560">
        <v>0</v>
      </c>
      <c r="AP207" s="560">
        <v>0</v>
      </c>
      <c r="AQ207" s="560" t="s">
        <v>924</v>
      </c>
      <c r="AR207" s="560" t="s">
        <v>1724</v>
      </c>
      <c r="AS207" s="560">
        <v>0</v>
      </c>
      <c r="AT207" s="560">
        <v>0</v>
      </c>
      <c r="AU207" s="560">
        <v>0</v>
      </c>
      <c r="AV207" s="560">
        <v>69</v>
      </c>
      <c r="AW207" s="560">
        <v>64</v>
      </c>
      <c r="AX207" s="560">
        <v>74</v>
      </c>
      <c r="AY207" s="560">
        <v>78</v>
      </c>
      <c r="AZ207" s="560">
        <v>1</v>
      </c>
      <c r="BA207" s="560">
        <v>3099</v>
      </c>
      <c r="BB207" s="560">
        <v>0</v>
      </c>
      <c r="BC207" s="560">
        <v>0.5</v>
      </c>
      <c r="BD207" s="560">
        <v>0</v>
      </c>
      <c r="BE207" s="560" t="s">
        <v>1799</v>
      </c>
      <c r="BF207" s="560">
        <v>3.5</v>
      </c>
      <c r="BG207" s="560">
        <v>17.399999999999999</v>
      </c>
      <c r="BH207" s="560">
        <v>1</v>
      </c>
      <c r="BI207" s="560">
        <v>2</v>
      </c>
      <c r="BJ207" s="560">
        <v>35</v>
      </c>
      <c r="BK207" s="560">
        <v>0</v>
      </c>
      <c r="BL207" s="560" t="s">
        <v>1747</v>
      </c>
      <c r="BM207" s="560">
        <v>0.02</v>
      </c>
      <c r="BN207" s="560">
        <v>0</v>
      </c>
      <c r="BO207" s="560">
        <v>6</v>
      </c>
      <c r="BP207" s="560" t="s">
        <v>1747</v>
      </c>
      <c r="BQ207" s="560">
        <v>0.03</v>
      </c>
      <c r="BR207" s="560">
        <v>60</v>
      </c>
      <c r="BS207" s="560">
        <v>6</v>
      </c>
      <c r="BT207" s="560">
        <v>5000</v>
      </c>
      <c r="BU207" s="560">
        <v>40100</v>
      </c>
      <c r="BV207" s="560">
        <v>200</v>
      </c>
      <c r="BW207" s="560">
        <v>30.609376350000002</v>
      </c>
      <c r="BX207" s="560">
        <v>2788</v>
      </c>
      <c r="BY207" s="560">
        <v>17.543859650000002</v>
      </c>
      <c r="BZ207" s="560">
        <v>1800</v>
      </c>
      <c r="CA207" s="560">
        <v>37.664196859999997</v>
      </c>
      <c r="CB207" s="560">
        <v>0.85</v>
      </c>
      <c r="CC207" s="560">
        <v>187.5</v>
      </c>
      <c r="CD207" s="560">
        <v>187.5</v>
      </c>
      <c r="CE207" s="560">
        <v>187.5</v>
      </c>
      <c r="CF207" s="560">
        <v>187.5</v>
      </c>
      <c r="CG207" s="560">
        <v>0.29299999999999998</v>
      </c>
      <c r="CH207" s="560">
        <v>0.3</v>
      </c>
      <c r="CI207" s="560">
        <v>0.54</v>
      </c>
      <c r="CJ207" s="560">
        <v>40</v>
      </c>
      <c r="CK207" s="560">
        <v>5</v>
      </c>
      <c r="CL207" s="560">
        <v>4</v>
      </c>
      <c r="CM207" s="562">
        <v>1600</v>
      </c>
      <c r="CN207" s="562">
        <v>164</v>
      </c>
      <c r="CO207" s="562">
        <v>30.609376350000002</v>
      </c>
      <c r="CP207" s="562">
        <v>0</v>
      </c>
      <c r="CQ207" s="562">
        <v>0</v>
      </c>
      <c r="CR207" s="562" t="s">
        <v>1718</v>
      </c>
      <c r="CS207" s="562">
        <v>0</v>
      </c>
      <c r="CT207" s="562">
        <v>0</v>
      </c>
      <c r="CU207" s="562">
        <v>0.75</v>
      </c>
      <c r="CV207" s="562">
        <v>0.5</v>
      </c>
      <c r="CW207" s="562">
        <v>17.856999999999999</v>
      </c>
      <c r="CX207" s="562">
        <v>6.5</v>
      </c>
      <c r="CY207" s="562">
        <v>17.856999999999999</v>
      </c>
      <c r="CZ207" s="560">
        <v>4678.3333329999996</v>
      </c>
      <c r="DA207" s="560">
        <v>26.5625</v>
      </c>
      <c r="DB207" s="560" t="s">
        <v>1719</v>
      </c>
      <c r="DC207" s="560">
        <v>50</v>
      </c>
      <c r="DD207" s="560">
        <v>4</v>
      </c>
      <c r="DE207" s="560" t="s">
        <v>1720</v>
      </c>
      <c r="DF207" s="560">
        <v>5</v>
      </c>
      <c r="DG207" s="560">
        <v>0</v>
      </c>
      <c r="DH207" s="560">
        <v>4.5</v>
      </c>
      <c r="DI207" s="560">
        <v>4.5</v>
      </c>
      <c r="DJ207" s="560">
        <v>0</v>
      </c>
      <c r="DK207" s="560">
        <v>0</v>
      </c>
      <c r="DL207" s="560">
        <v>0</v>
      </c>
      <c r="DM207" s="560">
        <v>0</v>
      </c>
      <c r="DN207" s="560">
        <v>0</v>
      </c>
      <c r="DO207" s="560">
        <v>0</v>
      </c>
    </row>
    <row r="208" spans="1:119" hidden="1">
      <c r="A208" s="560" t="s">
        <v>925</v>
      </c>
      <c r="B208" s="560" t="s">
        <v>1713</v>
      </c>
      <c r="C208" s="560" t="s">
        <v>764</v>
      </c>
      <c r="D208" s="560">
        <v>3</v>
      </c>
      <c r="E208" s="560">
        <v>827.581726</v>
      </c>
      <c r="F208" s="560">
        <v>58.932136</v>
      </c>
      <c r="G208" s="560">
        <v>4974.4274999999998</v>
      </c>
      <c r="H208" s="560">
        <v>139.9665</v>
      </c>
      <c r="I208" s="560">
        <v>0.968943</v>
      </c>
      <c r="J208" s="560">
        <v>0.31843700000000003</v>
      </c>
      <c r="K208" s="560">
        <v>0.33877400000000002</v>
      </c>
      <c r="L208" s="560">
        <v>0.51035299999999995</v>
      </c>
      <c r="M208" s="560">
        <v>20971.627843999999</v>
      </c>
      <c r="N208" s="560">
        <v>21783.86087</v>
      </c>
      <c r="O208" s="560">
        <v>6728.3173829999996</v>
      </c>
      <c r="P208" s="560">
        <v>501.77242999999999</v>
      </c>
      <c r="Q208" s="560">
        <v>561.05609800000002</v>
      </c>
      <c r="R208" s="560">
        <v>1839.4513669999999</v>
      </c>
      <c r="S208" s="560">
        <v>1596.5347859999999</v>
      </c>
      <c r="T208" s="560">
        <v>1861.680167</v>
      </c>
      <c r="U208" s="560">
        <v>444.79185899999999</v>
      </c>
      <c r="V208" s="560">
        <v>39.261395999999998</v>
      </c>
      <c r="W208" s="560">
        <v>9.0035329999999991</v>
      </c>
      <c r="X208" s="560">
        <v>0</v>
      </c>
      <c r="Y208" s="560">
        <v>43.518076999999998</v>
      </c>
      <c r="Z208" s="560">
        <v>142.67626100000001</v>
      </c>
      <c r="AA208" s="560">
        <v>75902.090612</v>
      </c>
      <c r="AB208" s="560">
        <v>78888.820940999998</v>
      </c>
      <c r="AC208" s="560">
        <v>53415.115343999998</v>
      </c>
      <c r="AD208" s="560">
        <v>42973.363530000002</v>
      </c>
      <c r="AE208" s="560">
        <v>1040.7034619999999</v>
      </c>
      <c r="AF208" s="560">
        <v>25790.274820999999</v>
      </c>
      <c r="AG208" s="560">
        <v>28445.882167</v>
      </c>
      <c r="AH208" s="560">
        <v>6838.4469280000003</v>
      </c>
      <c r="AI208" s="560">
        <v>42.7</v>
      </c>
      <c r="AJ208" s="560">
        <v>1241.7922140000001</v>
      </c>
      <c r="AK208" s="560">
        <v>2155.9898189999999</v>
      </c>
      <c r="AL208" s="560">
        <v>200.75</v>
      </c>
      <c r="AM208" s="560">
        <v>0</v>
      </c>
      <c r="AN208" s="560">
        <v>0</v>
      </c>
      <c r="AO208" s="560">
        <v>0</v>
      </c>
      <c r="AP208" s="560">
        <v>0</v>
      </c>
      <c r="AQ208" s="560" t="s">
        <v>925</v>
      </c>
      <c r="AR208" s="560" t="s">
        <v>1714</v>
      </c>
      <c r="AS208" s="560">
        <v>0</v>
      </c>
      <c r="AT208" s="560">
        <v>0</v>
      </c>
      <c r="AU208" s="560">
        <v>0</v>
      </c>
      <c r="AV208" s="560">
        <v>69</v>
      </c>
      <c r="AW208" s="560">
        <v>64</v>
      </c>
      <c r="AX208" s="560">
        <v>74</v>
      </c>
      <c r="AY208" s="560">
        <v>78</v>
      </c>
      <c r="AZ208" s="560">
        <v>1</v>
      </c>
      <c r="BA208" s="560">
        <v>3099</v>
      </c>
      <c r="BB208" s="560">
        <v>0</v>
      </c>
      <c r="BC208" s="560">
        <v>0.5</v>
      </c>
      <c r="BD208" s="560">
        <v>0</v>
      </c>
      <c r="BE208" s="560" t="s">
        <v>1799</v>
      </c>
      <c r="BF208" s="560">
        <v>4</v>
      </c>
      <c r="BG208" s="560">
        <v>17.399999999999999</v>
      </c>
      <c r="BH208" s="560">
        <v>1</v>
      </c>
      <c r="BI208" s="560">
        <v>2</v>
      </c>
      <c r="BJ208" s="560">
        <v>35</v>
      </c>
      <c r="BK208" s="560">
        <v>0</v>
      </c>
      <c r="BL208" s="560" t="s">
        <v>1747</v>
      </c>
      <c r="BM208" s="560">
        <v>0.02</v>
      </c>
      <c r="BN208" s="560">
        <v>0</v>
      </c>
      <c r="BO208" s="560">
        <v>4.5</v>
      </c>
      <c r="BP208" s="560" t="s">
        <v>1747</v>
      </c>
      <c r="BQ208" s="560">
        <v>0.03</v>
      </c>
      <c r="BR208" s="560">
        <v>60</v>
      </c>
      <c r="BS208" s="560">
        <v>4.9000000000000004</v>
      </c>
      <c r="BT208" s="560">
        <v>5000</v>
      </c>
      <c r="BU208" s="560">
        <v>40100</v>
      </c>
      <c r="BV208" s="560">
        <v>200</v>
      </c>
      <c r="BW208" s="560">
        <v>26.8</v>
      </c>
      <c r="BX208" s="560">
        <v>2788</v>
      </c>
      <c r="BY208" s="560">
        <v>11.4</v>
      </c>
      <c r="BZ208" s="560">
        <v>1800</v>
      </c>
      <c r="CA208" s="560">
        <v>35</v>
      </c>
      <c r="CB208" s="560">
        <v>0.85</v>
      </c>
      <c r="CC208" s="560">
        <v>187.5</v>
      </c>
      <c r="CD208" s="560">
        <v>187.5</v>
      </c>
      <c r="CE208" s="560">
        <v>187.5</v>
      </c>
      <c r="CF208" s="560">
        <v>187.5</v>
      </c>
      <c r="CG208" s="560">
        <v>0.29299999999999998</v>
      </c>
      <c r="CH208" s="560">
        <v>0.3</v>
      </c>
      <c r="CI208" s="560">
        <v>0.54</v>
      </c>
      <c r="CJ208" s="560">
        <v>40</v>
      </c>
      <c r="CK208" s="560">
        <v>5</v>
      </c>
      <c r="CL208" s="560">
        <v>4</v>
      </c>
      <c r="CM208" s="562">
        <v>1600</v>
      </c>
      <c r="CN208" s="562">
        <v>164</v>
      </c>
      <c r="CO208" s="562">
        <v>26.8</v>
      </c>
      <c r="CP208" s="562">
        <v>0</v>
      </c>
      <c r="CQ208" s="562">
        <v>0</v>
      </c>
      <c r="CR208" s="562" t="s">
        <v>1718</v>
      </c>
      <c r="CS208" s="562">
        <v>0</v>
      </c>
      <c r="CT208" s="562">
        <v>0</v>
      </c>
      <c r="CU208" s="562">
        <v>0.75</v>
      </c>
      <c r="CV208" s="562">
        <v>0.5</v>
      </c>
      <c r="CW208" s="562">
        <v>17.856999999999999</v>
      </c>
      <c r="CX208" s="562">
        <v>6.5</v>
      </c>
      <c r="CY208" s="562">
        <v>17.856999999999999</v>
      </c>
      <c r="CZ208" s="560">
        <v>4678.3333329999996</v>
      </c>
      <c r="DA208" s="560">
        <v>26.5625</v>
      </c>
      <c r="DB208" s="560" t="s">
        <v>1719</v>
      </c>
      <c r="DC208" s="560">
        <v>50</v>
      </c>
      <c r="DD208" s="560">
        <v>4</v>
      </c>
      <c r="DE208" s="560" t="s">
        <v>1720</v>
      </c>
      <c r="DF208" s="560">
        <v>5</v>
      </c>
      <c r="DG208" s="560">
        <v>0</v>
      </c>
      <c r="DH208" s="560">
        <v>4.5</v>
      </c>
      <c r="DI208" s="560">
        <v>4.5</v>
      </c>
      <c r="DJ208" s="560">
        <v>0</v>
      </c>
      <c r="DK208" s="560">
        <v>0</v>
      </c>
      <c r="DL208" s="560">
        <v>0</v>
      </c>
      <c r="DM208" s="560">
        <v>0</v>
      </c>
      <c r="DN208" s="560">
        <v>0</v>
      </c>
      <c r="DO208" s="560">
        <v>0</v>
      </c>
    </row>
    <row r="209" spans="1:119" hidden="1">
      <c r="A209" s="560" t="s">
        <v>926</v>
      </c>
      <c r="B209" s="560" t="s">
        <v>1713</v>
      </c>
      <c r="C209" s="560" t="s">
        <v>767</v>
      </c>
      <c r="D209" s="560">
        <v>3</v>
      </c>
      <c r="E209" s="560">
        <v>827.581726</v>
      </c>
      <c r="F209" s="560">
        <v>58.932136</v>
      </c>
      <c r="G209" s="560">
        <v>4974.4274999999998</v>
      </c>
      <c r="H209" s="560">
        <v>391.60199999999998</v>
      </c>
      <c r="I209" s="560">
        <v>0.968943</v>
      </c>
      <c r="J209" s="560">
        <v>0.31843700000000003</v>
      </c>
      <c r="K209" s="560">
        <v>0.33877400000000002</v>
      </c>
      <c r="L209" s="560">
        <v>0.51035299999999995</v>
      </c>
      <c r="M209" s="560">
        <v>20971.627843999999</v>
      </c>
      <c r="N209" s="560">
        <v>21783.86087</v>
      </c>
      <c r="O209" s="560">
        <v>6728.3173829999996</v>
      </c>
      <c r="P209" s="560">
        <v>501.77242999999999</v>
      </c>
      <c r="Q209" s="560">
        <v>561.05609800000002</v>
      </c>
      <c r="R209" s="560">
        <v>1839.4513669999999</v>
      </c>
      <c r="S209" s="560">
        <v>3320.9277889999998</v>
      </c>
      <c r="T209" s="560">
        <v>3701.0428430000002</v>
      </c>
      <c r="U209" s="560">
        <v>881.21014200000002</v>
      </c>
      <c r="V209" s="560">
        <v>37.893932</v>
      </c>
      <c r="W209" s="560">
        <v>4.5233879999999997</v>
      </c>
      <c r="X209" s="560">
        <v>0</v>
      </c>
      <c r="Y209" s="560">
        <v>88.050950999999998</v>
      </c>
      <c r="Z209" s="560">
        <v>288.67958399999998</v>
      </c>
      <c r="AA209" s="560">
        <v>75902.090612</v>
      </c>
      <c r="AB209" s="560">
        <v>78888.820940999998</v>
      </c>
      <c r="AC209" s="560">
        <v>53415.115343999998</v>
      </c>
      <c r="AD209" s="560">
        <v>42973.363530000002</v>
      </c>
      <c r="AE209" s="560">
        <v>1040.7034619999999</v>
      </c>
      <c r="AF209" s="560">
        <v>34669.255294000002</v>
      </c>
      <c r="AG209" s="560">
        <v>39332.538451</v>
      </c>
      <c r="AH209" s="560">
        <v>9303.7589279999993</v>
      </c>
      <c r="AI209" s="560">
        <v>42.7</v>
      </c>
      <c r="AJ209" s="560">
        <v>1241.7922140000001</v>
      </c>
      <c r="AK209" s="560">
        <v>2155.9898189999999</v>
      </c>
      <c r="AL209" s="560">
        <v>200.75</v>
      </c>
      <c r="AM209" s="560">
        <v>0</v>
      </c>
      <c r="AN209" s="560">
        <v>0</v>
      </c>
      <c r="AO209" s="560">
        <v>0</v>
      </c>
      <c r="AP209" s="560">
        <v>0</v>
      </c>
      <c r="AQ209" s="560" t="s">
        <v>926</v>
      </c>
      <c r="AR209" s="560" t="s">
        <v>1722</v>
      </c>
      <c r="AS209" s="560">
        <v>0</v>
      </c>
      <c r="AT209" s="560">
        <v>0</v>
      </c>
      <c r="AU209" s="560">
        <v>0</v>
      </c>
      <c r="AV209" s="560">
        <v>69</v>
      </c>
      <c r="AW209" s="560">
        <v>64</v>
      </c>
      <c r="AX209" s="560">
        <v>74</v>
      </c>
      <c r="AY209" s="560">
        <v>78</v>
      </c>
      <c r="AZ209" s="560">
        <v>1</v>
      </c>
      <c r="BA209" s="560">
        <v>3099</v>
      </c>
      <c r="BB209" s="560">
        <v>0</v>
      </c>
      <c r="BC209" s="560">
        <v>0.5</v>
      </c>
      <c r="BD209" s="560">
        <v>0</v>
      </c>
      <c r="BE209" s="560" t="s">
        <v>1799</v>
      </c>
      <c r="BF209" s="560">
        <v>4</v>
      </c>
      <c r="BG209" s="560">
        <v>17.399999999999999</v>
      </c>
      <c r="BH209" s="560">
        <v>1</v>
      </c>
      <c r="BI209" s="560">
        <v>2</v>
      </c>
      <c r="BJ209" s="560">
        <v>35</v>
      </c>
      <c r="BK209" s="560">
        <v>0</v>
      </c>
      <c r="BL209" s="560" t="s">
        <v>1747</v>
      </c>
      <c r="BM209" s="560">
        <v>0.02</v>
      </c>
      <c r="BN209" s="560">
        <v>0</v>
      </c>
      <c r="BO209" s="560">
        <v>4.5</v>
      </c>
      <c r="BP209" s="560" t="s">
        <v>1747</v>
      </c>
      <c r="BQ209" s="560">
        <v>0.03</v>
      </c>
      <c r="BR209" s="560">
        <v>60</v>
      </c>
      <c r="BS209" s="560">
        <v>4.9000000000000004</v>
      </c>
      <c r="BT209" s="560">
        <v>5000</v>
      </c>
      <c r="BU209" s="560">
        <v>40100</v>
      </c>
      <c r="BV209" s="560">
        <v>200</v>
      </c>
      <c r="BW209" s="560">
        <v>26.8</v>
      </c>
      <c r="BX209" s="560">
        <v>2788</v>
      </c>
      <c r="BY209" s="560">
        <v>11.4</v>
      </c>
      <c r="BZ209" s="560">
        <v>1800</v>
      </c>
      <c r="CA209" s="560">
        <v>35</v>
      </c>
      <c r="CB209" s="560">
        <v>0.85</v>
      </c>
      <c r="CC209" s="560">
        <v>187.5</v>
      </c>
      <c r="CD209" s="560">
        <v>187.5</v>
      </c>
      <c r="CE209" s="560">
        <v>187.5</v>
      </c>
      <c r="CF209" s="560">
        <v>187.5</v>
      </c>
      <c r="CG209" s="560">
        <v>0.29299999999999998</v>
      </c>
      <c r="CH209" s="560">
        <v>0.3</v>
      </c>
      <c r="CI209" s="560">
        <v>0.54</v>
      </c>
      <c r="CJ209" s="560">
        <v>40</v>
      </c>
      <c r="CK209" s="560">
        <v>5</v>
      </c>
      <c r="CL209" s="560">
        <v>4</v>
      </c>
      <c r="CM209" s="562">
        <v>1600</v>
      </c>
      <c r="CN209" s="562">
        <v>164</v>
      </c>
      <c r="CO209" s="562">
        <v>26.8</v>
      </c>
      <c r="CP209" s="562">
        <v>0</v>
      </c>
      <c r="CQ209" s="562">
        <v>0</v>
      </c>
      <c r="CR209" s="562" t="s">
        <v>1718</v>
      </c>
      <c r="CS209" s="562">
        <v>0</v>
      </c>
      <c r="CT209" s="562">
        <v>0</v>
      </c>
      <c r="CU209" s="562">
        <v>0.75</v>
      </c>
      <c r="CV209" s="562">
        <v>0.5</v>
      </c>
      <c r="CW209" s="562">
        <v>17.856999999999999</v>
      </c>
      <c r="CX209" s="562">
        <v>6.5</v>
      </c>
      <c r="CY209" s="562">
        <v>17.856999999999999</v>
      </c>
      <c r="CZ209" s="560">
        <v>4678.3333329999996</v>
      </c>
      <c r="DA209" s="560">
        <v>26.5625</v>
      </c>
      <c r="DB209" s="560" t="s">
        <v>1719</v>
      </c>
      <c r="DC209" s="560">
        <v>50</v>
      </c>
      <c r="DD209" s="560">
        <v>4</v>
      </c>
      <c r="DE209" s="560" t="s">
        <v>1720</v>
      </c>
      <c r="DF209" s="560">
        <v>5</v>
      </c>
      <c r="DG209" s="560">
        <v>0</v>
      </c>
      <c r="DH209" s="560">
        <v>4.5</v>
      </c>
      <c r="DI209" s="560">
        <v>4.5</v>
      </c>
      <c r="DJ209" s="560">
        <v>0</v>
      </c>
      <c r="DK209" s="560">
        <v>0</v>
      </c>
      <c r="DL209" s="560">
        <v>0</v>
      </c>
      <c r="DM209" s="560">
        <v>0</v>
      </c>
      <c r="DN209" s="560">
        <v>0</v>
      </c>
      <c r="DO209" s="560">
        <v>0</v>
      </c>
    </row>
    <row r="210" spans="1:119" hidden="1">
      <c r="A210" s="560" t="s">
        <v>927</v>
      </c>
      <c r="B210" s="560" t="s">
        <v>1713</v>
      </c>
      <c r="C210" s="560" t="s">
        <v>770</v>
      </c>
      <c r="D210" s="560">
        <v>3</v>
      </c>
      <c r="E210" s="560">
        <v>827.581726</v>
      </c>
      <c r="F210" s="560">
        <v>58.932136</v>
      </c>
      <c r="G210" s="560">
        <v>4974.4274999999998</v>
      </c>
      <c r="H210" s="560">
        <v>755.94</v>
      </c>
      <c r="I210" s="560">
        <v>0.968943</v>
      </c>
      <c r="J210" s="560">
        <v>0.31843700000000003</v>
      </c>
      <c r="K210" s="560">
        <v>0.33877400000000002</v>
      </c>
      <c r="L210" s="560">
        <v>0.51035299999999995</v>
      </c>
      <c r="M210" s="560">
        <v>20971.627843999999</v>
      </c>
      <c r="N210" s="560">
        <v>21783.86087</v>
      </c>
      <c r="O210" s="560">
        <v>6728.3173829999996</v>
      </c>
      <c r="P210" s="560">
        <v>501.77242999999999</v>
      </c>
      <c r="Q210" s="560">
        <v>561.05609800000002</v>
      </c>
      <c r="R210" s="560">
        <v>1839.4513669999999</v>
      </c>
      <c r="S210" s="560">
        <v>5622.9388710000003</v>
      </c>
      <c r="T210" s="560">
        <v>6063.7739869999996</v>
      </c>
      <c r="U210" s="560">
        <v>1449.7975160000001</v>
      </c>
      <c r="V210" s="560">
        <v>12.963417</v>
      </c>
      <c r="W210" s="560">
        <v>0.894154</v>
      </c>
      <c r="X210" s="560">
        <v>0</v>
      </c>
      <c r="Y210" s="560">
        <v>147.22982400000001</v>
      </c>
      <c r="Z210" s="560">
        <v>482.70057400000002</v>
      </c>
      <c r="AA210" s="560">
        <v>75902.090612</v>
      </c>
      <c r="AB210" s="560">
        <v>78888.820940999998</v>
      </c>
      <c r="AC210" s="560">
        <v>53415.115343999998</v>
      </c>
      <c r="AD210" s="560">
        <v>42973.363530000002</v>
      </c>
      <c r="AE210" s="560">
        <v>1040.7034619999999</v>
      </c>
      <c r="AF210" s="560">
        <v>37296.618233000001</v>
      </c>
      <c r="AG210" s="560">
        <v>40736.073827</v>
      </c>
      <c r="AH210" s="560">
        <v>10174.625518000001</v>
      </c>
      <c r="AI210" s="560">
        <v>42.7</v>
      </c>
      <c r="AJ210" s="560">
        <v>1241.7922140000001</v>
      </c>
      <c r="AK210" s="560">
        <v>2155.9898189999999</v>
      </c>
      <c r="AL210" s="560">
        <v>200.75</v>
      </c>
      <c r="AM210" s="560">
        <v>0</v>
      </c>
      <c r="AN210" s="560">
        <v>0</v>
      </c>
      <c r="AO210" s="560">
        <v>0</v>
      </c>
      <c r="AP210" s="560">
        <v>0</v>
      </c>
      <c r="AQ210" s="560" t="s">
        <v>927</v>
      </c>
      <c r="AR210" s="560" t="s">
        <v>1724</v>
      </c>
      <c r="AS210" s="560">
        <v>0</v>
      </c>
      <c r="AT210" s="560">
        <v>0</v>
      </c>
      <c r="AU210" s="560">
        <v>0</v>
      </c>
      <c r="AV210" s="560">
        <v>69</v>
      </c>
      <c r="AW210" s="560">
        <v>64</v>
      </c>
      <c r="AX210" s="560">
        <v>74</v>
      </c>
      <c r="AY210" s="560">
        <v>78</v>
      </c>
      <c r="AZ210" s="560">
        <v>1</v>
      </c>
      <c r="BA210" s="560">
        <v>3099</v>
      </c>
      <c r="BB210" s="560">
        <v>0</v>
      </c>
      <c r="BC210" s="560">
        <v>0.5</v>
      </c>
      <c r="BD210" s="560">
        <v>0</v>
      </c>
      <c r="BE210" s="560" t="s">
        <v>1799</v>
      </c>
      <c r="BF210" s="560">
        <v>4</v>
      </c>
      <c r="BG210" s="560">
        <v>17.399999999999999</v>
      </c>
      <c r="BH210" s="560">
        <v>1</v>
      </c>
      <c r="BI210" s="560">
        <v>2</v>
      </c>
      <c r="BJ210" s="560">
        <v>35</v>
      </c>
      <c r="BK210" s="560">
        <v>0</v>
      </c>
      <c r="BL210" s="560" t="s">
        <v>1747</v>
      </c>
      <c r="BM210" s="560">
        <v>0.02</v>
      </c>
      <c r="BN210" s="560">
        <v>0</v>
      </c>
      <c r="BO210" s="560">
        <v>4.5</v>
      </c>
      <c r="BP210" s="560" t="s">
        <v>1747</v>
      </c>
      <c r="BQ210" s="560">
        <v>0.03</v>
      </c>
      <c r="BR210" s="560">
        <v>60</v>
      </c>
      <c r="BS210" s="560">
        <v>4.9000000000000004</v>
      </c>
      <c r="BT210" s="560">
        <v>5000</v>
      </c>
      <c r="BU210" s="560">
        <v>40100</v>
      </c>
      <c r="BV210" s="560">
        <v>200</v>
      </c>
      <c r="BW210" s="560">
        <v>26.8</v>
      </c>
      <c r="BX210" s="560">
        <v>2788</v>
      </c>
      <c r="BY210" s="560">
        <v>11.4</v>
      </c>
      <c r="BZ210" s="560">
        <v>1800</v>
      </c>
      <c r="CA210" s="560">
        <v>35</v>
      </c>
      <c r="CB210" s="560">
        <v>0.85</v>
      </c>
      <c r="CC210" s="560">
        <v>187.5</v>
      </c>
      <c r="CD210" s="560">
        <v>187.5</v>
      </c>
      <c r="CE210" s="560">
        <v>187.5</v>
      </c>
      <c r="CF210" s="560">
        <v>187.5</v>
      </c>
      <c r="CG210" s="560">
        <v>0.29299999999999998</v>
      </c>
      <c r="CH210" s="560">
        <v>0.3</v>
      </c>
      <c r="CI210" s="560">
        <v>0.54</v>
      </c>
      <c r="CJ210" s="560">
        <v>40</v>
      </c>
      <c r="CK210" s="560">
        <v>5</v>
      </c>
      <c r="CL210" s="560">
        <v>4</v>
      </c>
      <c r="CM210" s="562">
        <v>1600</v>
      </c>
      <c r="CN210" s="562">
        <v>164</v>
      </c>
      <c r="CO210" s="562">
        <v>26.8</v>
      </c>
      <c r="CP210" s="562">
        <v>0</v>
      </c>
      <c r="CQ210" s="562">
        <v>0</v>
      </c>
      <c r="CR210" s="562" t="s">
        <v>1718</v>
      </c>
      <c r="CS210" s="562">
        <v>0</v>
      </c>
      <c r="CT210" s="562">
        <v>0</v>
      </c>
      <c r="CU210" s="562">
        <v>0.75</v>
      </c>
      <c r="CV210" s="562">
        <v>0.5</v>
      </c>
      <c r="CW210" s="562">
        <v>17.856999999999999</v>
      </c>
      <c r="CX210" s="562">
        <v>6.5</v>
      </c>
      <c r="CY210" s="562">
        <v>17.856999999999999</v>
      </c>
      <c r="CZ210" s="560">
        <v>4678.3333329999996</v>
      </c>
      <c r="DA210" s="560">
        <v>26.5625</v>
      </c>
      <c r="DB210" s="560" t="s">
        <v>1719</v>
      </c>
      <c r="DC210" s="560">
        <v>50</v>
      </c>
      <c r="DD210" s="560">
        <v>4</v>
      </c>
      <c r="DE210" s="560" t="s">
        <v>1720</v>
      </c>
      <c r="DF210" s="560">
        <v>5</v>
      </c>
      <c r="DG210" s="560">
        <v>0</v>
      </c>
      <c r="DH210" s="560">
        <v>4.5</v>
      </c>
      <c r="DI210" s="560">
        <v>4.5</v>
      </c>
      <c r="DJ210" s="560">
        <v>0</v>
      </c>
      <c r="DK210" s="560">
        <v>0</v>
      </c>
      <c r="DL210" s="560">
        <v>0</v>
      </c>
      <c r="DM210" s="560">
        <v>0</v>
      </c>
      <c r="DN210" s="560">
        <v>0</v>
      </c>
      <c r="DO210" s="560">
        <v>0</v>
      </c>
    </row>
    <row r="211" spans="1:119" hidden="1">
      <c r="A211" s="560" t="s">
        <v>928</v>
      </c>
      <c r="B211" s="560" t="s">
        <v>1713</v>
      </c>
      <c r="C211" s="560" t="s">
        <v>779</v>
      </c>
      <c r="D211" s="560">
        <v>3</v>
      </c>
      <c r="E211" s="560">
        <v>781.48993599999994</v>
      </c>
      <c r="F211" s="560">
        <v>57.368580000000001</v>
      </c>
      <c r="G211" s="560">
        <v>6644.9655000000002</v>
      </c>
      <c r="H211" s="560">
        <v>139.9665</v>
      </c>
      <c r="I211" s="560">
        <v>0.91800700000000002</v>
      </c>
      <c r="J211" s="560">
        <v>0.35926999999999998</v>
      </c>
      <c r="K211" s="560">
        <v>0.38640200000000002</v>
      </c>
      <c r="L211" s="560">
        <v>0.58111299999999999</v>
      </c>
      <c r="M211" s="560">
        <v>27332.342581000001</v>
      </c>
      <c r="N211" s="560">
        <v>28373.068628000001</v>
      </c>
      <c r="O211" s="560">
        <v>9560.3375120000001</v>
      </c>
      <c r="P211" s="560">
        <v>1842.128428</v>
      </c>
      <c r="Q211" s="560">
        <v>704.70889</v>
      </c>
      <c r="R211" s="560">
        <v>2640.485095</v>
      </c>
      <c r="S211" s="560">
        <v>1564.965166</v>
      </c>
      <c r="T211" s="560">
        <v>1822.305783</v>
      </c>
      <c r="U211" s="560">
        <v>434.721857</v>
      </c>
      <c r="V211" s="560">
        <v>37.999457999999997</v>
      </c>
      <c r="W211" s="560">
        <v>8.8898119999999992</v>
      </c>
      <c r="X211" s="560">
        <v>0</v>
      </c>
      <c r="Y211" s="560">
        <v>42.613838000000001</v>
      </c>
      <c r="Z211" s="560">
        <v>159.67047500000001</v>
      </c>
      <c r="AA211" s="560">
        <v>85278.653504999995</v>
      </c>
      <c r="AB211" s="560">
        <v>88041.873846999995</v>
      </c>
      <c r="AC211" s="560">
        <v>64602.685320999997</v>
      </c>
      <c r="AD211" s="560">
        <v>55332.231620999999</v>
      </c>
      <c r="AE211" s="560">
        <v>910.61553000000004</v>
      </c>
      <c r="AF211" s="560">
        <v>24468.989001000002</v>
      </c>
      <c r="AG211" s="560">
        <v>26948.697574999998</v>
      </c>
      <c r="AH211" s="560">
        <v>6445.3459000000003</v>
      </c>
      <c r="AI211" s="560">
        <v>53.2</v>
      </c>
      <c r="AJ211" s="560">
        <v>1549.7182029999999</v>
      </c>
      <c r="AK211" s="560">
        <v>3052.642601</v>
      </c>
      <c r="AL211" s="560">
        <v>200.75</v>
      </c>
      <c r="AM211" s="560">
        <v>0</v>
      </c>
      <c r="AN211" s="560">
        <v>0</v>
      </c>
      <c r="AO211" s="560">
        <v>0</v>
      </c>
      <c r="AP211" s="560">
        <v>0</v>
      </c>
      <c r="AQ211" s="560" t="s">
        <v>928</v>
      </c>
      <c r="AR211" s="560" t="s">
        <v>1729</v>
      </c>
      <c r="AS211" s="560">
        <v>0</v>
      </c>
      <c r="AT211" s="560">
        <v>0</v>
      </c>
      <c r="AU211" s="560">
        <v>0</v>
      </c>
      <c r="AV211" s="560">
        <v>69</v>
      </c>
      <c r="AW211" s="560">
        <v>64</v>
      </c>
      <c r="AX211" s="560">
        <v>74</v>
      </c>
      <c r="AY211" s="560">
        <v>78</v>
      </c>
      <c r="AZ211" s="560">
        <v>1</v>
      </c>
      <c r="BA211" s="560">
        <v>3099</v>
      </c>
      <c r="BB211" s="560">
        <v>0</v>
      </c>
      <c r="BC211" s="560">
        <v>0.5</v>
      </c>
      <c r="BD211" s="560">
        <v>0</v>
      </c>
      <c r="BE211" s="560" t="s">
        <v>1799</v>
      </c>
      <c r="BF211" s="560">
        <v>3.5</v>
      </c>
      <c r="BG211" s="560">
        <v>17.399999999999999</v>
      </c>
      <c r="BH211" s="560">
        <v>1</v>
      </c>
      <c r="BI211" s="560">
        <v>2</v>
      </c>
      <c r="BJ211" s="560">
        <v>35</v>
      </c>
      <c r="BK211" s="560">
        <v>0</v>
      </c>
      <c r="BL211" s="560" t="s">
        <v>1747</v>
      </c>
      <c r="BM211" s="560">
        <v>0.02</v>
      </c>
      <c r="BN211" s="560">
        <v>0</v>
      </c>
      <c r="BO211" s="560">
        <v>6</v>
      </c>
      <c r="BP211" s="560" t="s">
        <v>1747</v>
      </c>
      <c r="BQ211" s="560">
        <v>0.03</v>
      </c>
      <c r="BR211" s="560">
        <v>60</v>
      </c>
      <c r="BS211" s="560">
        <v>6</v>
      </c>
      <c r="BT211" s="560">
        <v>5000</v>
      </c>
      <c r="BU211" s="560">
        <v>40100</v>
      </c>
      <c r="BV211" s="560">
        <v>200</v>
      </c>
      <c r="BW211" s="560">
        <v>30.609376350000002</v>
      </c>
      <c r="BX211" s="560">
        <v>2788</v>
      </c>
      <c r="BY211" s="560">
        <v>17.543859650000002</v>
      </c>
      <c r="BZ211" s="560">
        <v>1800</v>
      </c>
      <c r="CA211" s="560">
        <v>37.664196859999997</v>
      </c>
      <c r="CB211" s="560">
        <v>0.85</v>
      </c>
      <c r="CC211" s="560">
        <v>187.5</v>
      </c>
      <c r="CD211" s="560">
        <v>187.5</v>
      </c>
      <c r="CE211" s="560">
        <v>187.5</v>
      </c>
      <c r="CF211" s="560">
        <v>187.5</v>
      </c>
      <c r="CG211" s="560">
        <v>0.29299999999999998</v>
      </c>
      <c r="CH211" s="560">
        <v>0.3</v>
      </c>
      <c r="CI211" s="560">
        <v>0.54</v>
      </c>
      <c r="CJ211" s="560">
        <v>40</v>
      </c>
      <c r="CK211" s="560">
        <v>5</v>
      </c>
      <c r="CL211" s="560">
        <v>4</v>
      </c>
      <c r="CM211" s="562">
        <v>1600</v>
      </c>
      <c r="CN211" s="562">
        <v>164</v>
      </c>
      <c r="CO211" s="562">
        <v>30.609376350000002</v>
      </c>
      <c r="CP211" s="562">
        <v>0</v>
      </c>
      <c r="CQ211" s="562">
        <v>0</v>
      </c>
      <c r="CR211" s="562" t="s">
        <v>1718</v>
      </c>
      <c r="CS211" s="562">
        <v>0</v>
      </c>
      <c r="CT211" s="562">
        <v>0</v>
      </c>
      <c r="CU211" s="562">
        <v>0.75</v>
      </c>
      <c r="CV211" s="562">
        <v>0.5</v>
      </c>
      <c r="CW211" s="562">
        <v>17.856999999999999</v>
      </c>
      <c r="CX211" s="562">
        <v>6.5</v>
      </c>
      <c r="CY211" s="562">
        <v>17.856999999999999</v>
      </c>
      <c r="CZ211" s="560">
        <v>4678.3333329999996</v>
      </c>
      <c r="DA211" s="560">
        <v>26.5625</v>
      </c>
      <c r="DB211" s="560" t="s">
        <v>1719</v>
      </c>
      <c r="DC211" s="560">
        <v>50</v>
      </c>
      <c r="DD211" s="560">
        <v>4</v>
      </c>
      <c r="DE211" s="560" t="s">
        <v>1720</v>
      </c>
      <c r="DF211" s="560">
        <v>5</v>
      </c>
      <c r="DG211" s="560">
        <v>0</v>
      </c>
      <c r="DH211" s="560">
        <v>4.5</v>
      </c>
      <c r="DI211" s="560">
        <v>4.5</v>
      </c>
      <c r="DJ211" s="560">
        <v>0</v>
      </c>
      <c r="DK211" s="560">
        <v>0</v>
      </c>
      <c r="DL211" s="560">
        <v>0</v>
      </c>
      <c r="DM211" s="560">
        <v>0</v>
      </c>
      <c r="DN211" s="560">
        <v>0</v>
      </c>
      <c r="DO211" s="560">
        <v>0</v>
      </c>
    </row>
    <row r="212" spans="1:119" hidden="1">
      <c r="A212" s="560" t="s">
        <v>929</v>
      </c>
      <c r="B212" s="560" t="s">
        <v>1713</v>
      </c>
      <c r="C212" s="560" t="s">
        <v>782</v>
      </c>
      <c r="D212" s="560">
        <v>3</v>
      </c>
      <c r="E212" s="560">
        <v>781.48993599999994</v>
      </c>
      <c r="F212" s="560">
        <v>57.368580000000001</v>
      </c>
      <c r="G212" s="560">
        <v>6644.9655000000002</v>
      </c>
      <c r="H212" s="560">
        <v>391.60199999999998</v>
      </c>
      <c r="I212" s="560">
        <v>0.91800700000000002</v>
      </c>
      <c r="J212" s="560">
        <v>0.35926999999999998</v>
      </c>
      <c r="K212" s="560">
        <v>0.38640200000000002</v>
      </c>
      <c r="L212" s="560">
        <v>0.58111299999999999</v>
      </c>
      <c r="M212" s="560">
        <v>27332.342581000001</v>
      </c>
      <c r="N212" s="560">
        <v>28373.068628000001</v>
      </c>
      <c r="O212" s="560">
        <v>9560.3375120000001</v>
      </c>
      <c r="P212" s="560">
        <v>1842.128428</v>
      </c>
      <c r="Q212" s="560">
        <v>704.70889</v>
      </c>
      <c r="R212" s="560">
        <v>2640.485095</v>
      </c>
      <c r="S212" s="560">
        <v>3213.7484119999999</v>
      </c>
      <c r="T212" s="560">
        <v>3578.8531899999998</v>
      </c>
      <c r="U212" s="560">
        <v>850.19493699999998</v>
      </c>
      <c r="V212" s="560">
        <v>36.389122</v>
      </c>
      <c r="W212" s="560">
        <v>4.477684</v>
      </c>
      <c r="X212" s="560">
        <v>0</v>
      </c>
      <c r="Y212" s="560">
        <v>85.167258000000004</v>
      </c>
      <c r="Z212" s="560">
        <v>319.11457100000001</v>
      </c>
      <c r="AA212" s="560">
        <v>85278.653504999995</v>
      </c>
      <c r="AB212" s="560">
        <v>88041.873846999995</v>
      </c>
      <c r="AC212" s="560">
        <v>64602.685320999997</v>
      </c>
      <c r="AD212" s="560">
        <v>55332.231620999999</v>
      </c>
      <c r="AE212" s="560">
        <v>910.61553000000004</v>
      </c>
      <c r="AF212" s="560">
        <v>32652.278586</v>
      </c>
      <c r="AG212" s="560">
        <v>36906.245388000003</v>
      </c>
      <c r="AH212" s="560">
        <v>8647.7137540000003</v>
      </c>
      <c r="AI212" s="560">
        <v>53.2</v>
      </c>
      <c r="AJ212" s="560">
        <v>1549.7182029999999</v>
      </c>
      <c r="AK212" s="560">
        <v>3052.642601</v>
      </c>
      <c r="AL212" s="560">
        <v>200.75</v>
      </c>
      <c r="AM212" s="560">
        <v>0</v>
      </c>
      <c r="AN212" s="560">
        <v>0</v>
      </c>
      <c r="AO212" s="560">
        <v>0</v>
      </c>
      <c r="AP212" s="560">
        <v>0</v>
      </c>
      <c r="AQ212" s="560" t="s">
        <v>929</v>
      </c>
      <c r="AR212" s="560" t="s">
        <v>1731</v>
      </c>
      <c r="AS212" s="560">
        <v>0</v>
      </c>
      <c r="AT212" s="560">
        <v>0</v>
      </c>
      <c r="AU212" s="560">
        <v>0</v>
      </c>
      <c r="AV212" s="560">
        <v>69</v>
      </c>
      <c r="AW212" s="560">
        <v>64</v>
      </c>
      <c r="AX212" s="560">
        <v>74</v>
      </c>
      <c r="AY212" s="560">
        <v>78</v>
      </c>
      <c r="AZ212" s="560">
        <v>1</v>
      </c>
      <c r="BA212" s="560">
        <v>3099</v>
      </c>
      <c r="BB212" s="560">
        <v>0</v>
      </c>
      <c r="BC212" s="560">
        <v>0.5</v>
      </c>
      <c r="BD212" s="560">
        <v>0</v>
      </c>
      <c r="BE212" s="560" t="s">
        <v>1799</v>
      </c>
      <c r="BF212" s="560">
        <v>3.5</v>
      </c>
      <c r="BG212" s="560">
        <v>17.399999999999999</v>
      </c>
      <c r="BH212" s="560">
        <v>1</v>
      </c>
      <c r="BI212" s="560">
        <v>2</v>
      </c>
      <c r="BJ212" s="560">
        <v>35</v>
      </c>
      <c r="BK212" s="560">
        <v>0</v>
      </c>
      <c r="BL212" s="560" t="s">
        <v>1747</v>
      </c>
      <c r="BM212" s="560">
        <v>0.02</v>
      </c>
      <c r="BN212" s="560">
        <v>0</v>
      </c>
      <c r="BO212" s="560">
        <v>6</v>
      </c>
      <c r="BP212" s="560" t="s">
        <v>1747</v>
      </c>
      <c r="BQ212" s="560">
        <v>0.03</v>
      </c>
      <c r="BR212" s="560">
        <v>60</v>
      </c>
      <c r="BS212" s="560">
        <v>6</v>
      </c>
      <c r="BT212" s="560">
        <v>5000</v>
      </c>
      <c r="BU212" s="560">
        <v>40100</v>
      </c>
      <c r="BV212" s="560">
        <v>200</v>
      </c>
      <c r="BW212" s="560">
        <v>30.609376350000002</v>
      </c>
      <c r="BX212" s="560">
        <v>2788</v>
      </c>
      <c r="BY212" s="560">
        <v>17.543859650000002</v>
      </c>
      <c r="BZ212" s="560">
        <v>1800</v>
      </c>
      <c r="CA212" s="560">
        <v>37.664196859999997</v>
      </c>
      <c r="CB212" s="560">
        <v>0.85</v>
      </c>
      <c r="CC212" s="560">
        <v>187.5</v>
      </c>
      <c r="CD212" s="560">
        <v>187.5</v>
      </c>
      <c r="CE212" s="560">
        <v>187.5</v>
      </c>
      <c r="CF212" s="560">
        <v>187.5</v>
      </c>
      <c r="CG212" s="560">
        <v>0.29299999999999998</v>
      </c>
      <c r="CH212" s="560">
        <v>0.3</v>
      </c>
      <c r="CI212" s="560">
        <v>0.54</v>
      </c>
      <c r="CJ212" s="560">
        <v>40</v>
      </c>
      <c r="CK212" s="560">
        <v>5</v>
      </c>
      <c r="CL212" s="560">
        <v>4</v>
      </c>
      <c r="CM212" s="562">
        <v>1600</v>
      </c>
      <c r="CN212" s="562">
        <v>164</v>
      </c>
      <c r="CO212" s="562">
        <v>30.609376350000002</v>
      </c>
      <c r="CP212" s="562">
        <v>0</v>
      </c>
      <c r="CQ212" s="562">
        <v>0</v>
      </c>
      <c r="CR212" s="562" t="s">
        <v>1718</v>
      </c>
      <c r="CS212" s="562">
        <v>0</v>
      </c>
      <c r="CT212" s="562">
        <v>0</v>
      </c>
      <c r="CU212" s="562">
        <v>0.75</v>
      </c>
      <c r="CV212" s="562">
        <v>0.5</v>
      </c>
      <c r="CW212" s="562">
        <v>17.856999999999999</v>
      </c>
      <c r="CX212" s="562">
        <v>6.5</v>
      </c>
      <c r="CY212" s="562">
        <v>17.856999999999999</v>
      </c>
      <c r="CZ212" s="560">
        <v>4678.3333329999996</v>
      </c>
      <c r="DA212" s="560">
        <v>26.5625</v>
      </c>
      <c r="DB212" s="560" t="s">
        <v>1719</v>
      </c>
      <c r="DC212" s="560">
        <v>50</v>
      </c>
      <c r="DD212" s="560">
        <v>4</v>
      </c>
      <c r="DE212" s="560" t="s">
        <v>1720</v>
      </c>
      <c r="DF212" s="560">
        <v>5</v>
      </c>
      <c r="DG212" s="560">
        <v>0</v>
      </c>
      <c r="DH212" s="560">
        <v>4.5</v>
      </c>
      <c r="DI212" s="560">
        <v>4.5</v>
      </c>
      <c r="DJ212" s="560">
        <v>0</v>
      </c>
      <c r="DK212" s="560">
        <v>0</v>
      </c>
      <c r="DL212" s="560">
        <v>0</v>
      </c>
      <c r="DM212" s="560">
        <v>0</v>
      </c>
      <c r="DN212" s="560">
        <v>0</v>
      </c>
      <c r="DO212" s="560">
        <v>0</v>
      </c>
    </row>
    <row r="213" spans="1:119" hidden="1">
      <c r="A213" s="560" t="s">
        <v>930</v>
      </c>
      <c r="B213" s="560" t="s">
        <v>1713</v>
      </c>
      <c r="C213" s="560" t="s">
        <v>785</v>
      </c>
      <c r="D213" s="560">
        <v>3</v>
      </c>
      <c r="E213" s="560">
        <v>781.48993599999994</v>
      </c>
      <c r="F213" s="560">
        <v>57.368580000000001</v>
      </c>
      <c r="G213" s="560">
        <v>6644.9655000000002</v>
      </c>
      <c r="H213" s="560">
        <v>755.94</v>
      </c>
      <c r="I213" s="560">
        <v>0.91800700000000002</v>
      </c>
      <c r="J213" s="560">
        <v>0.35926999999999998</v>
      </c>
      <c r="K213" s="560">
        <v>0.38640200000000002</v>
      </c>
      <c r="L213" s="560">
        <v>0.58111299999999999</v>
      </c>
      <c r="M213" s="560">
        <v>27332.342581000001</v>
      </c>
      <c r="N213" s="560">
        <v>28373.068628000001</v>
      </c>
      <c r="O213" s="560">
        <v>9560.3375120000001</v>
      </c>
      <c r="P213" s="560">
        <v>1842.128428</v>
      </c>
      <c r="Q213" s="560">
        <v>704.70889</v>
      </c>
      <c r="R213" s="560">
        <v>2640.485095</v>
      </c>
      <c r="S213" s="560">
        <v>5414.5253570000004</v>
      </c>
      <c r="T213" s="560">
        <v>5835.0241589999996</v>
      </c>
      <c r="U213" s="560">
        <v>1391.1645249999999</v>
      </c>
      <c r="V213" s="560">
        <v>12.438058</v>
      </c>
      <c r="W213" s="560">
        <v>0.89407499999999995</v>
      </c>
      <c r="X213" s="560">
        <v>0</v>
      </c>
      <c r="Y213" s="560">
        <v>141.716126</v>
      </c>
      <c r="Z213" s="560">
        <v>530.99843399999997</v>
      </c>
      <c r="AA213" s="560">
        <v>85278.653504999995</v>
      </c>
      <c r="AB213" s="560">
        <v>88041.873846999995</v>
      </c>
      <c r="AC213" s="560">
        <v>64602.685320999997</v>
      </c>
      <c r="AD213" s="560">
        <v>55332.231620999999</v>
      </c>
      <c r="AE213" s="560">
        <v>910.61553000000004</v>
      </c>
      <c r="AF213" s="560">
        <v>33299.536227999997</v>
      </c>
      <c r="AG213" s="560">
        <v>36747.236677000001</v>
      </c>
      <c r="AH213" s="560">
        <v>8913.1093419999997</v>
      </c>
      <c r="AI213" s="560">
        <v>53.2</v>
      </c>
      <c r="AJ213" s="560">
        <v>1549.7182029999999</v>
      </c>
      <c r="AK213" s="560">
        <v>3052.642601</v>
      </c>
      <c r="AL213" s="560">
        <v>200.75</v>
      </c>
      <c r="AM213" s="560">
        <v>0</v>
      </c>
      <c r="AN213" s="560">
        <v>0</v>
      </c>
      <c r="AO213" s="560">
        <v>0</v>
      </c>
      <c r="AP213" s="560">
        <v>0</v>
      </c>
      <c r="AQ213" s="560" t="s">
        <v>930</v>
      </c>
      <c r="AR213" s="560" t="s">
        <v>1733</v>
      </c>
      <c r="AS213" s="560">
        <v>0</v>
      </c>
      <c r="AT213" s="560">
        <v>0</v>
      </c>
      <c r="AU213" s="560">
        <v>0</v>
      </c>
      <c r="AV213" s="560">
        <v>69</v>
      </c>
      <c r="AW213" s="560">
        <v>64</v>
      </c>
      <c r="AX213" s="560">
        <v>74</v>
      </c>
      <c r="AY213" s="560">
        <v>78</v>
      </c>
      <c r="AZ213" s="560">
        <v>1</v>
      </c>
      <c r="BA213" s="560">
        <v>3099</v>
      </c>
      <c r="BB213" s="560">
        <v>0</v>
      </c>
      <c r="BC213" s="560">
        <v>0.5</v>
      </c>
      <c r="BD213" s="560">
        <v>0</v>
      </c>
      <c r="BE213" s="560" t="s">
        <v>1799</v>
      </c>
      <c r="BF213" s="560">
        <v>3.5</v>
      </c>
      <c r="BG213" s="560">
        <v>17.399999999999999</v>
      </c>
      <c r="BH213" s="560">
        <v>1</v>
      </c>
      <c r="BI213" s="560">
        <v>2</v>
      </c>
      <c r="BJ213" s="560">
        <v>35</v>
      </c>
      <c r="BK213" s="560">
        <v>0</v>
      </c>
      <c r="BL213" s="560" t="s">
        <v>1747</v>
      </c>
      <c r="BM213" s="560">
        <v>0.02</v>
      </c>
      <c r="BN213" s="560">
        <v>0</v>
      </c>
      <c r="BO213" s="560">
        <v>6</v>
      </c>
      <c r="BP213" s="560" t="s">
        <v>1747</v>
      </c>
      <c r="BQ213" s="560">
        <v>0.03</v>
      </c>
      <c r="BR213" s="560">
        <v>60</v>
      </c>
      <c r="BS213" s="560">
        <v>6</v>
      </c>
      <c r="BT213" s="560">
        <v>5000</v>
      </c>
      <c r="BU213" s="560">
        <v>40100</v>
      </c>
      <c r="BV213" s="560">
        <v>200</v>
      </c>
      <c r="BW213" s="560">
        <v>30.609376350000002</v>
      </c>
      <c r="BX213" s="560">
        <v>2788</v>
      </c>
      <c r="BY213" s="560">
        <v>17.543859650000002</v>
      </c>
      <c r="BZ213" s="560">
        <v>1800</v>
      </c>
      <c r="CA213" s="560">
        <v>37.664196859999997</v>
      </c>
      <c r="CB213" s="560">
        <v>0.85</v>
      </c>
      <c r="CC213" s="560">
        <v>187.5</v>
      </c>
      <c r="CD213" s="560">
        <v>187.5</v>
      </c>
      <c r="CE213" s="560">
        <v>187.5</v>
      </c>
      <c r="CF213" s="560">
        <v>187.5</v>
      </c>
      <c r="CG213" s="560">
        <v>0.29299999999999998</v>
      </c>
      <c r="CH213" s="560">
        <v>0.3</v>
      </c>
      <c r="CI213" s="560">
        <v>0.54</v>
      </c>
      <c r="CJ213" s="560">
        <v>40</v>
      </c>
      <c r="CK213" s="560">
        <v>5</v>
      </c>
      <c r="CL213" s="560">
        <v>4</v>
      </c>
      <c r="CM213" s="562">
        <v>1600</v>
      </c>
      <c r="CN213" s="562">
        <v>164</v>
      </c>
      <c r="CO213" s="562">
        <v>30.609376350000002</v>
      </c>
      <c r="CP213" s="562">
        <v>0</v>
      </c>
      <c r="CQ213" s="562">
        <v>0</v>
      </c>
      <c r="CR213" s="562" t="s">
        <v>1718</v>
      </c>
      <c r="CS213" s="562">
        <v>0</v>
      </c>
      <c r="CT213" s="562">
        <v>0</v>
      </c>
      <c r="CU213" s="562">
        <v>0.75</v>
      </c>
      <c r="CV213" s="562">
        <v>0.5</v>
      </c>
      <c r="CW213" s="562">
        <v>17.856999999999999</v>
      </c>
      <c r="CX213" s="562">
        <v>6.5</v>
      </c>
      <c r="CY213" s="562">
        <v>17.856999999999999</v>
      </c>
      <c r="CZ213" s="560">
        <v>4678.3333329999996</v>
      </c>
      <c r="DA213" s="560">
        <v>26.5625</v>
      </c>
      <c r="DB213" s="560" t="s">
        <v>1719</v>
      </c>
      <c r="DC213" s="560">
        <v>50</v>
      </c>
      <c r="DD213" s="560">
        <v>4</v>
      </c>
      <c r="DE213" s="560" t="s">
        <v>1720</v>
      </c>
      <c r="DF213" s="560">
        <v>5</v>
      </c>
      <c r="DG213" s="560">
        <v>0</v>
      </c>
      <c r="DH213" s="560">
        <v>4.5</v>
      </c>
      <c r="DI213" s="560">
        <v>4.5</v>
      </c>
      <c r="DJ213" s="560">
        <v>0</v>
      </c>
      <c r="DK213" s="560">
        <v>0</v>
      </c>
      <c r="DL213" s="560">
        <v>0</v>
      </c>
      <c r="DM213" s="560">
        <v>0</v>
      </c>
      <c r="DN213" s="560">
        <v>0</v>
      </c>
      <c r="DO213" s="560">
        <v>0</v>
      </c>
    </row>
    <row r="214" spans="1:119" hidden="1">
      <c r="A214" s="560" t="s">
        <v>931</v>
      </c>
      <c r="B214" s="560" t="s">
        <v>1713</v>
      </c>
      <c r="C214" s="560" t="s">
        <v>779</v>
      </c>
      <c r="D214" s="560">
        <v>3</v>
      </c>
      <c r="E214" s="560">
        <v>845.23039300000005</v>
      </c>
      <c r="F214" s="560">
        <v>57.762982000000001</v>
      </c>
      <c r="G214" s="560">
        <v>6644.9655000000002</v>
      </c>
      <c r="H214" s="560">
        <v>139.9665</v>
      </c>
      <c r="I214" s="560">
        <v>0.91800700000000002</v>
      </c>
      <c r="J214" s="560">
        <v>0.36041200000000001</v>
      </c>
      <c r="K214" s="560">
        <v>0.38346200000000003</v>
      </c>
      <c r="L214" s="560">
        <v>0.586337</v>
      </c>
      <c r="M214" s="560">
        <v>30126.24843</v>
      </c>
      <c r="N214" s="560">
        <v>31283.414165999999</v>
      </c>
      <c r="O214" s="560">
        <v>10069.742858</v>
      </c>
      <c r="P214" s="560">
        <v>1484.146598</v>
      </c>
      <c r="Q214" s="560">
        <v>781.41679099999999</v>
      </c>
      <c r="R214" s="560">
        <v>2561.91527</v>
      </c>
      <c r="S214" s="560">
        <v>1596.5347859999999</v>
      </c>
      <c r="T214" s="560">
        <v>1861.680167</v>
      </c>
      <c r="U214" s="560">
        <v>444.79185899999999</v>
      </c>
      <c r="V214" s="560">
        <v>39.261395999999998</v>
      </c>
      <c r="W214" s="560">
        <v>9.0035329999999991</v>
      </c>
      <c r="X214" s="560">
        <v>0</v>
      </c>
      <c r="Y214" s="560">
        <v>43.518076999999998</v>
      </c>
      <c r="Z214" s="560">
        <v>142.67626100000001</v>
      </c>
      <c r="AA214" s="560">
        <v>88885.930550999998</v>
      </c>
      <c r="AB214" s="560">
        <v>91872.558149000004</v>
      </c>
      <c r="AC214" s="560">
        <v>64616.945477000001</v>
      </c>
      <c r="AD214" s="560">
        <v>54022.275039</v>
      </c>
      <c r="AE214" s="560">
        <v>1040.7034619999999</v>
      </c>
      <c r="AF214" s="560">
        <v>25790.274820999999</v>
      </c>
      <c r="AG214" s="560">
        <v>28445.882167</v>
      </c>
      <c r="AH214" s="560">
        <v>6838.4469280000003</v>
      </c>
      <c r="AI214" s="560">
        <v>33.4</v>
      </c>
      <c r="AJ214" s="560">
        <v>1706.7843740000001</v>
      </c>
      <c r="AK214" s="560">
        <v>2954.2931389999999</v>
      </c>
      <c r="AL214" s="560">
        <v>200.75</v>
      </c>
      <c r="AM214" s="560">
        <v>0</v>
      </c>
      <c r="AN214" s="560">
        <v>0</v>
      </c>
      <c r="AO214" s="560">
        <v>0</v>
      </c>
      <c r="AP214" s="560">
        <v>0</v>
      </c>
      <c r="AQ214" s="560" t="s">
        <v>931</v>
      </c>
      <c r="AR214" s="560" t="s">
        <v>1729</v>
      </c>
      <c r="AS214" s="560">
        <v>0</v>
      </c>
      <c r="AT214" s="560">
        <v>0</v>
      </c>
      <c r="AU214" s="560">
        <v>0</v>
      </c>
      <c r="AV214" s="560">
        <v>69</v>
      </c>
      <c r="AW214" s="560">
        <v>64</v>
      </c>
      <c r="AX214" s="560">
        <v>74</v>
      </c>
      <c r="AY214" s="560">
        <v>78</v>
      </c>
      <c r="AZ214" s="560">
        <v>1</v>
      </c>
      <c r="BA214" s="560">
        <v>3099</v>
      </c>
      <c r="BB214" s="560">
        <v>0</v>
      </c>
      <c r="BC214" s="560">
        <v>0.5</v>
      </c>
      <c r="BD214" s="560">
        <v>0</v>
      </c>
      <c r="BE214" s="560" t="s">
        <v>1799</v>
      </c>
      <c r="BF214" s="560">
        <v>4</v>
      </c>
      <c r="BG214" s="560">
        <v>17.399999999999999</v>
      </c>
      <c r="BH214" s="560">
        <v>1</v>
      </c>
      <c r="BI214" s="560">
        <v>2</v>
      </c>
      <c r="BJ214" s="560">
        <v>35</v>
      </c>
      <c r="BK214" s="560">
        <v>0</v>
      </c>
      <c r="BL214" s="560" t="s">
        <v>1747</v>
      </c>
      <c r="BM214" s="560">
        <v>0.02</v>
      </c>
      <c r="BN214" s="560">
        <v>0</v>
      </c>
      <c r="BO214" s="560">
        <v>4.5</v>
      </c>
      <c r="BP214" s="560" t="s">
        <v>1747</v>
      </c>
      <c r="BQ214" s="560">
        <v>0.03</v>
      </c>
      <c r="BR214" s="560">
        <v>60</v>
      </c>
      <c r="BS214" s="560">
        <v>4.9000000000000004</v>
      </c>
      <c r="BT214" s="560">
        <v>5000</v>
      </c>
      <c r="BU214" s="560">
        <v>40100</v>
      </c>
      <c r="BV214" s="560">
        <v>200</v>
      </c>
      <c r="BW214" s="560">
        <v>26.8</v>
      </c>
      <c r="BX214" s="560">
        <v>2788</v>
      </c>
      <c r="BY214" s="560">
        <v>11.4</v>
      </c>
      <c r="BZ214" s="560">
        <v>1800</v>
      </c>
      <c r="CA214" s="560">
        <v>35</v>
      </c>
      <c r="CB214" s="560">
        <v>0.85</v>
      </c>
      <c r="CC214" s="560">
        <v>187.5</v>
      </c>
      <c r="CD214" s="560">
        <v>187.5</v>
      </c>
      <c r="CE214" s="560">
        <v>187.5</v>
      </c>
      <c r="CF214" s="560">
        <v>187.5</v>
      </c>
      <c r="CG214" s="560">
        <v>0.29299999999999998</v>
      </c>
      <c r="CH214" s="560">
        <v>0.3</v>
      </c>
      <c r="CI214" s="560">
        <v>0.54</v>
      </c>
      <c r="CJ214" s="560">
        <v>40</v>
      </c>
      <c r="CK214" s="560">
        <v>5</v>
      </c>
      <c r="CL214" s="560">
        <v>4</v>
      </c>
      <c r="CM214" s="562">
        <v>1600</v>
      </c>
      <c r="CN214" s="562">
        <v>164</v>
      </c>
      <c r="CO214" s="562">
        <v>26.8</v>
      </c>
      <c r="CP214" s="562">
        <v>0</v>
      </c>
      <c r="CQ214" s="562">
        <v>0</v>
      </c>
      <c r="CR214" s="562" t="s">
        <v>1718</v>
      </c>
      <c r="CS214" s="562">
        <v>0</v>
      </c>
      <c r="CT214" s="562">
        <v>0</v>
      </c>
      <c r="CU214" s="562">
        <v>0.75</v>
      </c>
      <c r="CV214" s="562">
        <v>0.5</v>
      </c>
      <c r="CW214" s="562">
        <v>17.856999999999999</v>
      </c>
      <c r="CX214" s="562">
        <v>6.5</v>
      </c>
      <c r="CY214" s="562">
        <v>17.856999999999999</v>
      </c>
      <c r="CZ214" s="560">
        <v>4678.3333329999996</v>
      </c>
      <c r="DA214" s="560">
        <v>26.5625</v>
      </c>
      <c r="DB214" s="560" t="s">
        <v>1719</v>
      </c>
      <c r="DC214" s="560">
        <v>50</v>
      </c>
      <c r="DD214" s="560">
        <v>4</v>
      </c>
      <c r="DE214" s="560" t="s">
        <v>1720</v>
      </c>
      <c r="DF214" s="560">
        <v>5</v>
      </c>
      <c r="DG214" s="560">
        <v>0</v>
      </c>
      <c r="DH214" s="560">
        <v>4.5</v>
      </c>
      <c r="DI214" s="560">
        <v>4.5</v>
      </c>
      <c r="DJ214" s="560">
        <v>0</v>
      </c>
      <c r="DK214" s="560">
        <v>0</v>
      </c>
      <c r="DL214" s="560">
        <v>0</v>
      </c>
      <c r="DM214" s="560">
        <v>0</v>
      </c>
      <c r="DN214" s="560">
        <v>0</v>
      </c>
      <c r="DO214" s="560">
        <v>0</v>
      </c>
    </row>
    <row r="215" spans="1:119" hidden="1">
      <c r="A215" s="560" t="s">
        <v>932</v>
      </c>
      <c r="B215" s="560" t="s">
        <v>1713</v>
      </c>
      <c r="C215" s="560" t="s">
        <v>782</v>
      </c>
      <c r="D215" s="560">
        <v>3</v>
      </c>
      <c r="E215" s="560">
        <v>845.23039300000005</v>
      </c>
      <c r="F215" s="560">
        <v>57.762982000000001</v>
      </c>
      <c r="G215" s="560">
        <v>6644.9655000000002</v>
      </c>
      <c r="H215" s="560">
        <v>391.60199999999998</v>
      </c>
      <c r="I215" s="560">
        <v>0.91800700000000002</v>
      </c>
      <c r="J215" s="560">
        <v>0.36041200000000001</v>
      </c>
      <c r="K215" s="560">
        <v>0.38346200000000003</v>
      </c>
      <c r="L215" s="560">
        <v>0.586337</v>
      </c>
      <c r="M215" s="560">
        <v>30126.24843</v>
      </c>
      <c r="N215" s="560">
        <v>31283.414165999999</v>
      </c>
      <c r="O215" s="560">
        <v>10069.742858</v>
      </c>
      <c r="P215" s="560">
        <v>1484.146598</v>
      </c>
      <c r="Q215" s="560">
        <v>781.41679099999999</v>
      </c>
      <c r="R215" s="560">
        <v>2561.91527</v>
      </c>
      <c r="S215" s="560">
        <v>3320.9277889999998</v>
      </c>
      <c r="T215" s="560">
        <v>3701.0428430000002</v>
      </c>
      <c r="U215" s="560">
        <v>881.21014200000002</v>
      </c>
      <c r="V215" s="560">
        <v>37.893932</v>
      </c>
      <c r="W215" s="560">
        <v>4.5233879999999997</v>
      </c>
      <c r="X215" s="560">
        <v>0</v>
      </c>
      <c r="Y215" s="560">
        <v>88.050950999999998</v>
      </c>
      <c r="Z215" s="560">
        <v>288.67958399999998</v>
      </c>
      <c r="AA215" s="560">
        <v>88885.930550999998</v>
      </c>
      <c r="AB215" s="560">
        <v>91872.558149000004</v>
      </c>
      <c r="AC215" s="560">
        <v>64616.945477000001</v>
      </c>
      <c r="AD215" s="560">
        <v>54022.275039</v>
      </c>
      <c r="AE215" s="560">
        <v>1040.7034619999999</v>
      </c>
      <c r="AF215" s="560">
        <v>34669.255294000002</v>
      </c>
      <c r="AG215" s="560">
        <v>39332.538451</v>
      </c>
      <c r="AH215" s="560">
        <v>9303.7589279999993</v>
      </c>
      <c r="AI215" s="560">
        <v>33.4</v>
      </c>
      <c r="AJ215" s="560">
        <v>1706.7843740000001</v>
      </c>
      <c r="AK215" s="560">
        <v>2954.2931389999999</v>
      </c>
      <c r="AL215" s="560">
        <v>200.75</v>
      </c>
      <c r="AM215" s="560">
        <v>0</v>
      </c>
      <c r="AN215" s="560">
        <v>0</v>
      </c>
      <c r="AO215" s="560">
        <v>0</v>
      </c>
      <c r="AP215" s="560">
        <v>0</v>
      </c>
      <c r="AQ215" s="560" t="s">
        <v>932</v>
      </c>
      <c r="AR215" s="560" t="s">
        <v>1731</v>
      </c>
      <c r="AS215" s="560">
        <v>0</v>
      </c>
      <c r="AT215" s="560">
        <v>0</v>
      </c>
      <c r="AU215" s="560">
        <v>0</v>
      </c>
      <c r="AV215" s="560">
        <v>69</v>
      </c>
      <c r="AW215" s="560">
        <v>64</v>
      </c>
      <c r="AX215" s="560">
        <v>74</v>
      </c>
      <c r="AY215" s="560">
        <v>78</v>
      </c>
      <c r="AZ215" s="560">
        <v>1</v>
      </c>
      <c r="BA215" s="560">
        <v>3099</v>
      </c>
      <c r="BB215" s="560">
        <v>0</v>
      </c>
      <c r="BC215" s="560">
        <v>0.5</v>
      </c>
      <c r="BD215" s="560">
        <v>0</v>
      </c>
      <c r="BE215" s="560" t="s">
        <v>1799</v>
      </c>
      <c r="BF215" s="560">
        <v>4</v>
      </c>
      <c r="BG215" s="560">
        <v>17.399999999999999</v>
      </c>
      <c r="BH215" s="560">
        <v>1</v>
      </c>
      <c r="BI215" s="560">
        <v>2</v>
      </c>
      <c r="BJ215" s="560">
        <v>35</v>
      </c>
      <c r="BK215" s="560">
        <v>0</v>
      </c>
      <c r="BL215" s="560" t="s">
        <v>1747</v>
      </c>
      <c r="BM215" s="560">
        <v>0.02</v>
      </c>
      <c r="BN215" s="560">
        <v>0</v>
      </c>
      <c r="BO215" s="560">
        <v>4.5</v>
      </c>
      <c r="BP215" s="560" t="s">
        <v>1747</v>
      </c>
      <c r="BQ215" s="560">
        <v>0.03</v>
      </c>
      <c r="BR215" s="560">
        <v>60</v>
      </c>
      <c r="BS215" s="560">
        <v>4.9000000000000004</v>
      </c>
      <c r="BT215" s="560">
        <v>5000</v>
      </c>
      <c r="BU215" s="560">
        <v>40100</v>
      </c>
      <c r="BV215" s="560">
        <v>200</v>
      </c>
      <c r="BW215" s="560">
        <v>26.8</v>
      </c>
      <c r="BX215" s="560">
        <v>2788</v>
      </c>
      <c r="BY215" s="560">
        <v>11.4</v>
      </c>
      <c r="BZ215" s="560">
        <v>1800</v>
      </c>
      <c r="CA215" s="560">
        <v>35</v>
      </c>
      <c r="CB215" s="560">
        <v>0.85</v>
      </c>
      <c r="CC215" s="560">
        <v>187.5</v>
      </c>
      <c r="CD215" s="560">
        <v>187.5</v>
      </c>
      <c r="CE215" s="560">
        <v>187.5</v>
      </c>
      <c r="CF215" s="560">
        <v>187.5</v>
      </c>
      <c r="CG215" s="560">
        <v>0.29299999999999998</v>
      </c>
      <c r="CH215" s="560">
        <v>0.3</v>
      </c>
      <c r="CI215" s="560">
        <v>0.54</v>
      </c>
      <c r="CJ215" s="560">
        <v>40</v>
      </c>
      <c r="CK215" s="560">
        <v>5</v>
      </c>
      <c r="CL215" s="560">
        <v>4</v>
      </c>
      <c r="CM215" s="562">
        <v>1600</v>
      </c>
      <c r="CN215" s="562">
        <v>164</v>
      </c>
      <c r="CO215" s="562">
        <v>26.8</v>
      </c>
      <c r="CP215" s="562">
        <v>0</v>
      </c>
      <c r="CQ215" s="562">
        <v>0</v>
      </c>
      <c r="CR215" s="562" t="s">
        <v>1718</v>
      </c>
      <c r="CS215" s="562">
        <v>0</v>
      </c>
      <c r="CT215" s="562">
        <v>0</v>
      </c>
      <c r="CU215" s="562">
        <v>0.75</v>
      </c>
      <c r="CV215" s="562">
        <v>0.5</v>
      </c>
      <c r="CW215" s="562">
        <v>17.856999999999999</v>
      </c>
      <c r="CX215" s="562">
        <v>6.5</v>
      </c>
      <c r="CY215" s="562">
        <v>17.856999999999999</v>
      </c>
      <c r="CZ215" s="560">
        <v>4678.3333329999996</v>
      </c>
      <c r="DA215" s="560">
        <v>26.5625</v>
      </c>
      <c r="DB215" s="560" t="s">
        <v>1719</v>
      </c>
      <c r="DC215" s="560">
        <v>50</v>
      </c>
      <c r="DD215" s="560">
        <v>4</v>
      </c>
      <c r="DE215" s="560" t="s">
        <v>1720</v>
      </c>
      <c r="DF215" s="560">
        <v>5</v>
      </c>
      <c r="DG215" s="560">
        <v>0</v>
      </c>
      <c r="DH215" s="560">
        <v>4.5</v>
      </c>
      <c r="DI215" s="560">
        <v>4.5</v>
      </c>
      <c r="DJ215" s="560">
        <v>0</v>
      </c>
      <c r="DK215" s="560">
        <v>0</v>
      </c>
      <c r="DL215" s="560">
        <v>0</v>
      </c>
      <c r="DM215" s="560">
        <v>0</v>
      </c>
      <c r="DN215" s="560">
        <v>0</v>
      </c>
      <c r="DO215" s="560">
        <v>0</v>
      </c>
    </row>
    <row r="216" spans="1:119" hidden="1">
      <c r="A216" s="560" t="s">
        <v>933</v>
      </c>
      <c r="B216" s="560" t="s">
        <v>1713</v>
      </c>
      <c r="C216" s="560" t="s">
        <v>785</v>
      </c>
      <c r="D216" s="560">
        <v>3</v>
      </c>
      <c r="E216" s="560">
        <v>845.23039300000005</v>
      </c>
      <c r="F216" s="560">
        <v>57.762982000000001</v>
      </c>
      <c r="G216" s="560">
        <v>6644.9655000000002</v>
      </c>
      <c r="H216" s="560">
        <v>755.94</v>
      </c>
      <c r="I216" s="560">
        <v>0.91800700000000002</v>
      </c>
      <c r="J216" s="560">
        <v>0.36041200000000001</v>
      </c>
      <c r="K216" s="560">
        <v>0.38346200000000003</v>
      </c>
      <c r="L216" s="560">
        <v>0.586337</v>
      </c>
      <c r="M216" s="560">
        <v>30126.24843</v>
      </c>
      <c r="N216" s="560">
        <v>31283.414165999999</v>
      </c>
      <c r="O216" s="560">
        <v>10069.742858</v>
      </c>
      <c r="P216" s="560">
        <v>1484.146598</v>
      </c>
      <c r="Q216" s="560">
        <v>781.41679099999999</v>
      </c>
      <c r="R216" s="560">
        <v>2561.91527</v>
      </c>
      <c r="S216" s="560">
        <v>5622.9388710000003</v>
      </c>
      <c r="T216" s="560">
        <v>6063.7739869999996</v>
      </c>
      <c r="U216" s="560">
        <v>1449.7975160000001</v>
      </c>
      <c r="V216" s="560">
        <v>12.963417</v>
      </c>
      <c r="W216" s="560">
        <v>0.894154</v>
      </c>
      <c r="X216" s="560">
        <v>0</v>
      </c>
      <c r="Y216" s="560">
        <v>147.22982400000001</v>
      </c>
      <c r="Z216" s="560">
        <v>482.70057400000002</v>
      </c>
      <c r="AA216" s="560">
        <v>88885.930550999998</v>
      </c>
      <c r="AB216" s="560">
        <v>91872.558149000004</v>
      </c>
      <c r="AC216" s="560">
        <v>64616.945477000001</v>
      </c>
      <c r="AD216" s="560">
        <v>54022.275039</v>
      </c>
      <c r="AE216" s="560">
        <v>1040.7034619999999</v>
      </c>
      <c r="AF216" s="560">
        <v>37296.618233000001</v>
      </c>
      <c r="AG216" s="560">
        <v>40736.073827</v>
      </c>
      <c r="AH216" s="560">
        <v>10174.625518000001</v>
      </c>
      <c r="AI216" s="560">
        <v>33.4</v>
      </c>
      <c r="AJ216" s="560">
        <v>1706.7843740000001</v>
      </c>
      <c r="AK216" s="560">
        <v>2954.2931389999999</v>
      </c>
      <c r="AL216" s="560">
        <v>200.75</v>
      </c>
      <c r="AM216" s="560">
        <v>0</v>
      </c>
      <c r="AN216" s="560">
        <v>0</v>
      </c>
      <c r="AO216" s="560">
        <v>0</v>
      </c>
      <c r="AP216" s="560">
        <v>0</v>
      </c>
      <c r="AQ216" s="560" t="s">
        <v>933</v>
      </c>
      <c r="AR216" s="560" t="s">
        <v>1733</v>
      </c>
      <c r="AS216" s="560">
        <v>0</v>
      </c>
      <c r="AT216" s="560">
        <v>0</v>
      </c>
      <c r="AU216" s="560">
        <v>0</v>
      </c>
      <c r="AV216" s="560">
        <v>69</v>
      </c>
      <c r="AW216" s="560">
        <v>64</v>
      </c>
      <c r="AX216" s="560">
        <v>74</v>
      </c>
      <c r="AY216" s="560">
        <v>78</v>
      </c>
      <c r="AZ216" s="560">
        <v>1</v>
      </c>
      <c r="BA216" s="560">
        <v>3099</v>
      </c>
      <c r="BB216" s="560">
        <v>0</v>
      </c>
      <c r="BC216" s="560">
        <v>0.5</v>
      </c>
      <c r="BD216" s="560">
        <v>0</v>
      </c>
      <c r="BE216" s="560" t="s">
        <v>1799</v>
      </c>
      <c r="BF216" s="560">
        <v>4</v>
      </c>
      <c r="BG216" s="560">
        <v>17.399999999999999</v>
      </c>
      <c r="BH216" s="560">
        <v>1</v>
      </c>
      <c r="BI216" s="560">
        <v>2</v>
      </c>
      <c r="BJ216" s="560">
        <v>35</v>
      </c>
      <c r="BK216" s="560">
        <v>0</v>
      </c>
      <c r="BL216" s="560" t="s">
        <v>1747</v>
      </c>
      <c r="BM216" s="560">
        <v>0.02</v>
      </c>
      <c r="BN216" s="560">
        <v>0</v>
      </c>
      <c r="BO216" s="560">
        <v>4.5</v>
      </c>
      <c r="BP216" s="560" t="s">
        <v>1747</v>
      </c>
      <c r="BQ216" s="560">
        <v>0.03</v>
      </c>
      <c r="BR216" s="560">
        <v>60</v>
      </c>
      <c r="BS216" s="560">
        <v>4.9000000000000004</v>
      </c>
      <c r="BT216" s="560">
        <v>5000</v>
      </c>
      <c r="BU216" s="560">
        <v>40100</v>
      </c>
      <c r="BV216" s="560">
        <v>200</v>
      </c>
      <c r="BW216" s="560">
        <v>26.8</v>
      </c>
      <c r="BX216" s="560">
        <v>2788</v>
      </c>
      <c r="BY216" s="560">
        <v>11.4</v>
      </c>
      <c r="BZ216" s="560">
        <v>1800</v>
      </c>
      <c r="CA216" s="560">
        <v>35</v>
      </c>
      <c r="CB216" s="560">
        <v>0.85</v>
      </c>
      <c r="CC216" s="560">
        <v>187.5</v>
      </c>
      <c r="CD216" s="560">
        <v>187.5</v>
      </c>
      <c r="CE216" s="560">
        <v>187.5</v>
      </c>
      <c r="CF216" s="560">
        <v>187.5</v>
      </c>
      <c r="CG216" s="560">
        <v>0.29299999999999998</v>
      </c>
      <c r="CH216" s="560">
        <v>0.3</v>
      </c>
      <c r="CI216" s="560">
        <v>0.54</v>
      </c>
      <c r="CJ216" s="560">
        <v>40</v>
      </c>
      <c r="CK216" s="560">
        <v>5</v>
      </c>
      <c r="CL216" s="560">
        <v>4</v>
      </c>
      <c r="CM216" s="562">
        <v>1600</v>
      </c>
      <c r="CN216" s="562">
        <v>164</v>
      </c>
      <c r="CO216" s="562">
        <v>26.8</v>
      </c>
      <c r="CP216" s="562">
        <v>0</v>
      </c>
      <c r="CQ216" s="562">
        <v>0</v>
      </c>
      <c r="CR216" s="562" t="s">
        <v>1718</v>
      </c>
      <c r="CS216" s="562">
        <v>0</v>
      </c>
      <c r="CT216" s="562">
        <v>0</v>
      </c>
      <c r="CU216" s="562">
        <v>0.75</v>
      </c>
      <c r="CV216" s="562">
        <v>0.5</v>
      </c>
      <c r="CW216" s="562">
        <v>17.856999999999999</v>
      </c>
      <c r="CX216" s="562">
        <v>6.5</v>
      </c>
      <c r="CY216" s="562">
        <v>17.856999999999999</v>
      </c>
      <c r="CZ216" s="560">
        <v>4678.3333329999996</v>
      </c>
      <c r="DA216" s="560">
        <v>26.5625</v>
      </c>
      <c r="DB216" s="560" t="s">
        <v>1719</v>
      </c>
      <c r="DC216" s="560">
        <v>50</v>
      </c>
      <c r="DD216" s="560">
        <v>4</v>
      </c>
      <c r="DE216" s="560" t="s">
        <v>1720</v>
      </c>
      <c r="DF216" s="560">
        <v>5</v>
      </c>
      <c r="DG216" s="560">
        <v>0</v>
      </c>
      <c r="DH216" s="560">
        <v>4.5</v>
      </c>
      <c r="DI216" s="560">
        <v>4.5</v>
      </c>
      <c r="DJ216" s="560">
        <v>0</v>
      </c>
      <c r="DK216" s="560">
        <v>0</v>
      </c>
      <c r="DL216" s="560">
        <v>0</v>
      </c>
      <c r="DM216" s="560">
        <v>0</v>
      </c>
      <c r="DN216" s="560">
        <v>0</v>
      </c>
      <c r="DO216" s="560">
        <v>0</v>
      </c>
    </row>
    <row r="217" spans="1:119" hidden="1">
      <c r="A217" s="560" t="s">
        <v>934</v>
      </c>
      <c r="B217" s="560" t="s">
        <v>1713</v>
      </c>
      <c r="C217" s="560" t="s">
        <v>794</v>
      </c>
      <c r="D217" s="560">
        <v>3</v>
      </c>
      <c r="E217" s="560">
        <v>770.82066899999995</v>
      </c>
      <c r="F217" s="560">
        <v>56.542225000000002</v>
      </c>
      <c r="G217" s="560">
        <v>7927.5</v>
      </c>
      <c r="H217" s="560">
        <v>139.9665</v>
      </c>
      <c r="I217" s="560">
        <v>0.90101900000000001</v>
      </c>
      <c r="J217" s="560">
        <v>0.35602099999999998</v>
      </c>
      <c r="K217" s="560">
        <v>0.37736500000000001</v>
      </c>
      <c r="L217" s="560">
        <v>0.602047</v>
      </c>
      <c r="M217" s="560">
        <v>33776.998921999999</v>
      </c>
      <c r="N217" s="560">
        <v>34982.806368999998</v>
      </c>
      <c r="O217" s="560">
        <v>12481.752934</v>
      </c>
      <c r="P217" s="560">
        <v>3391.930194</v>
      </c>
      <c r="Q217" s="560">
        <v>832.15171599999996</v>
      </c>
      <c r="R217" s="560">
        <v>3118.002673</v>
      </c>
      <c r="S217" s="560">
        <v>1564.965166</v>
      </c>
      <c r="T217" s="560">
        <v>1822.305783</v>
      </c>
      <c r="U217" s="560">
        <v>434.721857</v>
      </c>
      <c r="V217" s="560">
        <v>37.999457999999997</v>
      </c>
      <c r="W217" s="560">
        <v>8.8898119999999992</v>
      </c>
      <c r="X217" s="560">
        <v>0</v>
      </c>
      <c r="Y217" s="560">
        <v>42.613838000000001</v>
      </c>
      <c r="Z217" s="560">
        <v>159.67047500000001</v>
      </c>
      <c r="AA217" s="560">
        <v>92517.909834000006</v>
      </c>
      <c r="AB217" s="560">
        <v>95363.261784000002</v>
      </c>
      <c r="AC217" s="560">
        <v>75984.130760999993</v>
      </c>
      <c r="AD217" s="560">
        <v>66902.069327999998</v>
      </c>
      <c r="AE217" s="560">
        <v>910.61553000000004</v>
      </c>
      <c r="AF217" s="560">
        <v>24468.989001000002</v>
      </c>
      <c r="AG217" s="560">
        <v>26948.697574999998</v>
      </c>
      <c r="AH217" s="560">
        <v>6445.3459000000003</v>
      </c>
      <c r="AI217" s="560">
        <v>35</v>
      </c>
      <c r="AJ217" s="560">
        <v>1739.5893060000001</v>
      </c>
      <c r="AK217" s="560">
        <v>3469.7556239999999</v>
      </c>
      <c r="AL217" s="560">
        <v>200.75</v>
      </c>
      <c r="AM217" s="560">
        <v>0</v>
      </c>
      <c r="AN217" s="560">
        <v>0</v>
      </c>
      <c r="AO217" s="560">
        <v>0</v>
      </c>
      <c r="AP217" s="560">
        <v>0</v>
      </c>
      <c r="AQ217" s="560" t="s">
        <v>934</v>
      </c>
      <c r="AR217" s="560" t="s">
        <v>1738</v>
      </c>
      <c r="AS217" s="560">
        <v>0</v>
      </c>
      <c r="AT217" s="560">
        <v>0</v>
      </c>
      <c r="AU217" s="560">
        <v>0</v>
      </c>
      <c r="AV217" s="560">
        <v>69</v>
      </c>
      <c r="AW217" s="560">
        <v>64</v>
      </c>
      <c r="AX217" s="560">
        <v>74</v>
      </c>
      <c r="AY217" s="560">
        <v>78</v>
      </c>
      <c r="AZ217" s="560">
        <v>1</v>
      </c>
      <c r="BA217" s="560">
        <v>3099</v>
      </c>
      <c r="BB217" s="560">
        <v>0</v>
      </c>
      <c r="BC217" s="560">
        <v>0.5</v>
      </c>
      <c r="BD217" s="560">
        <v>0</v>
      </c>
      <c r="BE217" s="560" t="s">
        <v>1799</v>
      </c>
      <c r="BF217" s="560">
        <v>3.5</v>
      </c>
      <c r="BG217" s="560">
        <v>17.399999999999999</v>
      </c>
      <c r="BH217" s="560">
        <v>1</v>
      </c>
      <c r="BI217" s="560">
        <v>2</v>
      </c>
      <c r="BJ217" s="560">
        <v>35</v>
      </c>
      <c r="BK217" s="560">
        <v>0</v>
      </c>
      <c r="BL217" s="560" t="s">
        <v>1747</v>
      </c>
      <c r="BM217" s="560">
        <v>0.02</v>
      </c>
      <c r="BN217" s="560">
        <v>0</v>
      </c>
      <c r="BO217" s="560">
        <v>6</v>
      </c>
      <c r="BP217" s="560" t="s">
        <v>1747</v>
      </c>
      <c r="BQ217" s="560">
        <v>0.03</v>
      </c>
      <c r="BR217" s="560">
        <v>60</v>
      </c>
      <c r="BS217" s="560">
        <v>6</v>
      </c>
      <c r="BT217" s="560">
        <v>5000</v>
      </c>
      <c r="BU217" s="560">
        <v>40100</v>
      </c>
      <c r="BV217" s="560">
        <v>200</v>
      </c>
      <c r="BW217" s="560">
        <v>30.609376350000002</v>
      </c>
      <c r="BX217" s="560">
        <v>2788</v>
      </c>
      <c r="BY217" s="560">
        <v>17.543859650000002</v>
      </c>
      <c r="BZ217" s="560">
        <v>1800</v>
      </c>
      <c r="CA217" s="560">
        <v>37.664196859999997</v>
      </c>
      <c r="CB217" s="560">
        <v>0.85</v>
      </c>
      <c r="CC217" s="560">
        <v>187.5</v>
      </c>
      <c r="CD217" s="560">
        <v>187.5</v>
      </c>
      <c r="CE217" s="560">
        <v>187.5</v>
      </c>
      <c r="CF217" s="560">
        <v>187.5</v>
      </c>
      <c r="CG217" s="560">
        <v>0.29299999999999998</v>
      </c>
      <c r="CH217" s="560">
        <v>0.3</v>
      </c>
      <c r="CI217" s="560">
        <v>0.54</v>
      </c>
      <c r="CJ217" s="560">
        <v>40</v>
      </c>
      <c r="CK217" s="560">
        <v>5</v>
      </c>
      <c r="CL217" s="560">
        <v>4</v>
      </c>
      <c r="CM217" s="562">
        <v>1600</v>
      </c>
      <c r="CN217" s="562">
        <v>164</v>
      </c>
      <c r="CO217" s="562">
        <v>30.609376350000002</v>
      </c>
      <c r="CP217" s="562">
        <v>0</v>
      </c>
      <c r="CQ217" s="562">
        <v>0</v>
      </c>
      <c r="CR217" s="562" t="s">
        <v>1718</v>
      </c>
      <c r="CS217" s="562">
        <v>0</v>
      </c>
      <c r="CT217" s="562">
        <v>0</v>
      </c>
      <c r="CU217" s="562">
        <v>0.75</v>
      </c>
      <c r="CV217" s="562">
        <v>0.5</v>
      </c>
      <c r="CW217" s="562">
        <v>17.856999999999999</v>
      </c>
      <c r="CX217" s="562">
        <v>6.5</v>
      </c>
      <c r="CY217" s="562">
        <v>17.856999999999999</v>
      </c>
      <c r="CZ217" s="560">
        <v>4678.3333329999996</v>
      </c>
      <c r="DA217" s="560">
        <v>26.5625</v>
      </c>
      <c r="DB217" s="560" t="s">
        <v>1719</v>
      </c>
      <c r="DC217" s="560">
        <v>50</v>
      </c>
      <c r="DD217" s="560">
        <v>4</v>
      </c>
      <c r="DE217" s="560" t="s">
        <v>1720</v>
      </c>
      <c r="DF217" s="560">
        <v>5</v>
      </c>
      <c r="DG217" s="560">
        <v>0</v>
      </c>
      <c r="DH217" s="560">
        <v>4.5</v>
      </c>
      <c r="DI217" s="560">
        <v>4.5</v>
      </c>
      <c r="DJ217" s="560">
        <v>0</v>
      </c>
      <c r="DK217" s="560">
        <v>0</v>
      </c>
      <c r="DL217" s="560">
        <v>0</v>
      </c>
      <c r="DM217" s="560">
        <v>0</v>
      </c>
      <c r="DN217" s="560">
        <v>0</v>
      </c>
      <c r="DO217" s="560">
        <v>0</v>
      </c>
    </row>
    <row r="218" spans="1:119" hidden="1">
      <c r="A218" s="560" t="s">
        <v>935</v>
      </c>
      <c r="B218" s="560" t="s">
        <v>1713</v>
      </c>
      <c r="C218" s="560" t="s">
        <v>797</v>
      </c>
      <c r="D218" s="560">
        <v>3</v>
      </c>
      <c r="E218" s="560">
        <v>770.82066899999995</v>
      </c>
      <c r="F218" s="560">
        <v>56.542225000000002</v>
      </c>
      <c r="G218" s="560">
        <v>7927.5</v>
      </c>
      <c r="H218" s="560">
        <v>391.60199999999998</v>
      </c>
      <c r="I218" s="560">
        <v>0.90101900000000001</v>
      </c>
      <c r="J218" s="560">
        <v>0.35602099999999998</v>
      </c>
      <c r="K218" s="560">
        <v>0.37736500000000001</v>
      </c>
      <c r="L218" s="560">
        <v>0.602047</v>
      </c>
      <c r="M218" s="560">
        <v>33776.998921999999</v>
      </c>
      <c r="N218" s="560">
        <v>34982.806368999998</v>
      </c>
      <c r="O218" s="560">
        <v>12481.752934</v>
      </c>
      <c r="P218" s="560">
        <v>3391.930194</v>
      </c>
      <c r="Q218" s="560">
        <v>832.15171599999996</v>
      </c>
      <c r="R218" s="560">
        <v>3118.002673</v>
      </c>
      <c r="S218" s="560">
        <v>3213.7484119999999</v>
      </c>
      <c r="T218" s="560">
        <v>3578.8531899999998</v>
      </c>
      <c r="U218" s="560">
        <v>850.19493699999998</v>
      </c>
      <c r="V218" s="560">
        <v>36.389122</v>
      </c>
      <c r="W218" s="560">
        <v>4.477684</v>
      </c>
      <c r="X218" s="560">
        <v>0</v>
      </c>
      <c r="Y218" s="560">
        <v>85.167258000000004</v>
      </c>
      <c r="Z218" s="560">
        <v>319.11457100000001</v>
      </c>
      <c r="AA218" s="560">
        <v>92517.909834000006</v>
      </c>
      <c r="AB218" s="560">
        <v>95363.261784000002</v>
      </c>
      <c r="AC218" s="560">
        <v>75984.130760999993</v>
      </c>
      <c r="AD218" s="560">
        <v>66902.069327999998</v>
      </c>
      <c r="AE218" s="560">
        <v>910.61553000000004</v>
      </c>
      <c r="AF218" s="560">
        <v>32652.278586</v>
      </c>
      <c r="AG218" s="560">
        <v>36906.245388000003</v>
      </c>
      <c r="AH218" s="560">
        <v>8647.7137540000003</v>
      </c>
      <c r="AI218" s="560">
        <v>35</v>
      </c>
      <c r="AJ218" s="560">
        <v>1739.5893060000001</v>
      </c>
      <c r="AK218" s="560">
        <v>3469.7556239999999</v>
      </c>
      <c r="AL218" s="560">
        <v>200.75</v>
      </c>
      <c r="AM218" s="560">
        <v>0</v>
      </c>
      <c r="AN218" s="560">
        <v>0</v>
      </c>
      <c r="AO218" s="560">
        <v>0</v>
      </c>
      <c r="AP218" s="560">
        <v>0</v>
      </c>
      <c r="AQ218" s="560" t="s">
        <v>935</v>
      </c>
      <c r="AR218" s="560" t="s">
        <v>1740</v>
      </c>
      <c r="AS218" s="560">
        <v>0</v>
      </c>
      <c r="AT218" s="560">
        <v>0</v>
      </c>
      <c r="AU218" s="560">
        <v>0</v>
      </c>
      <c r="AV218" s="560">
        <v>69</v>
      </c>
      <c r="AW218" s="560">
        <v>64</v>
      </c>
      <c r="AX218" s="560">
        <v>74</v>
      </c>
      <c r="AY218" s="560">
        <v>78</v>
      </c>
      <c r="AZ218" s="560">
        <v>1</v>
      </c>
      <c r="BA218" s="560">
        <v>3099</v>
      </c>
      <c r="BB218" s="560">
        <v>0</v>
      </c>
      <c r="BC218" s="560">
        <v>0.5</v>
      </c>
      <c r="BD218" s="560">
        <v>0</v>
      </c>
      <c r="BE218" s="560" t="s">
        <v>1799</v>
      </c>
      <c r="BF218" s="560">
        <v>3.5</v>
      </c>
      <c r="BG218" s="560">
        <v>17.399999999999999</v>
      </c>
      <c r="BH218" s="560">
        <v>1</v>
      </c>
      <c r="BI218" s="560">
        <v>2</v>
      </c>
      <c r="BJ218" s="560">
        <v>35</v>
      </c>
      <c r="BK218" s="560">
        <v>0</v>
      </c>
      <c r="BL218" s="560" t="s">
        <v>1747</v>
      </c>
      <c r="BM218" s="560">
        <v>0.02</v>
      </c>
      <c r="BN218" s="560">
        <v>0</v>
      </c>
      <c r="BO218" s="560">
        <v>6</v>
      </c>
      <c r="BP218" s="560" t="s">
        <v>1747</v>
      </c>
      <c r="BQ218" s="560">
        <v>0.03</v>
      </c>
      <c r="BR218" s="560">
        <v>60</v>
      </c>
      <c r="BS218" s="560">
        <v>6</v>
      </c>
      <c r="BT218" s="560">
        <v>5000</v>
      </c>
      <c r="BU218" s="560">
        <v>40100</v>
      </c>
      <c r="BV218" s="560">
        <v>200</v>
      </c>
      <c r="BW218" s="560">
        <v>30.609376350000002</v>
      </c>
      <c r="BX218" s="560">
        <v>2788</v>
      </c>
      <c r="BY218" s="560">
        <v>17.543859650000002</v>
      </c>
      <c r="BZ218" s="560">
        <v>1800</v>
      </c>
      <c r="CA218" s="560">
        <v>37.664196859999997</v>
      </c>
      <c r="CB218" s="560">
        <v>0.85</v>
      </c>
      <c r="CC218" s="560">
        <v>187.5</v>
      </c>
      <c r="CD218" s="560">
        <v>187.5</v>
      </c>
      <c r="CE218" s="560">
        <v>187.5</v>
      </c>
      <c r="CF218" s="560">
        <v>187.5</v>
      </c>
      <c r="CG218" s="560">
        <v>0.29299999999999998</v>
      </c>
      <c r="CH218" s="560">
        <v>0.3</v>
      </c>
      <c r="CI218" s="560">
        <v>0.54</v>
      </c>
      <c r="CJ218" s="560">
        <v>40</v>
      </c>
      <c r="CK218" s="560">
        <v>5</v>
      </c>
      <c r="CL218" s="560">
        <v>4</v>
      </c>
      <c r="CM218" s="562">
        <v>1600</v>
      </c>
      <c r="CN218" s="562">
        <v>164</v>
      </c>
      <c r="CO218" s="562">
        <v>30.609376350000002</v>
      </c>
      <c r="CP218" s="562">
        <v>0</v>
      </c>
      <c r="CQ218" s="562">
        <v>0</v>
      </c>
      <c r="CR218" s="562" t="s">
        <v>1718</v>
      </c>
      <c r="CS218" s="562">
        <v>0</v>
      </c>
      <c r="CT218" s="562">
        <v>0</v>
      </c>
      <c r="CU218" s="562">
        <v>0.75</v>
      </c>
      <c r="CV218" s="562">
        <v>0.5</v>
      </c>
      <c r="CW218" s="562">
        <v>17.856999999999999</v>
      </c>
      <c r="CX218" s="562">
        <v>6.5</v>
      </c>
      <c r="CY218" s="562">
        <v>17.856999999999999</v>
      </c>
      <c r="CZ218" s="560">
        <v>4678.3333329999996</v>
      </c>
      <c r="DA218" s="560">
        <v>26.5625</v>
      </c>
      <c r="DB218" s="560" t="s">
        <v>1719</v>
      </c>
      <c r="DC218" s="560">
        <v>50</v>
      </c>
      <c r="DD218" s="560">
        <v>4</v>
      </c>
      <c r="DE218" s="560" t="s">
        <v>1720</v>
      </c>
      <c r="DF218" s="560">
        <v>5</v>
      </c>
      <c r="DG218" s="560">
        <v>0</v>
      </c>
      <c r="DH218" s="560">
        <v>4.5</v>
      </c>
      <c r="DI218" s="560">
        <v>4.5</v>
      </c>
      <c r="DJ218" s="560">
        <v>0</v>
      </c>
      <c r="DK218" s="560">
        <v>0</v>
      </c>
      <c r="DL218" s="560">
        <v>0</v>
      </c>
      <c r="DM218" s="560">
        <v>0</v>
      </c>
      <c r="DN218" s="560">
        <v>0</v>
      </c>
      <c r="DO218" s="560">
        <v>0</v>
      </c>
    </row>
    <row r="219" spans="1:119" hidden="1">
      <c r="A219" s="560" t="s">
        <v>936</v>
      </c>
      <c r="B219" s="560" t="s">
        <v>1713</v>
      </c>
      <c r="C219" s="560" t="s">
        <v>800</v>
      </c>
      <c r="D219" s="560">
        <v>3</v>
      </c>
      <c r="E219" s="560">
        <v>770.82066899999995</v>
      </c>
      <c r="F219" s="560">
        <v>56.542225000000002</v>
      </c>
      <c r="G219" s="560">
        <v>7927.5</v>
      </c>
      <c r="H219" s="560">
        <v>755.94</v>
      </c>
      <c r="I219" s="560">
        <v>0.90101900000000001</v>
      </c>
      <c r="J219" s="560">
        <v>0.35602099999999998</v>
      </c>
      <c r="K219" s="560">
        <v>0.37736500000000001</v>
      </c>
      <c r="L219" s="560">
        <v>0.602047</v>
      </c>
      <c r="M219" s="560">
        <v>33776.998921999999</v>
      </c>
      <c r="N219" s="560">
        <v>34982.806368999998</v>
      </c>
      <c r="O219" s="560">
        <v>12481.752934</v>
      </c>
      <c r="P219" s="560">
        <v>3391.930194</v>
      </c>
      <c r="Q219" s="560">
        <v>832.15171599999996</v>
      </c>
      <c r="R219" s="560">
        <v>3118.002673</v>
      </c>
      <c r="S219" s="560">
        <v>5414.5253570000004</v>
      </c>
      <c r="T219" s="560">
        <v>5835.0241589999996</v>
      </c>
      <c r="U219" s="560">
        <v>1391.1645249999999</v>
      </c>
      <c r="V219" s="560">
        <v>12.438058</v>
      </c>
      <c r="W219" s="560">
        <v>0.89407499999999995</v>
      </c>
      <c r="X219" s="560">
        <v>0</v>
      </c>
      <c r="Y219" s="560">
        <v>141.716126</v>
      </c>
      <c r="Z219" s="560">
        <v>530.99843399999997</v>
      </c>
      <c r="AA219" s="560">
        <v>92517.909834000006</v>
      </c>
      <c r="AB219" s="560">
        <v>95363.261784000002</v>
      </c>
      <c r="AC219" s="560">
        <v>75984.130760999993</v>
      </c>
      <c r="AD219" s="560">
        <v>66902.069327999998</v>
      </c>
      <c r="AE219" s="560">
        <v>910.61553000000004</v>
      </c>
      <c r="AF219" s="560">
        <v>33299.536227999997</v>
      </c>
      <c r="AG219" s="560">
        <v>36747.236677000001</v>
      </c>
      <c r="AH219" s="560">
        <v>8913.1093419999997</v>
      </c>
      <c r="AI219" s="560">
        <v>35</v>
      </c>
      <c r="AJ219" s="560">
        <v>1739.5893060000001</v>
      </c>
      <c r="AK219" s="560">
        <v>3469.7556239999999</v>
      </c>
      <c r="AL219" s="560">
        <v>200.75</v>
      </c>
      <c r="AM219" s="560">
        <v>0</v>
      </c>
      <c r="AN219" s="560">
        <v>0</v>
      </c>
      <c r="AO219" s="560">
        <v>0</v>
      </c>
      <c r="AP219" s="560">
        <v>0</v>
      </c>
      <c r="AQ219" s="560" t="s">
        <v>936</v>
      </c>
      <c r="AR219" s="560" t="s">
        <v>1742</v>
      </c>
      <c r="AS219" s="560">
        <v>0</v>
      </c>
      <c r="AT219" s="560">
        <v>0</v>
      </c>
      <c r="AU219" s="560">
        <v>0</v>
      </c>
      <c r="AV219" s="560">
        <v>69</v>
      </c>
      <c r="AW219" s="560">
        <v>64</v>
      </c>
      <c r="AX219" s="560">
        <v>74</v>
      </c>
      <c r="AY219" s="560">
        <v>78</v>
      </c>
      <c r="AZ219" s="560">
        <v>1</v>
      </c>
      <c r="BA219" s="560">
        <v>3099</v>
      </c>
      <c r="BB219" s="560">
        <v>0</v>
      </c>
      <c r="BC219" s="560">
        <v>0.5</v>
      </c>
      <c r="BD219" s="560">
        <v>0</v>
      </c>
      <c r="BE219" s="560" t="s">
        <v>1799</v>
      </c>
      <c r="BF219" s="560">
        <v>3.5</v>
      </c>
      <c r="BG219" s="560">
        <v>17.399999999999999</v>
      </c>
      <c r="BH219" s="560">
        <v>1</v>
      </c>
      <c r="BI219" s="560">
        <v>2</v>
      </c>
      <c r="BJ219" s="560">
        <v>35</v>
      </c>
      <c r="BK219" s="560">
        <v>0</v>
      </c>
      <c r="BL219" s="560" t="s">
        <v>1747</v>
      </c>
      <c r="BM219" s="560">
        <v>0.02</v>
      </c>
      <c r="BN219" s="560">
        <v>0</v>
      </c>
      <c r="BO219" s="560">
        <v>6</v>
      </c>
      <c r="BP219" s="560" t="s">
        <v>1747</v>
      </c>
      <c r="BQ219" s="560">
        <v>0.03</v>
      </c>
      <c r="BR219" s="560">
        <v>60</v>
      </c>
      <c r="BS219" s="560">
        <v>6</v>
      </c>
      <c r="BT219" s="560">
        <v>5000</v>
      </c>
      <c r="BU219" s="560">
        <v>40100</v>
      </c>
      <c r="BV219" s="560">
        <v>200</v>
      </c>
      <c r="BW219" s="560">
        <v>30.609376350000002</v>
      </c>
      <c r="BX219" s="560">
        <v>2788</v>
      </c>
      <c r="BY219" s="560">
        <v>17.543859650000002</v>
      </c>
      <c r="BZ219" s="560">
        <v>1800</v>
      </c>
      <c r="CA219" s="560">
        <v>37.664196859999997</v>
      </c>
      <c r="CB219" s="560">
        <v>0.85</v>
      </c>
      <c r="CC219" s="560">
        <v>187.5</v>
      </c>
      <c r="CD219" s="560">
        <v>187.5</v>
      </c>
      <c r="CE219" s="560">
        <v>187.5</v>
      </c>
      <c r="CF219" s="560">
        <v>187.5</v>
      </c>
      <c r="CG219" s="560">
        <v>0.29299999999999998</v>
      </c>
      <c r="CH219" s="560">
        <v>0.3</v>
      </c>
      <c r="CI219" s="560">
        <v>0.54</v>
      </c>
      <c r="CJ219" s="560">
        <v>40</v>
      </c>
      <c r="CK219" s="560">
        <v>5</v>
      </c>
      <c r="CL219" s="560">
        <v>4</v>
      </c>
      <c r="CM219" s="562">
        <v>1600</v>
      </c>
      <c r="CN219" s="562">
        <v>164</v>
      </c>
      <c r="CO219" s="562">
        <v>30.609376350000002</v>
      </c>
      <c r="CP219" s="562">
        <v>0</v>
      </c>
      <c r="CQ219" s="562">
        <v>0</v>
      </c>
      <c r="CR219" s="562" t="s">
        <v>1718</v>
      </c>
      <c r="CS219" s="562">
        <v>0</v>
      </c>
      <c r="CT219" s="562">
        <v>0</v>
      </c>
      <c r="CU219" s="562">
        <v>0.75</v>
      </c>
      <c r="CV219" s="562">
        <v>0.5</v>
      </c>
      <c r="CW219" s="562">
        <v>17.856999999999999</v>
      </c>
      <c r="CX219" s="562">
        <v>6.5</v>
      </c>
      <c r="CY219" s="562">
        <v>17.856999999999999</v>
      </c>
      <c r="CZ219" s="560">
        <v>4678.3333329999996</v>
      </c>
      <c r="DA219" s="560">
        <v>26.5625</v>
      </c>
      <c r="DB219" s="560" t="s">
        <v>1719</v>
      </c>
      <c r="DC219" s="560">
        <v>50</v>
      </c>
      <c r="DD219" s="560">
        <v>4</v>
      </c>
      <c r="DE219" s="560" t="s">
        <v>1720</v>
      </c>
      <c r="DF219" s="560">
        <v>5</v>
      </c>
      <c r="DG219" s="560">
        <v>0</v>
      </c>
      <c r="DH219" s="560">
        <v>4.5</v>
      </c>
      <c r="DI219" s="560">
        <v>4.5</v>
      </c>
      <c r="DJ219" s="560">
        <v>0</v>
      </c>
      <c r="DK219" s="560">
        <v>0</v>
      </c>
      <c r="DL219" s="560">
        <v>0</v>
      </c>
      <c r="DM219" s="560">
        <v>0</v>
      </c>
      <c r="DN219" s="560">
        <v>0</v>
      </c>
      <c r="DO219" s="560">
        <v>0</v>
      </c>
    </row>
    <row r="220" spans="1:119" hidden="1">
      <c r="A220" s="560" t="s">
        <v>937</v>
      </c>
      <c r="B220" s="560" t="s">
        <v>1713</v>
      </c>
      <c r="C220" s="560" t="s">
        <v>794</v>
      </c>
      <c r="D220" s="560">
        <v>3</v>
      </c>
      <c r="E220" s="560">
        <v>833.08442500000001</v>
      </c>
      <c r="F220" s="560">
        <v>57.178423000000002</v>
      </c>
      <c r="G220" s="560">
        <v>7927.5</v>
      </c>
      <c r="H220" s="560">
        <v>139.9665</v>
      </c>
      <c r="I220" s="560">
        <v>0.90101900000000001</v>
      </c>
      <c r="J220" s="560">
        <v>0.35748400000000002</v>
      </c>
      <c r="K220" s="560">
        <v>0.37210100000000002</v>
      </c>
      <c r="L220" s="560">
        <v>0.60771799999999998</v>
      </c>
      <c r="M220" s="560">
        <v>37105.136307000001</v>
      </c>
      <c r="N220" s="560">
        <v>38444.140151</v>
      </c>
      <c r="O220" s="560">
        <v>12976.018582000001</v>
      </c>
      <c r="P220" s="560">
        <v>2828.0749489999998</v>
      </c>
      <c r="Q220" s="560">
        <v>926.53487800000005</v>
      </c>
      <c r="R220" s="560">
        <v>3037.6924060000001</v>
      </c>
      <c r="S220" s="560">
        <v>1596.5347859999999</v>
      </c>
      <c r="T220" s="560">
        <v>1861.680167</v>
      </c>
      <c r="U220" s="560">
        <v>444.79185899999999</v>
      </c>
      <c r="V220" s="560">
        <v>39.261395999999998</v>
      </c>
      <c r="W220" s="560">
        <v>9.0035329999999991</v>
      </c>
      <c r="X220" s="560">
        <v>0</v>
      </c>
      <c r="Y220" s="560">
        <v>43.518076999999998</v>
      </c>
      <c r="Z220" s="560">
        <v>142.67626100000001</v>
      </c>
      <c r="AA220" s="560">
        <v>96514.974491000001</v>
      </c>
      <c r="AB220" s="560">
        <v>99566.158385999996</v>
      </c>
      <c r="AC220" s="560">
        <v>77020.303650999995</v>
      </c>
      <c r="AD220" s="560">
        <v>66640.798209999994</v>
      </c>
      <c r="AE220" s="560">
        <v>1040.7034619999999</v>
      </c>
      <c r="AF220" s="560">
        <v>25790.274820999999</v>
      </c>
      <c r="AG220" s="560">
        <v>28445.882167</v>
      </c>
      <c r="AH220" s="560">
        <v>6838.4469280000003</v>
      </c>
      <c r="AI220" s="560">
        <v>19</v>
      </c>
      <c r="AJ220" s="560">
        <v>1929.6636060000001</v>
      </c>
      <c r="AK220" s="560">
        <v>3378.2463750000002</v>
      </c>
      <c r="AL220" s="560">
        <v>200.75</v>
      </c>
      <c r="AM220" s="560">
        <v>0</v>
      </c>
      <c r="AN220" s="560">
        <v>0</v>
      </c>
      <c r="AO220" s="560">
        <v>0</v>
      </c>
      <c r="AP220" s="560">
        <v>0</v>
      </c>
      <c r="AQ220" s="560" t="s">
        <v>937</v>
      </c>
      <c r="AR220" s="560" t="s">
        <v>1738</v>
      </c>
      <c r="AS220" s="560">
        <v>0</v>
      </c>
      <c r="AT220" s="560">
        <v>0</v>
      </c>
      <c r="AU220" s="560">
        <v>0</v>
      </c>
      <c r="AV220" s="560">
        <v>69</v>
      </c>
      <c r="AW220" s="560">
        <v>64</v>
      </c>
      <c r="AX220" s="560">
        <v>74</v>
      </c>
      <c r="AY220" s="560">
        <v>78</v>
      </c>
      <c r="AZ220" s="560">
        <v>1</v>
      </c>
      <c r="BA220" s="560">
        <v>3099</v>
      </c>
      <c r="BB220" s="560">
        <v>0</v>
      </c>
      <c r="BC220" s="560">
        <v>0.5</v>
      </c>
      <c r="BD220" s="560">
        <v>0</v>
      </c>
      <c r="BE220" s="560" t="s">
        <v>1799</v>
      </c>
      <c r="BF220" s="560">
        <v>4</v>
      </c>
      <c r="BG220" s="560">
        <v>17.399999999999999</v>
      </c>
      <c r="BH220" s="560">
        <v>1</v>
      </c>
      <c r="BI220" s="560">
        <v>2</v>
      </c>
      <c r="BJ220" s="560">
        <v>35</v>
      </c>
      <c r="BK220" s="560">
        <v>0</v>
      </c>
      <c r="BL220" s="560" t="s">
        <v>1747</v>
      </c>
      <c r="BM220" s="560">
        <v>0.02</v>
      </c>
      <c r="BN220" s="560">
        <v>0</v>
      </c>
      <c r="BO220" s="560">
        <v>4.5</v>
      </c>
      <c r="BP220" s="560" t="s">
        <v>1747</v>
      </c>
      <c r="BQ220" s="560">
        <v>0.03</v>
      </c>
      <c r="BR220" s="560">
        <v>60</v>
      </c>
      <c r="BS220" s="560">
        <v>4.9000000000000004</v>
      </c>
      <c r="BT220" s="560">
        <v>5000</v>
      </c>
      <c r="BU220" s="560">
        <v>40100</v>
      </c>
      <c r="BV220" s="560">
        <v>200</v>
      </c>
      <c r="BW220" s="560">
        <v>26.8</v>
      </c>
      <c r="BX220" s="560">
        <v>2788</v>
      </c>
      <c r="BY220" s="560">
        <v>11.4</v>
      </c>
      <c r="BZ220" s="560">
        <v>1800</v>
      </c>
      <c r="CA220" s="560">
        <v>35</v>
      </c>
      <c r="CB220" s="560">
        <v>0.85</v>
      </c>
      <c r="CC220" s="560">
        <v>187.5</v>
      </c>
      <c r="CD220" s="560">
        <v>187.5</v>
      </c>
      <c r="CE220" s="560">
        <v>187.5</v>
      </c>
      <c r="CF220" s="560">
        <v>187.5</v>
      </c>
      <c r="CG220" s="560">
        <v>0.29299999999999998</v>
      </c>
      <c r="CH220" s="560">
        <v>0.3</v>
      </c>
      <c r="CI220" s="560">
        <v>0.54</v>
      </c>
      <c r="CJ220" s="560">
        <v>40</v>
      </c>
      <c r="CK220" s="560">
        <v>5</v>
      </c>
      <c r="CL220" s="560">
        <v>4</v>
      </c>
      <c r="CM220" s="562">
        <v>1600</v>
      </c>
      <c r="CN220" s="562">
        <v>164</v>
      </c>
      <c r="CO220" s="562">
        <v>26.8</v>
      </c>
      <c r="CP220" s="562">
        <v>0</v>
      </c>
      <c r="CQ220" s="562">
        <v>0</v>
      </c>
      <c r="CR220" s="562" t="s">
        <v>1718</v>
      </c>
      <c r="CS220" s="562">
        <v>0</v>
      </c>
      <c r="CT220" s="562">
        <v>0</v>
      </c>
      <c r="CU220" s="562">
        <v>0.75</v>
      </c>
      <c r="CV220" s="562">
        <v>0.5</v>
      </c>
      <c r="CW220" s="562">
        <v>17.856999999999999</v>
      </c>
      <c r="CX220" s="562">
        <v>6.5</v>
      </c>
      <c r="CY220" s="562">
        <v>17.856999999999999</v>
      </c>
      <c r="CZ220" s="560">
        <v>4678.3333329999996</v>
      </c>
      <c r="DA220" s="560">
        <v>26.5625</v>
      </c>
      <c r="DB220" s="560" t="s">
        <v>1719</v>
      </c>
      <c r="DC220" s="560">
        <v>50</v>
      </c>
      <c r="DD220" s="560">
        <v>4</v>
      </c>
      <c r="DE220" s="560" t="s">
        <v>1720</v>
      </c>
      <c r="DF220" s="560">
        <v>5</v>
      </c>
      <c r="DG220" s="560">
        <v>0</v>
      </c>
      <c r="DH220" s="560">
        <v>4.5</v>
      </c>
      <c r="DI220" s="560">
        <v>4.5</v>
      </c>
      <c r="DJ220" s="560">
        <v>0</v>
      </c>
      <c r="DK220" s="560">
        <v>0</v>
      </c>
      <c r="DL220" s="560">
        <v>0</v>
      </c>
      <c r="DM220" s="560">
        <v>0</v>
      </c>
      <c r="DN220" s="560">
        <v>0</v>
      </c>
      <c r="DO220" s="560">
        <v>0</v>
      </c>
    </row>
    <row r="221" spans="1:119" hidden="1">
      <c r="A221" s="560" t="s">
        <v>938</v>
      </c>
      <c r="B221" s="560" t="s">
        <v>1713</v>
      </c>
      <c r="C221" s="560" t="s">
        <v>797</v>
      </c>
      <c r="D221" s="560">
        <v>3</v>
      </c>
      <c r="E221" s="560">
        <v>833.08442500000001</v>
      </c>
      <c r="F221" s="560">
        <v>57.178423000000002</v>
      </c>
      <c r="G221" s="560">
        <v>7927.5</v>
      </c>
      <c r="H221" s="560">
        <v>391.60199999999998</v>
      </c>
      <c r="I221" s="560">
        <v>0.90101900000000001</v>
      </c>
      <c r="J221" s="560">
        <v>0.35748400000000002</v>
      </c>
      <c r="K221" s="560">
        <v>0.37210100000000002</v>
      </c>
      <c r="L221" s="560">
        <v>0.60771799999999998</v>
      </c>
      <c r="M221" s="560">
        <v>37105.136307000001</v>
      </c>
      <c r="N221" s="560">
        <v>38444.140151</v>
      </c>
      <c r="O221" s="560">
        <v>12976.018582000001</v>
      </c>
      <c r="P221" s="560">
        <v>2828.0749489999998</v>
      </c>
      <c r="Q221" s="560">
        <v>926.53487800000005</v>
      </c>
      <c r="R221" s="560">
        <v>3037.6924060000001</v>
      </c>
      <c r="S221" s="560">
        <v>3320.9277889999998</v>
      </c>
      <c r="T221" s="560">
        <v>3701.0428430000002</v>
      </c>
      <c r="U221" s="560">
        <v>881.21014200000002</v>
      </c>
      <c r="V221" s="560">
        <v>37.893932</v>
      </c>
      <c r="W221" s="560">
        <v>4.5233879999999997</v>
      </c>
      <c r="X221" s="560">
        <v>0</v>
      </c>
      <c r="Y221" s="560">
        <v>88.050950999999998</v>
      </c>
      <c r="Z221" s="560">
        <v>288.67958399999998</v>
      </c>
      <c r="AA221" s="560">
        <v>96514.974491000001</v>
      </c>
      <c r="AB221" s="560">
        <v>99566.158385999996</v>
      </c>
      <c r="AC221" s="560">
        <v>77020.303650999995</v>
      </c>
      <c r="AD221" s="560">
        <v>66640.798209999994</v>
      </c>
      <c r="AE221" s="560">
        <v>1040.7034619999999</v>
      </c>
      <c r="AF221" s="560">
        <v>34669.255294000002</v>
      </c>
      <c r="AG221" s="560">
        <v>39332.538451</v>
      </c>
      <c r="AH221" s="560">
        <v>9303.7589279999993</v>
      </c>
      <c r="AI221" s="560">
        <v>19</v>
      </c>
      <c r="AJ221" s="560">
        <v>1929.6636060000001</v>
      </c>
      <c r="AK221" s="560">
        <v>3378.2463750000002</v>
      </c>
      <c r="AL221" s="560">
        <v>200.75</v>
      </c>
      <c r="AM221" s="560">
        <v>0</v>
      </c>
      <c r="AN221" s="560">
        <v>0</v>
      </c>
      <c r="AO221" s="560">
        <v>0</v>
      </c>
      <c r="AP221" s="560">
        <v>0</v>
      </c>
      <c r="AQ221" s="560" t="s">
        <v>938</v>
      </c>
      <c r="AR221" s="560" t="s">
        <v>1740</v>
      </c>
      <c r="AS221" s="560">
        <v>0</v>
      </c>
      <c r="AT221" s="560">
        <v>0</v>
      </c>
      <c r="AU221" s="560">
        <v>0</v>
      </c>
      <c r="AV221" s="560">
        <v>69</v>
      </c>
      <c r="AW221" s="560">
        <v>64</v>
      </c>
      <c r="AX221" s="560">
        <v>74</v>
      </c>
      <c r="AY221" s="560">
        <v>78</v>
      </c>
      <c r="AZ221" s="560">
        <v>1</v>
      </c>
      <c r="BA221" s="560">
        <v>3099</v>
      </c>
      <c r="BB221" s="560">
        <v>0</v>
      </c>
      <c r="BC221" s="560">
        <v>0.5</v>
      </c>
      <c r="BD221" s="560">
        <v>0</v>
      </c>
      <c r="BE221" s="560" t="s">
        <v>1799</v>
      </c>
      <c r="BF221" s="560">
        <v>4</v>
      </c>
      <c r="BG221" s="560">
        <v>17.399999999999999</v>
      </c>
      <c r="BH221" s="560">
        <v>1</v>
      </c>
      <c r="BI221" s="560">
        <v>2</v>
      </c>
      <c r="BJ221" s="560">
        <v>35</v>
      </c>
      <c r="BK221" s="560">
        <v>0</v>
      </c>
      <c r="BL221" s="560" t="s">
        <v>1747</v>
      </c>
      <c r="BM221" s="560">
        <v>0.02</v>
      </c>
      <c r="BN221" s="560">
        <v>0</v>
      </c>
      <c r="BO221" s="560">
        <v>4.5</v>
      </c>
      <c r="BP221" s="560" t="s">
        <v>1747</v>
      </c>
      <c r="BQ221" s="560">
        <v>0.03</v>
      </c>
      <c r="BR221" s="560">
        <v>60</v>
      </c>
      <c r="BS221" s="560">
        <v>4.9000000000000004</v>
      </c>
      <c r="BT221" s="560">
        <v>5000</v>
      </c>
      <c r="BU221" s="560">
        <v>40100</v>
      </c>
      <c r="BV221" s="560">
        <v>200</v>
      </c>
      <c r="BW221" s="560">
        <v>26.8</v>
      </c>
      <c r="BX221" s="560">
        <v>2788</v>
      </c>
      <c r="BY221" s="560">
        <v>11.4</v>
      </c>
      <c r="BZ221" s="560">
        <v>1800</v>
      </c>
      <c r="CA221" s="560">
        <v>35</v>
      </c>
      <c r="CB221" s="560">
        <v>0.85</v>
      </c>
      <c r="CC221" s="560">
        <v>187.5</v>
      </c>
      <c r="CD221" s="560">
        <v>187.5</v>
      </c>
      <c r="CE221" s="560">
        <v>187.5</v>
      </c>
      <c r="CF221" s="560">
        <v>187.5</v>
      </c>
      <c r="CG221" s="560">
        <v>0.29299999999999998</v>
      </c>
      <c r="CH221" s="560">
        <v>0.3</v>
      </c>
      <c r="CI221" s="560">
        <v>0.54</v>
      </c>
      <c r="CJ221" s="560">
        <v>40</v>
      </c>
      <c r="CK221" s="560">
        <v>5</v>
      </c>
      <c r="CL221" s="560">
        <v>4</v>
      </c>
      <c r="CM221" s="562">
        <v>1600</v>
      </c>
      <c r="CN221" s="562">
        <v>164</v>
      </c>
      <c r="CO221" s="562">
        <v>26.8</v>
      </c>
      <c r="CP221" s="562">
        <v>0</v>
      </c>
      <c r="CQ221" s="562">
        <v>0</v>
      </c>
      <c r="CR221" s="562" t="s">
        <v>1718</v>
      </c>
      <c r="CS221" s="562">
        <v>0</v>
      </c>
      <c r="CT221" s="562">
        <v>0</v>
      </c>
      <c r="CU221" s="562">
        <v>0.75</v>
      </c>
      <c r="CV221" s="562">
        <v>0.5</v>
      </c>
      <c r="CW221" s="562">
        <v>17.856999999999999</v>
      </c>
      <c r="CX221" s="562">
        <v>6.5</v>
      </c>
      <c r="CY221" s="562">
        <v>17.856999999999999</v>
      </c>
      <c r="CZ221" s="560">
        <v>4678.3333329999996</v>
      </c>
      <c r="DA221" s="560">
        <v>26.5625</v>
      </c>
      <c r="DB221" s="560" t="s">
        <v>1719</v>
      </c>
      <c r="DC221" s="560">
        <v>50</v>
      </c>
      <c r="DD221" s="560">
        <v>4</v>
      </c>
      <c r="DE221" s="560" t="s">
        <v>1720</v>
      </c>
      <c r="DF221" s="560">
        <v>5</v>
      </c>
      <c r="DG221" s="560">
        <v>0</v>
      </c>
      <c r="DH221" s="560">
        <v>4.5</v>
      </c>
      <c r="DI221" s="560">
        <v>4.5</v>
      </c>
      <c r="DJ221" s="560">
        <v>0</v>
      </c>
      <c r="DK221" s="560">
        <v>0</v>
      </c>
      <c r="DL221" s="560">
        <v>0</v>
      </c>
      <c r="DM221" s="560">
        <v>0</v>
      </c>
      <c r="DN221" s="560">
        <v>0</v>
      </c>
      <c r="DO221" s="560">
        <v>0</v>
      </c>
    </row>
    <row r="222" spans="1:119" hidden="1">
      <c r="A222" s="560" t="s">
        <v>939</v>
      </c>
      <c r="B222" s="560" t="s">
        <v>1713</v>
      </c>
      <c r="C222" s="560" t="s">
        <v>800</v>
      </c>
      <c r="D222" s="560">
        <v>3</v>
      </c>
      <c r="E222" s="560">
        <v>833.08442500000001</v>
      </c>
      <c r="F222" s="560">
        <v>57.178423000000002</v>
      </c>
      <c r="G222" s="560">
        <v>7927.5</v>
      </c>
      <c r="H222" s="560">
        <v>755.94</v>
      </c>
      <c r="I222" s="560">
        <v>0.90101900000000001</v>
      </c>
      <c r="J222" s="560">
        <v>0.35748400000000002</v>
      </c>
      <c r="K222" s="560">
        <v>0.37210100000000002</v>
      </c>
      <c r="L222" s="560">
        <v>0.60771799999999998</v>
      </c>
      <c r="M222" s="560">
        <v>37105.136307000001</v>
      </c>
      <c r="N222" s="560">
        <v>38444.140151</v>
      </c>
      <c r="O222" s="560">
        <v>12976.018582000001</v>
      </c>
      <c r="P222" s="560">
        <v>2828.0749489999998</v>
      </c>
      <c r="Q222" s="560">
        <v>926.53487800000005</v>
      </c>
      <c r="R222" s="560">
        <v>3037.6924060000001</v>
      </c>
      <c r="S222" s="560">
        <v>5622.9388710000003</v>
      </c>
      <c r="T222" s="560">
        <v>6063.7739869999996</v>
      </c>
      <c r="U222" s="560">
        <v>1449.7975160000001</v>
      </c>
      <c r="V222" s="560">
        <v>12.963417</v>
      </c>
      <c r="W222" s="560">
        <v>0.894154</v>
      </c>
      <c r="X222" s="560">
        <v>0</v>
      </c>
      <c r="Y222" s="560">
        <v>147.22982400000001</v>
      </c>
      <c r="Z222" s="560">
        <v>482.70057400000002</v>
      </c>
      <c r="AA222" s="560">
        <v>96514.974491000001</v>
      </c>
      <c r="AB222" s="560">
        <v>99566.158385999996</v>
      </c>
      <c r="AC222" s="560">
        <v>77020.303650999995</v>
      </c>
      <c r="AD222" s="560">
        <v>66640.798209999994</v>
      </c>
      <c r="AE222" s="560">
        <v>1040.7034619999999</v>
      </c>
      <c r="AF222" s="560">
        <v>37296.618233000001</v>
      </c>
      <c r="AG222" s="560">
        <v>40736.073827</v>
      </c>
      <c r="AH222" s="560">
        <v>10174.625518000001</v>
      </c>
      <c r="AI222" s="560">
        <v>19</v>
      </c>
      <c r="AJ222" s="560">
        <v>1929.6636060000001</v>
      </c>
      <c r="AK222" s="560">
        <v>3378.2463750000002</v>
      </c>
      <c r="AL222" s="560">
        <v>200.75</v>
      </c>
      <c r="AM222" s="560">
        <v>0</v>
      </c>
      <c r="AN222" s="560">
        <v>0</v>
      </c>
      <c r="AO222" s="560">
        <v>0</v>
      </c>
      <c r="AP222" s="560">
        <v>0</v>
      </c>
      <c r="AQ222" s="560" t="s">
        <v>939</v>
      </c>
      <c r="AR222" s="560" t="s">
        <v>1742</v>
      </c>
      <c r="AS222" s="560">
        <v>0</v>
      </c>
      <c r="AT222" s="560">
        <v>0</v>
      </c>
      <c r="AU222" s="560">
        <v>0</v>
      </c>
      <c r="AV222" s="560">
        <v>69</v>
      </c>
      <c r="AW222" s="560">
        <v>64</v>
      </c>
      <c r="AX222" s="560">
        <v>74</v>
      </c>
      <c r="AY222" s="560">
        <v>78</v>
      </c>
      <c r="AZ222" s="560">
        <v>1</v>
      </c>
      <c r="BA222" s="560">
        <v>3099</v>
      </c>
      <c r="BB222" s="560">
        <v>0</v>
      </c>
      <c r="BC222" s="560">
        <v>0.5</v>
      </c>
      <c r="BD222" s="560">
        <v>0</v>
      </c>
      <c r="BE222" s="560" t="s">
        <v>1799</v>
      </c>
      <c r="BF222" s="560">
        <v>4</v>
      </c>
      <c r="BG222" s="560">
        <v>17.399999999999999</v>
      </c>
      <c r="BH222" s="560">
        <v>1</v>
      </c>
      <c r="BI222" s="560">
        <v>2</v>
      </c>
      <c r="BJ222" s="560">
        <v>35</v>
      </c>
      <c r="BK222" s="560">
        <v>0</v>
      </c>
      <c r="BL222" s="560" t="s">
        <v>1747</v>
      </c>
      <c r="BM222" s="560">
        <v>0.02</v>
      </c>
      <c r="BN222" s="560">
        <v>0</v>
      </c>
      <c r="BO222" s="560">
        <v>4.5</v>
      </c>
      <c r="BP222" s="560" t="s">
        <v>1747</v>
      </c>
      <c r="BQ222" s="560">
        <v>0.03</v>
      </c>
      <c r="BR222" s="560">
        <v>60</v>
      </c>
      <c r="BS222" s="560">
        <v>4.9000000000000004</v>
      </c>
      <c r="BT222" s="560">
        <v>5000</v>
      </c>
      <c r="BU222" s="560">
        <v>40100</v>
      </c>
      <c r="BV222" s="560">
        <v>200</v>
      </c>
      <c r="BW222" s="560">
        <v>26.8</v>
      </c>
      <c r="BX222" s="560">
        <v>2788</v>
      </c>
      <c r="BY222" s="560">
        <v>11.4</v>
      </c>
      <c r="BZ222" s="560">
        <v>1800</v>
      </c>
      <c r="CA222" s="560">
        <v>35</v>
      </c>
      <c r="CB222" s="560">
        <v>0.85</v>
      </c>
      <c r="CC222" s="560">
        <v>187.5</v>
      </c>
      <c r="CD222" s="560">
        <v>187.5</v>
      </c>
      <c r="CE222" s="560">
        <v>187.5</v>
      </c>
      <c r="CF222" s="560">
        <v>187.5</v>
      </c>
      <c r="CG222" s="560">
        <v>0.29299999999999998</v>
      </c>
      <c r="CH222" s="560">
        <v>0.3</v>
      </c>
      <c r="CI222" s="560">
        <v>0.54</v>
      </c>
      <c r="CJ222" s="560">
        <v>40</v>
      </c>
      <c r="CK222" s="560">
        <v>5</v>
      </c>
      <c r="CL222" s="560">
        <v>4</v>
      </c>
      <c r="CM222" s="562">
        <v>1600</v>
      </c>
      <c r="CN222" s="562">
        <v>164</v>
      </c>
      <c r="CO222" s="562">
        <v>26.8</v>
      </c>
      <c r="CP222" s="562">
        <v>0</v>
      </c>
      <c r="CQ222" s="562">
        <v>0</v>
      </c>
      <c r="CR222" s="562" t="s">
        <v>1718</v>
      </c>
      <c r="CS222" s="562">
        <v>0</v>
      </c>
      <c r="CT222" s="562">
        <v>0</v>
      </c>
      <c r="CU222" s="562">
        <v>0.75</v>
      </c>
      <c r="CV222" s="562">
        <v>0.5</v>
      </c>
      <c r="CW222" s="562">
        <v>17.856999999999999</v>
      </c>
      <c r="CX222" s="562">
        <v>6.5</v>
      </c>
      <c r="CY222" s="562">
        <v>17.856999999999999</v>
      </c>
      <c r="CZ222" s="560">
        <v>4678.3333329999996</v>
      </c>
      <c r="DA222" s="560">
        <v>26.5625</v>
      </c>
      <c r="DB222" s="560" t="s">
        <v>1719</v>
      </c>
      <c r="DC222" s="560">
        <v>50</v>
      </c>
      <c r="DD222" s="560">
        <v>4</v>
      </c>
      <c r="DE222" s="560" t="s">
        <v>1720</v>
      </c>
      <c r="DF222" s="560">
        <v>5</v>
      </c>
      <c r="DG222" s="560">
        <v>0</v>
      </c>
      <c r="DH222" s="560">
        <v>4.5</v>
      </c>
      <c r="DI222" s="560">
        <v>4.5</v>
      </c>
      <c r="DJ222" s="560">
        <v>0</v>
      </c>
      <c r="DK222" s="560">
        <v>0</v>
      </c>
      <c r="DL222" s="560">
        <v>0</v>
      </c>
      <c r="DM222" s="560">
        <v>0</v>
      </c>
      <c r="DN222" s="560">
        <v>0</v>
      </c>
      <c r="DO222" s="560">
        <v>0</v>
      </c>
    </row>
    <row r="223" spans="1:119" hidden="1">
      <c r="A223" s="560" t="s">
        <v>1800</v>
      </c>
      <c r="B223" s="560" t="s">
        <v>1713</v>
      </c>
      <c r="C223" s="560" t="s">
        <v>764</v>
      </c>
      <c r="D223" s="560">
        <v>3</v>
      </c>
      <c r="E223" s="560">
        <v>338.79056100000003</v>
      </c>
      <c r="F223" s="560">
        <v>58.031953999999999</v>
      </c>
      <c r="G223" s="560">
        <v>4974.4274999999998</v>
      </c>
      <c r="H223" s="560">
        <v>139.9665</v>
      </c>
      <c r="I223" s="560">
        <v>0.968943</v>
      </c>
      <c r="J223" s="560">
        <v>0.26339099999999999</v>
      </c>
      <c r="K223" s="560">
        <v>0.27974599999999999</v>
      </c>
      <c r="L223" s="560">
        <v>0.38497399999999998</v>
      </c>
      <c r="M223" s="560">
        <v>7157.3640839999998</v>
      </c>
      <c r="N223" s="560">
        <v>7925.6463700000004</v>
      </c>
      <c r="O223" s="560">
        <v>2216.9269060000001</v>
      </c>
      <c r="P223" s="560">
        <v>0.42634300000000003</v>
      </c>
      <c r="Q223" s="560">
        <v>193.07372100000001</v>
      </c>
      <c r="R223" s="560">
        <v>844.00287700000001</v>
      </c>
      <c r="S223" s="560">
        <v>984.94438200000002</v>
      </c>
      <c r="T223" s="560">
        <v>1264.0962689999999</v>
      </c>
      <c r="U223" s="560">
        <v>300.05166300000002</v>
      </c>
      <c r="V223" s="560">
        <v>49.976511000000002</v>
      </c>
      <c r="W223" s="560">
        <v>16.784789</v>
      </c>
      <c r="X223" s="560">
        <v>0</v>
      </c>
      <c r="Y223" s="560">
        <v>29.155737999999999</v>
      </c>
      <c r="Z223" s="560">
        <v>127.451457</v>
      </c>
      <c r="AA223" s="560">
        <v>25978.679936</v>
      </c>
      <c r="AB223" s="560">
        <v>29491.595069999999</v>
      </c>
      <c r="AC223" s="560">
        <v>8993.7171190000008</v>
      </c>
      <c r="AD223" s="560">
        <v>1252.8654839999999</v>
      </c>
      <c r="AE223" s="560">
        <v>780.52759700000001</v>
      </c>
      <c r="AF223" s="560">
        <v>10317.678438000001</v>
      </c>
      <c r="AG223" s="560">
        <v>11919.456072999999</v>
      </c>
      <c r="AH223" s="560">
        <v>2989.8320880000001</v>
      </c>
      <c r="AI223" s="560">
        <v>0</v>
      </c>
      <c r="AJ223" s="560">
        <v>461.345393</v>
      </c>
      <c r="AK223" s="560">
        <v>0</v>
      </c>
      <c r="AL223" s="560">
        <v>200.75</v>
      </c>
      <c r="AM223" s="560">
        <v>0</v>
      </c>
      <c r="AN223" s="560">
        <v>0</v>
      </c>
      <c r="AO223" s="560">
        <v>0</v>
      </c>
      <c r="AP223" s="560">
        <v>0</v>
      </c>
      <c r="AQ223" s="560" t="s">
        <v>1800</v>
      </c>
      <c r="AR223" s="560" t="s">
        <v>1714</v>
      </c>
      <c r="AS223" s="560">
        <v>0</v>
      </c>
      <c r="AT223" s="560">
        <v>0</v>
      </c>
      <c r="AU223" s="560">
        <v>0</v>
      </c>
      <c r="AV223" s="560">
        <v>69</v>
      </c>
      <c r="AW223" s="560">
        <v>64</v>
      </c>
      <c r="AX223" s="560">
        <v>74</v>
      </c>
      <c r="AY223" s="560">
        <v>78</v>
      </c>
      <c r="AZ223" s="560">
        <v>1</v>
      </c>
      <c r="BA223" s="560">
        <v>2085</v>
      </c>
      <c r="BB223" s="560">
        <v>0</v>
      </c>
      <c r="BC223" s="560">
        <v>0.5</v>
      </c>
      <c r="BD223" s="560">
        <v>0</v>
      </c>
      <c r="BE223" s="560" t="s">
        <v>1798</v>
      </c>
      <c r="BF223" s="560">
        <v>3</v>
      </c>
      <c r="BG223" s="560">
        <v>13</v>
      </c>
      <c r="BH223" s="560">
        <v>1</v>
      </c>
      <c r="BI223" s="560">
        <v>2</v>
      </c>
      <c r="BJ223" s="560">
        <v>35</v>
      </c>
      <c r="BK223" s="560">
        <v>0</v>
      </c>
      <c r="BL223" s="560" t="s">
        <v>1716</v>
      </c>
      <c r="BM223" s="560">
        <v>0.05</v>
      </c>
      <c r="BN223" s="560">
        <v>200</v>
      </c>
      <c r="BO223" s="560">
        <v>20</v>
      </c>
      <c r="BP223" s="560" t="s">
        <v>1717</v>
      </c>
      <c r="BQ223" s="560">
        <v>0</v>
      </c>
      <c r="BR223" s="560">
        <v>0</v>
      </c>
      <c r="BS223" s="560">
        <v>555</v>
      </c>
      <c r="BT223" s="560">
        <v>1568</v>
      </c>
      <c r="BU223" s="560">
        <v>12544</v>
      </c>
      <c r="BV223" s="560">
        <v>0</v>
      </c>
      <c r="BW223" s="560">
        <v>0</v>
      </c>
      <c r="BX223" s="560">
        <v>1344</v>
      </c>
      <c r="BY223" s="560">
        <v>12.82</v>
      </c>
      <c r="BZ223" s="560">
        <v>1568</v>
      </c>
      <c r="CA223" s="560">
        <v>26.5</v>
      </c>
      <c r="CB223" s="560">
        <v>0.85</v>
      </c>
      <c r="CC223" s="560">
        <v>49</v>
      </c>
      <c r="CD223" s="560">
        <v>49</v>
      </c>
      <c r="CE223" s="560">
        <v>49</v>
      </c>
      <c r="CF223" s="560">
        <v>49</v>
      </c>
      <c r="CG223" s="560">
        <v>0.29299999999999998</v>
      </c>
      <c r="CH223" s="560">
        <v>0.3</v>
      </c>
      <c r="CI223" s="560">
        <v>0.54</v>
      </c>
      <c r="CJ223" s="560">
        <v>40</v>
      </c>
      <c r="CK223" s="560">
        <v>5</v>
      </c>
      <c r="CL223" s="560">
        <v>1</v>
      </c>
      <c r="CM223" s="562">
        <v>1568</v>
      </c>
      <c r="CN223" s="562">
        <v>168</v>
      </c>
      <c r="CO223" s="562">
        <v>20.45</v>
      </c>
      <c r="CP223" s="562">
        <v>0</v>
      </c>
      <c r="CQ223" s="562">
        <v>0</v>
      </c>
      <c r="CR223" s="562" t="s">
        <v>1718</v>
      </c>
      <c r="CS223" s="562">
        <v>0</v>
      </c>
      <c r="CT223" s="562">
        <v>0</v>
      </c>
      <c r="CU223" s="562">
        <v>0.75</v>
      </c>
      <c r="CV223" s="562">
        <v>2</v>
      </c>
      <c r="CW223" s="562">
        <v>1.75</v>
      </c>
      <c r="CX223" s="562">
        <v>1</v>
      </c>
      <c r="CY223" s="562">
        <v>0.65</v>
      </c>
      <c r="CZ223" s="560">
        <v>1463.4666669999999</v>
      </c>
      <c r="DA223" s="560">
        <v>8.5</v>
      </c>
      <c r="DB223" s="560" t="s">
        <v>1719</v>
      </c>
      <c r="DC223" s="560">
        <v>50</v>
      </c>
      <c r="DD223" s="560">
        <v>4</v>
      </c>
      <c r="DE223" s="560" t="s">
        <v>1720</v>
      </c>
      <c r="DF223" s="560">
        <v>5</v>
      </c>
      <c r="DG223" s="560">
        <v>0</v>
      </c>
      <c r="DH223" s="560">
        <v>4.5</v>
      </c>
      <c r="DI223" s="560">
        <v>4.5</v>
      </c>
      <c r="DJ223" s="560">
        <v>0</v>
      </c>
      <c r="DK223" s="560">
        <v>0</v>
      </c>
      <c r="DL223" s="560">
        <v>0</v>
      </c>
      <c r="DM223" s="560">
        <v>0</v>
      </c>
      <c r="DN223" s="560">
        <v>0</v>
      </c>
      <c r="DO223" s="560">
        <v>0</v>
      </c>
    </row>
    <row r="224" spans="1:119" hidden="1">
      <c r="A224" s="560" t="s">
        <v>1801</v>
      </c>
      <c r="B224" s="560" t="s">
        <v>1713</v>
      </c>
      <c r="C224" s="560" t="s">
        <v>764</v>
      </c>
      <c r="D224" s="560">
        <v>3</v>
      </c>
      <c r="E224" s="560">
        <v>377.80124899999998</v>
      </c>
      <c r="F224" s="560">
        <v>58.742271000000002</v>
      </c>
      <c r="G224" s="560">
        <v>4974.4274999999998</v>
      </c>
      <c r="H224" s="560">
        <v>139.9665</v>
      </c>
      <c r="I224" s="560">
        <v>0.968943</v>
      </c>
      <c r="J224" s="560">
        <v>0.26531700000000003</v>
      </c>
      <c r="K224" s="560">
        <v>0.27903899999999998</v>
      </c>
      <c r="L224" s="560">
        <v>0.39233400000000002</v>
      </c>
      <c r="M224" s="560">
        <v>8322.427737</v>
      </c>
      <c r="N224" s="560">
        <v>9205.3455809999996</v>
      </c>
      <c r="O224" s="560">
        <v>2564.4787719999999</v>
      </c>
      <c r="P224" s="560">
        <v>1.170496</v>
      </c>
      <c r="Q224" s="560">
        <v>223.89572999999999</v>
      </c>
      <c r="R224" s="560">
        <v>978.73827100000005</v>
      </c>
      <c r="S224" s="560">
        <v>905.165795</v>
      </c>
      <c r="T224" s="560">
        <v>1158.5441040000001</v>
      </c>
      <c r="U224" s="560">
        <v>275.59807499999999</v>
      </c>
      <c r="V224" s="560">
        <v>44.971507000000003</v>
      </c>
      <c r="W224" s="560">
        <v>16.495432000000001</v>
      </c>
      <c r="X224" s="560">
        <v>0</v>
      </c>
      <c r="Y224" s="560">
        <v>26.759914999999999</v>
      </c>
      <c r="Z224" s="560">
        <v>116.978348</v>
      </c>
      <c r="AA224" s="560">
        <v>27407.915069999999</v>
      </c>
      <c r="AB224" s="560">
        <v>31002.676156000001</v>
      </c>
      <c r="AC224" s="560">
        <v>10298.292154999999</v>
      </c>
      <c r="AD224" s="560">
        <v>2490.3803440000002</v>
      </c>
      <c r="AE224" s="560">
        <v>780.52759700000001</v>
      </c>
      <c r="AF224" s="560">
        <v>10730.972669000001</v>
      </c>
      <c r="AG224" s="560">
        <v>12355.321277999999</v>
      </c>
      <c r="AH224" s="560">
        <v>3096.8272510000002</v>
      </c>
      <c r="AI224" s="560">
        <v>0</v>
      </c>
      <c r="AJ224" s="560">
        <v>517.99682700000005</v>
      </c>
      <c r="AK224" s="560">
        <v>0</v>
      </c>
      <c r="AL224" s="560">
        <v>200.75</v>
      </c>
      <c r="AM224" s="560">
        <v>0</v>
      </c>
      <c r="AN224" s="560">
        <v>0</v>
      </c>
      <c r="AO224" s="560">
        <v>0</v>
      </c>
      <c r="AP224" s="560">
        <v>0</v>
      </c>
      <c r="AQ224" s="560" t="s">
        <v>1801</v>
      </c>
      <c r="AR224" s="560" t="s">
        <v>1714</v>
      </c>
      <c r="AS224" s="560">
        <v>0</v>
      </c>
      <c r="AT224" s="560">
        <v>0</v>
      </c>
      <c r="AU224" s="560">
        <v>0</v>
      </c>
      <c r="AV224" s="560">
        <v>69</v>
      </c>
      <c r="AW224" s="560">
        <v>64</v>
      </c>
      <c r="AX224" s="560">
        <v>74</v>
      </c>
      <c r="AY224" s="560">
        <v>78</v>
      </c>
      <c r="AZ224" s="560">
        <v>1</v>
      </c>
      <c r="BA224" s="560">
        <v>2085</v>
      </c>
      <c r="BB224" s="560">
        <v>0</v>
      </c>
      <c r="BC224" s="560">
        <v>0.5</v>
      </c>
      <c r="BD224" s="560">
        <v>0</v>
      </c>
      <c r="BE224" s="560" t="s">
        <v>1798</v>
      </c>
      <c r="BF224" s="560">
        <v>3</v>
      </c>
      <c r="BG224" s="560">
        <v>13</v>
      </c>
      <c r="BH224" s="560">
        <v>1</v>
      </c>
      <c r="BI224" s="560">
        <v>2</v>
      </c>
      <c r="BJ224" s="560">
        <v>35</v>
      </c>
      <c r="BK224" s="560">
        <v>0</v>
      </c>
      <c r="BL224" s="560" t="s">
        <v>1716</v>
      </c>
      <c r="BM224" s="560">
        <v>0.05</v>
      </c>
      <c r="BN224" s="560">
        <v>200</v>
      </c>
      <c r="BO224" s="560">
        <v>20</v>
      </c>
      <c r="BP224" s="560" t="s">
        <v>1717</v>
      </c>
      <c r="BQ224" s="560">
        <v>0</v>
      </c>
      <c r="BR224" s="560">
        <v>0</v>
      </c>
      <c r="BS224" s="560">
        <v>555</v>
      </c>
      <c r="BT224" s="560">
        <v>1568</v>
      </c>
      <c r="BU224" s="560">
        <v>12544</v>
      </c>
      <c r="BV224" s="560">
        <v>0</v>
      </c>
      <c r="BW224" s="560">
        <v>0</v>
      </c>
      <c r="BX224" s="560">
        <v>1344</v>
      </c>
      <c r="BY224" s="560">
        <v>10.3</v>
      </c>
      <c r="BZ224" s="560">
        <v>1568</v>
      </c>
      <c r="CA224" s="560">
        <v>26.5</v>
      </c>
      <c r="CB224" s="560">
        <v>0.85</v>
      </c>
      <c r="CC224" s="560">
        <v>49</v>
      </c>
      <c r="CD224" s="560">
        <v>49</v>
      </c>
      <c r="CE224" s="560">
        <v>49</v>
      </c>
      <c r="CF224" s="560">
        <v>49</v>
      </c>
      <c r="CG224" s="560">
        <v>0.29299999999999998</v>
      </c>
      <c r="CH224" s="560">
        <v>0.3</v>
      </c>
      <c r="CI224" s="560">
        <v>0.54</v>
      </c>
      <c r="CJ224" s="560">
        <v>40</v>
      </c>
      <c r="CK224" s="560">
        <v>5</v>
      </c>
      <c r="CL224" s="560">
        <v>1</v>
      </c>
      <c r="CM224" s="562">
        <v>1568</v>
      </c>
      <c r="CN224" s="562">
        <v>168</v>
      </c>
      <c r="CO224" s="562">
        <v>15.8</v>
      </c>
      <c r="CP224" s="562">
        <v>0</v>
      </c>
      <c r="CQ224" s="562">
        <v>0</v>
      </c>
      <c r="CR224" s="562" t="s">
        <v>1718</v>
      </c>
      <c r="CS224" s="562">
        <v>0</v>
      </c>
      <c r="CT224" s="562">
        <v>0</v>
      </c>
      <c r="CU224" s="562">
        <v>0.75</v>
      </c>
      <c r="CV224" s="562">
        <v>2</v>
      </c>
      <c r="CW224" s="562">
        <v>1.75</v>
      </c>
      <c r="CX224" s="562">
        <v>1</v>
      </c>
      <c r="CY224" s="562">
        <v>0.65</v>
      </c>
      <c r="CZ224" s="560">
        <v>1463.4666669999999</v>
      </c>
      <c r="DA224" s="560">
        <v>8.5</v>
      </c>
      <c r="DB224" s="560" t="s">
        <v>1719</v>
      </c>
      <c r="DC224" s="560">
        <v>50</v>
      </c>
      <c r="DD224" s="560">
        <v>4</v>
      </c>
      <c r="DE224" s="560" t="s">
        <v>1720</v>
      </c>
      <c r="DF224" s="560">
        <v>5</v>
      </c>
      <c r="DG224" s="560">
        <v>0</v>
      </c>
      <c r="DH224" s="560">
        <v>4.5</v>
      </c>
      <c r="DI224" s="560">
        <v>4.5</v>
      </c>
      <c r="DJ224" s="560">
        <v>0</v>
      </c>
      <c r="DK224" s="560">
        <v>0</v>
      </c>
      <c r="DL224" s="560">
        <v>0</v>
      </c>
      <c r="DM224" s="560">
        <v>0</v>
      </c>
      <c r="DN224" s="560">
        <v>0</v>
      </c>
      <c r="DO224" s="560">
        <v>0</v>
      </c>
    </row>
    <row r="225" spans="1:119" hidden="1">
      <c r="A225" s="560" t="s">
        <v>1802</v>
      </c>
      <c r="B225" s="560" t="s">
        <v>1713</v>
      </c>
      <c r="C225" s="560" t="s">
        <v>779</v>
      </c>
      <c r="D225" s="560">
        <v>3</v>
      </c>
      <c r="E225" s="560">
        <v>341.19347099999999</v>
      </c>
      <c r="F225" s="560">
        <v>56.806139999999999</v>
      </c>
      <c r="G225" s="560">
        <v>6644.9655000000002</v>
      </c>
      <c r="H225" s="560">
        <v>139.9665</v>
      </c>
      <c r="I225" s="560">
        <v>0.91800700000000002</v>
      </c>
      <c r="J225" s="560">
        <v>0.28986000000000001</v>
      </c>
      <c r="K225" s="560">
        <v>0.30742199999999997</v>
      </c>
      <c r="L225" s="560">
        <v>0.43378</v>
      </c>
      <c r="M225" s="560">
        <v>10395.379772</v>
      </c>
      <c r="N225" s="560">
        <v>11584.294379000001</v>
      </c>
      <c r="O225" s="560">
        <v>3206.6130010000002</v>
      </c>
      <c r="P225" s="560">
        <v>2.590141</v>
      </c>
      <c r="Q225" s="560">
        <v>281.15907700000002</v>
      </c>
      <c r="R225" s="560">
        <v>1229.0593899999999</v>
      </c>
      <c r="S225" s="560">
        <v>984.94438200000002</v>
      </c>
      <c r="T225" s="560">
        <v>1264.0962689999999</v>
      </c>
      <c r="U225" s="560">
        <v>300.05166300000002</v>
      </c>
      <c r="V225" s="560">
        <v>49.976511000000002</v>
      </c>
      <c r="W225" s="560">
        <v>16.784789</v>
      </c>
      <c r="X225" s="560">
        <v>0</v>
      </c>
      <c r="Y225" s="560">
        <v>29.155737999999999</v>
      </c>
      <c r="Z225" s="560">
        <v>127.451457</v>
      </c>
      <c r="AA225" s="560">
        <v>29915.663934</v>
      </c>
      <c r="AB225" s="560">
        <v>34272.088885999998</v>
      </c>
      <c r="AC225" s="560">
        <v>11631.415950000001</v>
      </c>
      <c r="AD225" s="560">
        <v>3698.9808830000002</v>
      </c>
      <c r="AE225" s="560">
        <v>780.52759700000001</v>
      </c>
      <c r="AF225" s="560">
        <v>10317.678438000001</v>
      </c>
      <c r="AG225" s="560">
        <v>11919.456072999999</v>
      </c>
      <c r="AH225" s="560">
        <v>2989.8320880000001</v>
      </c>
      <c r="AI225" s="560">
        <v>0</v>
      </c>
      <c r="AJ225" s="560">
        <v>648.23010999999997</v>
      </c>
      <c r="AK225" s="560">
        <v>0</v>
      </c>
      <c r="AL225" s="560">
        <v>200.75</v>
      </c>
      <c r="AM225" s="560">
        <v>0</v>
      </c>
      <c r="AN225" s="560">
        <v>0</v>
      </c>
      <c r="AO225" s="560">
        <v>0</v>
      </c>
      <c r="AP225" s="560">
        <v>0</v>
      </c>
      <c r="AQ225" s="560" t="s">
        <v>1802</v>
      </c>
      <c r="AR225" s="560" t="s">
        <v>1729</v>
      </c>
      <c r="AS225" s="560">
        <v>0</v>
      </c>
      <c r="AT225" s="560">
        <v>0</v>
      </c>
      <c r="AU225" s="560">
        <v>0</v>
      </c>
      <c r="AV225" s="560">
        <v>69</v>
      </c>
      <c r="AW225" s="560">
        <v>64</v>
      </c>
      <c r="AX225" s="560">
        <v>74</v>
      </c>
      <c r="AY225" s="560">
        <v>78</v>
      </c>
      <c r="AZ225" s="560">
        <v>1</v>
      </c>
      <c r="BA225" s="560">
        <v>2085</v>
      </c>
      <c r="BB225" s="560">
        <v>0</v>
      </c>
      <c r="BC225" s="560">
        <v>0.5</v>
      </c>
      <c r="BD225" s="560">
        <v>0</v>
      </c>
      <c r="BE225" s="560" t="s">
        <v>1798</v>
      </c>
      <c r="BF225" s="560">
        <v>3</v>
      </c>
      <c r="BG225" s="560">
        <v>13</v>
      </c>
      <c r="BH225" s="560">
        <v>1</v>
      </c>
      <c r="BI225" s="560">
        <v>2</v>
      </c>
      <c r="BJ225" s="560">
        <v>35</v>
      </c>
      <c r="BK225" s="560">
        <v>0</v>
      </c>
      <c r="BL225" s="560" t="s">
        <v>1716</v>
      </c>
      <c r="BM225" s="560">
        <v>0.05</v>
      </c>
      <c r="BN225" s="560">
        <v>200</v>
      </c>
      <c r="BO225" s="560">
        <v>20</v>
      </c>
      <c r="BP225" s="560" t="s">
        <v>1717</v>
      </c>
      <c r="BQ225" s="560">
        <v>0</v>
      </c>
      <c r="BR225" s="560">
        <v>0</v>
      </c>
      <c r="BS225" s="560">
        <v>555</v>
      </c>
      <c r="BT225" s="560">
        <v>1568</v>
      </c>
      <c r="BU225" s="560">
        <v>12544</v>
      </c>
      <c r="BV225" s="560">
        <v>0</v>
      </c>
      <c r="BW225" s="560">
        <v>0</v>
      </c>
      <c r="BX225" s="560">
        <v>1344</v>
      </c>
      <c r="BY225" s="560">
        <v>12.82</v>
      </c>
      <c r="BZ225" s="560">
        <v>1568</v>
      </c>
      <c r="CA225" s="560">
        <v>26.5</v>
      </c>
      <c r="CB225" s="560">
        <v>0.85</v>
      </c>
      <c r="CC225" s="560">
        <v>49</v>
      </c>
      <c r="CD225" s="560">
        <v>49</v>
      </c>
      <c r="CE225" s="560">
        <v>49</v>
      </c>
      <c r="CF225" s="560">
        <v>49</v>
      </c>
      <c r="CG225" s="560">
        <v>0.29299999999999998</v>
      </c>
      <c r="CH225" s="560">
        <v>0.3</v>
      </c>
      <c r="CI225" s="560">
        <v>0.54</v>
      </c>
      <c r="CJ225" s="560">
        <v>40</v>
      </c>
      <c r="CK225" s="560">
        <v>5</v>
      </c>
      <c r="CL225" s="560">
        <v>1</v>
      </c>
      <c r="CM225" s="562">
        <v>1568</v>
      </c>
      <c r="CN225" s="562">
        <v>168</v>
      </c>
      <c r="CO225" s="562">
        <v>20.45</v>
      </c>
      <c r="CP225" s="562">
        <v>0</v>
      </c>
      <c r="CQ225" s="562">
        <v>0</v>
      </c>
      <c r="CR225" s="562" t="s">
        <v>1718</v>
      </c>
      <c r="CS225" s="562">
        <v>0</v>
      </c>
      <c r="CT225" s="562">
        <v>0</v>
      </c>
      <c r="CU225" s="562">
        <v>0.75</v>
      </c>
      <c r="CV225" s="562">
        <v>2</v>
      </c>
      <c r="CW225" s="562">
        <v>1.75</v>
      </c>
      <c r="CX225" s="562">
        <v>1</v>
      </c>
      <c r="CY225" s="562">
        <v>0.65</v>
      </c>
      <c r="CZ225" s="560">
        <v>1463.4666669999999</v>
      </c>
      <c r="DA225" s="560">
        <v>8.5</v>
      </c>
      <c r="DB225" s="560" t="s">
        <v>1719</v>
      </c>
      <c r="DC225" s="560">
        <v>50</v>
      </c>
      <c r="DD225" s="560">
        <v>4</v>
      </c>
      <c r="DE225" s="560" t="s">
        <v>1720</v>
      </c>
      <c r="DF225" s="560">
        <v>5</v>
      </c>
      <c r="DG225" s="560">
        <v>0</v>
      </c>
      <c r="DH225" s="560">
        <v>4.5</v>
      </c>
      <c r="DI225" s="560">
        <v>4.5</v>
      </c>
      <c r="DJ225" s="560">
        <v>0</v>
      </c>
      <c r="DK225" s="560">
        <v>0</v>
      </c>
      <c r="DL225" s="560">
        <v>0</v>
      </c>
      <c r="DM225" s="560">
        <v>0</v>
      </c>
      <c r="DN225" s="560">
        <v>0</v>
      </c>
      <c r="DO225" s="560">
        <v>0</v>
      </c>
    </row>
    <row r="226" spans="1:119" hidden="1">
      <c r="A226" s="560" t="s">
        <v>1803</v>
      </c>
      <c r="B226" s="560" t="s">
        <v>1713</v>
      </c>
      <c r="C226" s="560" t="s">
        <v>779</v>
      </c>
      <c r="D226" s="560">
        <v>3</v>
      </c>
      <c r="E226" s="560">
        <v>380.36877700000002</v>
      </c>
      <c r="F226" s="560">
        <v>57.832349999999998</v>
      </c>
      <c r="G226" s="560">
        <v>6644.9655000000002</v>
      </c>
      <c r="H226" s="560">
        <v>139.9665</v>
      </c>
      <c r="I226" s="560">
        <v>0.91800700000000002</v>
      </c>
      <c r="J226" s="560">
        <v>0.29269899999999999</v>
      </c>
      <c r="K226" s="560">
        <v>0.30793599999999999</v>
      </c>
      <c r="L226" s="560">
        <v>0.44261499999999998</v>
      </c>
      <c r="M226" s="560">
        <v>11913.005952</v>
      </c>
      <c r="N226" s="560">
        <v>13259.585587</v>
      </c>
      <c r="O226" s="560">
        <v>3655.5264950000001</v>
      </c>
      <c r="P226" s="560">
        <v>6.3975730000000004</v>
      </c>
      <c r="Q226" s="560">
        <v>321.28928000000002</v>
      </c>
      <c r="R226" s="560">
        <v>1404.484641</v>
      </c>
      <c r="S226" s="560">
        <v>905.165795</v>
      </c>
      <c r="T226" s="560">
        <v>1158.5441040000001</v>
      </c>
      <c r="U226" s="560">
        <v>275.59807499999999</v>
      </c>
      <c r="V226" s="560">
        <v>44.971507000000003</v>
      </c>
      <c r="W226" s="560">
        <v>16.495432000000001</v>
      </c>
      <c r="X226" s="560">
        <v>0</v>
      </c>
      <c r="Y226" s="560">
        <v>26.759914999999999</v>
      </c>
      <c r="Z226" s="560">
        <v>116.978348</v>
      </c>
      <c r="AA226" s="560">
        <v>31722.327138000001</v>
      </c>
      <c r="AB226" s="560">
        <v>36166.639035</v>
      </c>
      <c r="AC226" s="560">
        <v>13503.734649</v>
      </c>
      <c r="AD226" s="560">
        <v>5571.2995819999996</v>
      </c>
      <c r="AE226" s="560">
        <v>780.52759700000001</v>
      </c>
      <c r="AF226" s="560">
        <v>10730.972669000001</v>
      </c>
      <c r="AG226" s="560">
        <v>12355.321277999999</v>
      </c>
      <c r="AH226" s="560">
        <v>3096.8272510000002</v>
      </c>
      <c r="AI226" s="560">
        <v>0</v>
      </c>
      <c r="AJ226" s="560">
        <v>724.55810499999995</v>
      </c>
      <c r="AK226" s="560">
        <v>0</v>
      </c>
      <c r="AL226" s="560">
        <v>200.75</v>
      </c>
      <c r="AM226" s="560">
        <v>0</v>
      </c>
      <c r="AN226" s="560">
        <v>0</v>
      </c>
      <c r="AO226" s="560">
        <v>0</v>
      </c>
      <c r="AP226" s="560">
        <v>0</v>
      </c>
      <c r="AQ226" s="560" t="s">
        <v>1803</v>
      </c>
      <c r="AR226" s="560" t="s">
        <v>1729</v>
      </c>
      <c r="AS226" s="560">
        <v>0</v>
      </c>
      <c r="AT226" s="560">
        <v>0</v>
      </c>
      <c r="AU226" s="560">
        <v>0</v>
      </c>
      <c r="AV226" s="560">
        <v>69</v>
      </c>
      <c r="AW226" s="560">
        <v>64</v>
      </c>
      <c r="AX226" s="560">
        <v>74</v>
      </c>
      <c r="AY226" s="560">
        <v>78</v>
      </c>
      <c r="AZ226" s="560">
        <v>1</v>
      </c>
      <c r="BA226" s="560">
        <v>2085</v>
      </c>
      <c r="BB226" s="560">
        <v>0</v>
      </c>
      <c r="BC226" s="560">
        <v>0.5</v>
      </c>
      <c r="BD226" s="560">
        <v>0</v>
      </c>
      <c r="BE226" s="560" t="s">
        <v>1798</v>
      </c>
      <c r="BF226" s="560">
        <v>3</v>
      </c>
      <c r="BG226" s="560">
        <v>13</v>
      </c>
      <c r="BH226" s="560">
        <v>1</v>
      </c>
      <c r="BI226" s="560">
        <v>2</v>
      </c>
      <c r="BJ226" s="560">
        <v>35</v>
      </c>
      <c r="BK226" s="560">
        <v>0</v>
      </c>
      <c r="BL226" s="560" t="s">
        <v>1716</v>
      </c>
      <c r="BM226" s="560">
        <v>0.05</v>
      </c>
      <c r="BN226" s="560">
        <v>200</v>
      </c>
      <c r="BO226" s="560">
        <v>20</v>
      </c>
      <c r="BP226" s="560" t="s">
        <v>1717</v>
      </c>
      <c r="BQ226" s="560">
        <v>0</v>
      </c>
      <c r="BR226" s="560">
        <v>0</v>
      </c>
      <c r="BS226" s="560">
        <v>555</v>
      </c>
      <c r="BT226" s="560">
        <v>1568</v>
      </c>
      <c r="BU226" s="560">
        <v>12544</v>
      </c>
      <c r="BV226" s="560">
        <v>0</v>
      </c>
      <c r="BW226" s="560">
        <v>0</v>
      </c>
      <c r="BX226" s="560">
        <v>1344</v>
      </c>
      <c r="BY226" s="560">
        <v>10.3</v>
      </c>
      <c r="BZ226" s="560">
        <v>1568</v>
      </c>
      <c r="CA226" s="560">
        <v>26.5</v>
      </c>
      <c r="CB226" s="560">
        <v>0.85</v>
      </c>
      <c r="CC226" s="560">
        <v>49</v>
      </c>
      <c r="CD226" s="560">
        <v>49</v>
      </c>
      <c r="CE226" s="560">
        <v>49</v>
      </c>
      <c r="CF226" s="560">
        <v>49</v>
      </c>
      <c r="CG226" s="560">
        <v>0.29299999999999998</v>
      </c>
      <c r="CH226" s="560">
        <v>0.3</v>
      </c>
      <c r="CI226" s="560">
        <v>0.54</v>
      </c>
      <c r="CJ226" s="560">
        <v>40</v>
      </c>
      <c r="CK226" s="560">
        <v>5</v>
      </c>
      <c r="CL226" s="560">
        <v>1</v>
      </c>
      <c r="CM226" s="562">
        <v>1568</v>
      </c>
      <c r="CN226" s="562">
        <v>168</v>
      </c>
      <c r="CO226" s="562">
        <v>15.8</v>
      </c>
      <c r="CP226" s="562">
        <v>0</v>
      </c>
      <c r="CQ226" s="562">
        <v>0</v>
      </c>
      <c r="CR226" s="562" t="s">
        <v>1718</v>
      </c>
      <c r="CS226" s="562">
        <v>0</v>
      </c>
      <c r="CT226" s="562">
        <v>0</v>
      </c>
      <c r="CU226" s="562">
        <v>0.75</v>
      </c>
      <c r="CV226" s="562">
        <v>2</v>
      </c>
      <c r="CW226" s="562">
        <v>1.75</v>
      </c>
      <c r="CX226" s="562">
        <v>1</v>
      </c>
      <c r="CY226" s="562">
        <v>0.65</v>
      </c>
      <c r="CZ226" s="560">
        <v>1463.4666669999999</v>
      </c>
      <c r="DA226" s="560">
        <v>8.5</v>
      </c>
      <c r="DB226" s="560" t="s">
        <v>1719</v>
      </c>
      <c r="DC226" s="560">
        <v>50</v>
      </c>
      <c r="DD226" s="560">
        <v>4</v>
      </c>
      <c r="DE226" s="560" t="s">
        <v>1720</v>
      </c>
      <c r="DF226" s="560">
        <v>5</v>
      </c>
      <c r="DG226" s="560">
        <v>0</v>
      </c>
      <c r="DH226" s="560">
        <v>4.5</v>
      </c>
      <c r="DI226" s="560">
        <v>4.5</v>
      </c>
      <c r="DJ226" s="560">
        <v>0</v>
      </c>
      <c r="DK226" s="560">
        <v>0</v>
      </c>
      <c r="DL226" s="560">
        <v>0</v>
      </c>
      <c r="DM226" s="560">
        <v>0</v>
      </c>
      <c r="DN226" s="560">
        <v>0</v>
      </c>
      <c r="DO226" s="560">
        <v>0</v>
      </c>
    </row>
    <row r="227" spans="1:119" hidden="1">
      <c r="A227" s="560" t="s">
        <v>1804</v>
      </c>
      <c r="B227" s="560" t="s">
        <v>1713</v>
      </c>
      <c r="C227" s="560" t="s">
        <v>794</v>
      </c>
      <c r="D227" s="560">
        <v>3</v>
      </c>
      <c r="E227" s="560">
        <v>338.77373399999999</v>
      </c>
      <c r="F227" s="560">
        <v>56.415711000000002</v>
      </c>
      <c r="G227" s="560">
        <v>7927.5</v>
      </c>
      <c r="H227" s="560">
        <v>139.9665</v>
      </c>
      <c r="I227" s="560">
        <v>0.90101900000000001</v>
      </c>
      <c r="J227" s="560">
        <v>0.28462999999999999</v>
      </c>
      <c r="K227" s="560">
        <v>0.301734</v>
      </c>
      <c r="L227" s="560">
        <v>0.445936</v>
      </c>
      <c r="M227" s="560">
        <v>12781.540482</v>
      </c>
      <c r="N227" s="560">
        <v>14324.883596</v>
      </c>
      <c r="O227" s="560">
        <v>3943.8688109999998</v>
      </c>
      <c r="P227" s="560">
        <v>15.37575</v>
      </c>
      <c r="Q227" s="560">
        <v>346.20995499999998</v>
      </c>
      <c r="R227" s="560">
        <v>1513.4229339999999</v>
      </c>
      <c r="S227" s="560">
        <v>984.94438200000002</v>
      </c>
      <c r="T227" s="560">
        <v>1264.0962689999999</v>
      </c>
      <c r="U227" s="560">
        <v>300.05166300000002</v>
      </c>
      <c r="V227" s="560">
        <v>49.976511000000002</v>
      </c>
      <c r="W227" s="560">
        <v>16.784789</v>
      </c>
      <c r="X227" s="560">
        <v>0</v>
      </c>
      <c r="Y227" s="560">
        <v>29.155737999999999</v>
      </c>
      <c r="Z227" s="560">
        <v>127.451457</v>
      </c>
      <c r="AA227" s="560">
        <v>31885.768634</v>
      </c>
      <c r="AB227" s="560">
        <v>36362.335767999997</v>
      </c>
      <c r="AC227" s="560">
        <v>17369.044402</v>
      </c>
      <c r="AD227" s="560">
        <v>9580.7455000000009</v>
      </c>
      <c r="AE227" s="560">
        <v>780.52759700000001</v>
      </c>
      <c r="AF227" s="560">
        <v>10317.678438000001</v>
      </c>
      <c r="AG227" s="560">
        <v>11919.456072999999</v>
      </c>
      <c r="AH227" s="560">
        <v>2989.8320880000001</v>
      </c>
      <c r="AI227" s="560">
        <v>0</v>
      </c>
      <c r="AJ227" s="560">
        <v>746.97371299999998</v>
      </c>
      <c r="AK227" s="560">
        <v>0</v>
      </c>
      <c r="AL227" s="560">
        <v>200.75</v>
      </c>
      <c r="AM227" s="560">
        <v>0</v>
      </c>
      <c r="AN227" s="560">
        <v>0</v>
      </c>
      <c r="AO227" s="560">
        <v>0</v>
      </c>
      <c r="AP227" s="560">
        <v>0</v>
      </c>
      <c r="AQ227" s="560" t="s">
        <v>1804</v>
      </c>
      <c r="AR227" s="560" t="s">
        <v>1738</v>
      </c>
      <c r="AS227" s="560">
        <v>0</v>
      </c>
      <c r="AT227" s="560">
        <v>0</v>
      </c>
      <c r="AU227" s="560">
        <v>0</v>
      </c>
      <c r="AV227" s="560">
        <v>69</v>
      </c>
      <c r="AW227" s="560">
        <v>64</v>
      </c>
      <c r="AX227" s="560">
        <v>74</v>
      </c>
      <c r="AY227" s="560">
        <v>78</v>
      </c>
      <c r="AZ227" s="560">
        <v>1</v>
      </c>
      <c r="BA227" s="560">
        <v>2085</v>
      </c>
      <c r="BB227" s="560">
        <v>0</v>
      </c>
      <c r="BC227" s="560">
        <v>0.5</v>
      </c>
      <c r="BD227" s="560">
        <v>0</v>
      </c>
      <c r="BE227" s="560" t="s">
        <v>1798</v>
      </c>
      <c r="BF227" s="560">
        <v>3</v>
      </c>
      <c r="BG227" s="560">
        <v>13</v>
      </c>
      <c r="BH227" s="560">
        <v>1</v>
      </c>
      <c r="BI227" s="560">
        <v>2</v>
      </c>
      <c r="BJ227" s="560">
        <v>35</v>
      </c>
      <c r="BK227" s="560">
        <v>0</v>
      </c>
      <c r="BL227" s="560" t="s">
        <v>1716</v>
      </c>
      <c r="BM227" s="560">
        <v>0.05</v>
      </c>
      <c r="BN227" s="560">
        <v>200</v>
      </c>
      <c r="BO227" s="560">
        <v>20</v>
      </c>
      <c r="BP227" s="560" t="s">
        <v>1717</v>
      </c>
      <c r="BQ227" s="560">
        <v>0</v>
      </c>
      <c r="BR227" s="560">
        <v>0</v>
      </c>
      <c r="BS227" s="560">
        <v>555</v>
      </c>
      <c r="BT227" s="560">
        <v>1568</v>
      </c>
      <c r="BU227" s="560">
        <v>12544</v>
      </c>
      <c r="BV227" s="560">
        <v>0</v>
      </c>
      <c r="BW227" s="560">
        <v>0</v>
      </c>
      <c r="BX227" s="560">
        <v>1344</v>
      </c>
      <c r="BY227" s="560">
        <v>12.82</v>
      </c>
      <c r="BZ227" s="560">
        <v>1568</v>
      </c>
      <c r="CA227" s="560">
        <v>26.5</v>
      </c>
      <c r="CB227" s="560">
        <v>0.85</v>
      </c>
      <c r="CC227" s="560">
        <v>49</v>
      </c>
      <c r="CD227" s="560">
        <v>49</v>
      </c>
      <c r="CE227" s="560">
        <v>49</v>
      </c>
      <c r="CF227" s="560">
        <v>49</v>
      </c>
      <c r="CG227" s="560">
        <v>0.29299999999999998</v>
      </c>
      <c r="CH227" s="560">
        <v>0.3</v>
      </c>
      <c r="CI227" s="560">
        <v>0.54</v>
      </c>
      <c r="CJ227" s="560">
        <v>40</v>
      </c>
      <c r="CK227" s="560">
        <v>5</v>
      </c>
      <c r="CL227" s="560">
        <v>1</v>
      </c>
      <c r="CM227" s="562">
        <v>1568</v>
      </c>
      <c r="CN227" s="562">
        <v>168</v>
      </c>
      <c r="CO227" s="562">
        <v>20.45</v>
      </c>
      <c r="CP227" s="562">
        <v>0</v>
      </c>
      <c r="CQ227" s="562">
        <v>0</v>
      </c>
      <c r="CR227" s="562" t="s">
        <v>1718</v>
      </c>
      <c r="CS227" s="562">
        <v>0</v>
      </c>
      <c r="CT227" s="562">
        <v>0</v>
      </c>
      <c r="CU227" s="562">
        <v>0.75</v>
      </c>
      <c r="CV227" s="562">
        <v>2</v>
      </c>
      <c r="CW227" s="562">
        <v>1.75</v>
      </c>
      <c r="CX227" s="562">
        <v>1</v>
      </c>
      <c r="CY227" s="562">
        <v>0.65</v>
      </c>
      <c r="CZ227" s="560">
        <v>1463.4666669999999</v>
      </c>
      <c r="DA227" s="560">
        <v>8.5</v>
      </c>
      <c r="DB227" s="560" t="s">
        <v>1719</v>
      </c>
      <c r="DC227" s="560">
        <v>50</v>
      </c>
      <c r="DD227" s="560">
        <v>4</v>
      </c>
      <c r="DE227" s="560" t="s">
        <v>1720</v>
      </c>
      <c r="DF227" s="560">
        <v>5</v>
      </c>
      <c r="DG227" s="560">
        <v>0</v>
      </c>
      <c r="DH227" s="560">
        <v>4.5</v>
      </c>
      <c r="DI227" s="560">
        <v>4.5</v>
      </c>
      <c r="DJ227" s="560">
        <v>0</v>
      </c>
      <c r="DK227" s="560">
        <v>0</v>
      </c>
      <c r="DL227" s="560">
        <v>0</v>
      </c>
      <c r="DM227" s="560">
        <v>0</v>
      </c>
      <c r="DN227" s="560">
        <v>0</v>
      </c>
      <c r="DO227" s="560">
        <v>0</v>
      </c>
    </row>
    <row r="228" spans="1:119" hidden="1">
      <c r="A228" s="560" t="s">
        <v>1805</v>
      </c>
      <c r="B228" s="560" t="s">
        <v>1713</v>
      </c>
      <c r="C228" s="560" t="s">
        <v>794</v>
      </c>
      <c r="D228" s="560">
        <v>3</v>
      </c>
      <c r="E228" s="560">
        <v>377.91815100000002</v>
      </c>
      <c r="F228" s="560">
        <v>57.286997999999997</v>
      </c>
      <c r="G228" s="560">
        <v>7927.5</v>
      </c>
      <c r="H228" s="560">
        <v>139.9665</v>
      </c>
      <c r="I228" s="560">
        <v>0.90101900000000001</v>
      </c>
      <c r="J228" s="560">
        <v>0.288051</v>
      </c>
      <c r="K228" s="560">
        <v>0.30227999999999999</v>
      </c>
      <c r="L228" s="560">
        <v>0.45507599999999998</v>
      </c>
      <c r="M228" s="560">
        <v>14594.142153999999</v>
      </c>
      <c r="N228" s="560">
        <v>16334.557573</v>
      </c>
      <c r="O228" s="560">
        <v>4482.0259800000003</v>
      </c>
      <c r="P228" s="560">
        <v>29.515982000000001</v>
      </c>
      <c r="Q228" s="560">
        <v>393.80564500000003</v>
      </c>
      <c r="R228" s="560">
        <v>1721.4828359999999</v>
      </c>
      <c r="S228" s="560">
        <v>905.165795</v>
      </c>
      <c r="T228" s="560">
        <v>1158.5441040000001</v>
      </c>
      <c r="U228" s="560">
        <v>275.59807499999999</v>
      </c>
      <c r="V228" s="560">
        <v>44.971507000000003</v>
      </c>
      <c r="W228" s="560">
        <v>16.495432000000001</v>
      </c>
      <c r="X228" s="560">
        <v>0</v>
      </c>
      <c r="Y228" s="560">
        <v>26.759914999999999</v>
      </c>
      <c r="Z228" s="560">
        <v>116.978348</v>
      </c>
      <c r="AA228" s="560">
        <v>33811.457352999998</v>
      </c>
      <c r="AB228" s="560">
        <v>38436.626378000001</v>
      </c>
      <c r="AC228" s="560">
        <v>19443.335010999999</v>
      </c>
      <c r="AD228" s="560">
        <v>11655.036109999999</v>
      </c>
      <c r="AE228" s="560">
        <v>780.52759700000001</v>
      </c>
      <c r="AF228" s="560">
        <v>10730.972669000001</v>
      </c>
      <c r="AG228" s="560">
        <v>12355.321277999999</v>
      </c>
      <c r="AH228" s="560">
        <v>3096.8272510000002</v>
      </c>
      <c r="AI228" s="560">
        <v>0</v>
      </c>
      <c r="AJ228" s="560">
        <v>837.33352400000001</v>
      </c>
      <c r="AK228" s="560">
        <v>0</v>
      </c>
      <c r="AL228" s="560">
        <v>200.75</v>
      </c>
      <c r="AM228" s="560">
        <v>0</v>
      </c>
      <c r="AN228" s="560">
        <v>0</v>
      </c>
      <c r="AO228" s="560">
        <v>0</v>
      </c>
      <c r="AP228" s="560">
        <v>0</v>
      </c>
      <c r="AQ228" s="560" t="s">
        <v>1805</v>
      </c>
      <c r="AR228" s="560" t="s">
        <v>1738</v>
      </c>
      <c r="AS228" s="560">
        <v>0</v>
      </c>
      <c r="AT228" s="560">
        <v>0</v>
      </c>
      <c r="AU228" s="560">
        <v>0</v>
      </c>
      <c r="AV228" s="560">
        <v>69</v>
      </c>
      <c r="AW228" s="560">
        <v>64</v>
      </c>
      <c r="AX228" s="560">
        <v>74</v>
      </c>
      <c r="AY228" s="560">
        <v>78</v>
      </c>
      <c r="AZ228" s="560">
        <v>1</v>
      </c>
      <c r="BA228" s="560">
        <v>2085</v>
      </c>
      <c r="BB228" s="560">
        <v>0</v>
      </c>
      <c r="BC228" s="560">
        <v>0.5</v>
      </c>
      <c r="BD228" s="560">
        <v>0</v>
      </c>
      <c r="BE228" s="560" t="s">
        <v>1798</v>
      </c>
      <c r="BF228" s="560">
        <v>3</v>
      </c>
      <c r="BG228" s="560">
        <v>13</v>
      </c>
      <c r="BH228" s="560">
        <v>1</v>
      </c>
      <c r="BI228" s="560">
        <v>2</v>
      </c>
      <c r="BJ228" s="560">
        <v>35</v>
      </c>
      <c r="BK228" s="560">
        <v>0</v>
      </c>
      <c r="BL228" s="560" t="s">
        <v>1716</v>
      </c>
      <c r="BM228" s="560">
        <v>0.05</v>
      </c>
      <c r="BN228" s="560">
        <v>200</v>
      </c>
      <c r="BO228" s="560">
        <v>20</v>
      </c>
      <c r="BP228" s="560" t="s">
        <v>1717</v>
      </c>
      <c r="BQ228" s="560">
        <v>0</v>
      </c>
      <c r="BR228" s="560">
        <v>0</v>
      </c>
      <c r="BS228" s="560">
        <v>555</v>
      </c>
      <c r="BT228" s="560">
        <v>1568</v>
      </c>
      <c r="BU228" s="560">
        <v>12544</v>
      </c>
      <c r="BV228" s="560">
        <v>0</v>
      </c>
      <c r="BW228" s="560">
        <v>0</v>
      </c>
      <c r="BX228" s="560">
        <v>1344</v>
      </c>
      <c r="BY228" s="560">
        <v>10.3</v>
      </c>
      <c r="BZ228" s="560">
        <v>1568</v>
      </c>
      <c r="CA228" s="560">
        <v>26.5</v>
      </c>
      <c r="CB228" s="560">
        <v>0.85</v>
      </c>
      <c r="CC228" s="560">
        <v>49</v>
      </c>
      <c r="CD228" s="560">
        <v>49</v>
      </c>
      <c r="CE228" s="560">
        <v>49</v>
      </c>
      <c r="CF228" s="560">
        <v>49</v>
      </c>
      <c r="CG228" s="560">
        <v>0.29299999999999998</v>
      </c>
      <c r="CH228" s="560">
        <v>0.3</v>
      </c>
      <c r="CI228" s="560">
        <v>0.54</v>
      </c>
      <c r="CJ228" s="560">
        <v>40</v>
      </c>
      <c r="CK228" s="560">
        <v>5</v>
      </c>
      <c r="CL228" s="560">
        <v>1</v>
      </c>
      <c r="CM228" s="562">
        <v>1568</v>
      </c>
      <c r="CN228" s="562">
        <v>168</v>
      </c>
      <c r="CO228" s="562">
        <v>15.8</v>
      </c>
      <c r="CP228" s="562">
        <v>0</v>
      </c>
      <c r="CQ228" s="562">
        <v>0</v>
      </c>
      <c r="CR228" s="562" t="s">
        <v>1718</v>
      </c>
      <c r="CS228" s="562">
        <v>0</v>
      </c>
      <c r="CT228" s="562">
        <v>0</v>
      </c>
      <c r="CU228" s="562">
        <v>0.75</v>
      </c>
      <c r="CV228" s="562">
        <v>2</v>
      </c>
      <c r="CW228" s="562">
        <v>1.75</v>
      </c>
      <c r="CX228" s="562">
        <v>1</v>
      </c>
      <c r="CY228" s="562">
        <v>0.65</v>
      </c>
      <c r="CZ228" s="560">
        <v>1463.4666669999999</v>
      </c>
      <c r="DA228" s="560">
        <v>8.5</v>
      </c>
      <c r="DB228" s="560" t="s">
        <v>1719</v>
      </c>
      <c r="DC228" s="560">
        <v>50</v>
      </c>
      <c r="DD228" s="560">
        <v>4</v>
      </c>
      <c r="DE228" s="560" t="s">
        <v>1720</v>
      </c>
      <c r="DF228" s="560">
        <v>5</v>
      </c>
      <c r="DG228" s="560">
        <v>0</v>
      </c>
      <c r="DH228" s="560">
        <v>4.5</v>
      </c>
      <c r="DI228" s="560">
        <v>4.5</v>
      </c>
      <c r="DJ228" s="560">
        <v>0</v>
      </c>
      <c r="DK228" s="560">
        <v>0</v>
      </c>
      <c r="DL228" s="560">
        <v>0</v>
      </c>
      <c r="DM228" s="560">
        <v>0</v>
      </c>
      <c r="DN228" s="560">
        <v>0</v>
      </c>
      <c r="DO228" s="560">
        <v>0</v>
      </c>
    </row>
    <row r="229" spans="1:119" hidden="1">
      <c r="A229" s="560" t="s">
        <v>1806</v>
      </c>
      <c r="B229" s="560" t="s">
        <v>1713</v>
      </c>
      <c r="C229" s="560" t="s">
        <v>764</v>
      </c>
      <c r="D229" s="560">
        <v>3</v>
      </c>
      <c r="E229" s="560">
        <v>418.83679100000001</v>
      </c>
      <c r="F229" s="560">
        <v>57.866124999999997</v>
      </c>
      <c r="G229" s="560">
        <v>4974.4274999999998</v>
      </c>
      <c r="H229" s="560">
        <v>139.9665</v>
      </c>
      <c r="I229" s="560">
        <v>0.968943</v>
      </c>
      <c r="J229" s="560">
        <v>0.28291100000000002</v>
      </c>
      <c r="K229" s="560">
        <v>0.31049100000000002</v>
      </c>
      <c r="L229" s="560">
        <v>0.458152</v>
      </c>
      <c r="M229" s="560">
        <v>8892.8085370000008</v>
      </c>
      <c r="N229" s="560">
        <v>10789.715114000001</v>
      </c>
      <c r="O229" s="560">
        <v>3000.3639880000001</v>
      </c>
      <c r="P229" s="560">
        <v>78.706317999999996</v>
      </c>
      <c r="Q229" s="560">
        <v>260.41842700000001</v>
      </c>
      <c r="R229" s="560">
        <v>1138.3936670000001</v>
      </c>
      <c r="S229" s="560">
        <v>1357.898901</v>
      </c>
      <c r="T229" s="560">
        <v>1748.5255990000001</v>
      </c>
      <c r="U229" s="560">
        <v>412.39656400000001</v>
      </c>
      <c r="V229" s="560">
        <v>46.019109999999998</v>
      </c>
      <c r="W229" s="560">
        <v>11.263153000000001</v>
      </c>
      <c r="X229" s="560">
        <v>0</v>
      </c>
      <c r="Y229" s="560">
        <v>40.442037999999997</v>
      </c>
      <c r="Z229" s="560">
        <v>176.78841</v>
      </c>
      <c r="AA229" s="560">
        <v>37974.819201999999</v>
      </c>
      <c r="AB229" s="560">
        <v>46551.124800999998</v>
      </c>
      <c r="AC229" s="560">
        <v>25275.552968</v>
      </c>
      <c r="AD229" s="560">
        <v>17516.442942999998</v>
      </c>
      <c r="AE229" s="560">
        <v>780.52759700000001</v>
      </c>
      <c r="AF229" s="560">
        <v>14022.229058999999</v>
      </c>
      <c r="AG229" s="560">
        <v>17255.820118</v>
      </c>
      <c r="AH229" s="560">
        <v>4215.7776350000004</v>
      </c>
      <c r="AI229" s="560">
        <v>0</v>
      </c>
      <c r="AJ229" s="560">
        <v>626.17856200000006</v>
      </c>
      <c r="AK229" s="560">
        <v>0</v>
      </c>
      <c r="AL229" s="560">
        <v>200.75</v>
      </c>
      <c r="AM229" s="560">
        <v>0</v>
      </c>
      <c r="AN229" s="560">
        <v>0</v>
      </c>
      <c r="AO229" s="560">
        <v>0</v>
      </c>
      <c r="AP229" s="560">
        <v>0</v>
      </c>
      <c r="AQ229" s="560" t="s">
        <v>1806</v>
      </c>
      <c r="AR229" s="560" t="s">
        <v>1714</v>
      </c>
      <c r="AS229" s="560">
        <v>0</v>
      </c>
      <c r="AT229" s="560">
        <v>0</v>
      </c>
      <c r="AU229" s="560">
        <v>0</v>
      </c>
      <c r="AV229" s="560">
        <v>69</v>
      </c>
      <c r="AW229" s="560">
        <v>64</v>
      </c>
      <c r="AX229" s="560">
        <v>74</v>
      </c>
      <c r="AY229" s="560">
        <v>78</v>
      </c>
      <c r="AZ229" s="560">
        <v>1</v>
      </c>
      <c r="BA229" s="560">
        <v>2268</v>
      </c>
      <c r="BB229" s="560">
        <v>0</v>
      </c>
      <c r="BC229" s="560">
        <v>0.5</v>
      </c>
      <c r="BD229" s="560">
        <v>0</v>
      </c>
      <c r="BE229" s="560" t="s">
        <v>1798</v>
      </c>
      <c r="BF229" s="560">
        <v>3</v>
      </c>
      <c r="BG229" s="560">
        <v>17.399999999999999</v>
      </c>
      <c r="BH229" s="560">
        <v>1</v>
      </c>
      <c r="BI229" s="560">
        <v>2</v>
      </c>
      <c r="BJ229" s="560">
        <v>35</v>
      </c>
      <c r="BK229" s="560">
        <v>0</v>
      </c>
      <c r="BL229" s="560" t="s">
        <v>1716</v>
      </c>
      <c r="BM229" s="560">
        <v>0.06</v>
      </c>
      <c r="BN229" s="560">
        <v>300</v>
      </c>
      <c r="BO229" s="560">
        <v>6</v>
      </c>
      <c r="BP229" s="560" t="s">
        <v>1747</v>
      </c>
      <c r="BQ229" s="560">
        <v>0.03</v>
      </c>
      <c r="BR229" s="560">
        <v>80</v>
      </c>
      <c r="BS229" s="560">
        <v>6</v>
      </c>
      <c r="BT229" s="560">
        <v>2200</v>
      </c>
      <c r="BU229" s="560">
        <v>18700</v>
      </c>
      <c r="BV229" s="560">
        <v>200</v>
      </c>
      <c r="BW229" s="560">
        <v>30.609376350000002</v>
      </c>
      <c r="BX229" s="560">
        <v>2210</v>
      </c>
      <c r="BY229" s="560">
        <v>17.543859650000002</v>
      </c>
      <c r="BZ229" s="560">
        <v>1784</v>
      </c>
      <c r="CA229" s="560">
        <v>37.664196859999997</v>
      </c>
      <c r="CB229" s="560">
        <v>0.85</v>
      </c>
      <c r="CC229" s="560">
        <v>91</v>
      </c>
      <c r="CD229" s="560">
        <v>91</v>
      </c>
      <c r="CE229" s="560">
        <v>91</v>
      </c>
      <c r="CF229" s="560">
        <v>91</v>
      </c>
      <c r="CG229" s="560">
        <v>0.29299999999999998</v>
      </c>
      <c r="CH229" s="560">
        <v>0.3</v>
      </c>
      <c r="CI229" s="560">
        <v>0.54</v>
      </c>
      <c r="CJ229" s="560">
        <v>40</v>
      </c>
      <c r="CK229" s="560">
        <v>5</v>
      </c>
      <c r="CL229" s="560">
        <v>1</v>
      </c>
      <c r="CM229" s="562">
        <v>1584</v>
      </c>
      <c r="CN229" s="562">
        <v>160</v>
      </c>
      <c r="CO229" s="562">
        <v>30.609376350000002</v>
      </c>
      <c r="CP229" s="562">
        <v>0</v>
      </c>
      <c r="CQ229" s="562">
        <v>0</v>
      </c>
      <c r="CR229" s="562" t="s">
        <v>1718</v>
      </c>
      <c r="CS229" s="562">
        <v>0</v>
      </c>
      <c r="CT229" s="562">
        <v>0</v>
      </c>
      <c r="CU229" s="562">
        <v>0.75</v>
      </c>
      <c r="CV229" s="562">
        <v>1</v>
      </c>
      <c r="CW229" s="562">
        <v>1.75</v>
      </c>
      <c r="CX229" s="562">
        <v>2</v>
      </c>
      <c r="CY229" s="562">
        <v>1.5</v>
      </c>
      <c r="CZ229" s="560">
        <v>2181.666667</v>
      </c>
      <c r="DA229" s="560">
        <v>11.80555556</v>
      </c>
      <c r="DB229" s="560" t="s">
        <v>1719</v>
      </c>
      <c r="DC229" s="560">
        <v>50</v>
      </c>
      <c r="DD229" s="560">
        <v>4</v>
      </c>
      <c r="DE229" s="560" t="s">
        <v>1720</v>
      </c>
      <c r="DF229" s="560">
        <v>5</v>
      </c>
      <c r="DG229" s="560">
        <v>0</v>
      </c>
      <c r="DH229" s="560">
        <v>4.5</v>
      </c>
      <c r="DI229" s="560">
        <v>4.5</v>
      </c>
      <c r="DJ229" s="560">
        <v>0</v>
      </c>
      <c r="DK229" s="560">
        <v>0</v>
      </c>
      <c r="DL229" s="560">
        <v>0</v>
      </c>
      <c r="DM229" s="560">
        <v>0</v>
      </c>
      <c r="DN229" s="560">
        <v>0</v>
      </c>
      <c r="DO229" s="560">
        <v>0</v>
      </c>
    </row>
    <row r="230" spans="1:119" hidden="1">
      <c r="A230" s="560" t="s">
        <v>814</v>
      </c>
      <c r="B230" s="560" t="s">
        <v>1713</v>
      </c>
      <c r="C230" s="560" t="s">
        <v>764</v>
      </c>
      <c r="D230" s="560">
        <v>3</v>
      </c>
      <c r="E230" s="560">
        <v>484.56612999999999</v>
      </c>
      <c r="F230" s="560">
        <v>58.659314999999999</v>
      </c>
      <c r="G230" s="560">
        <v>4974.4274999999998</v>
      </c>
      <c r="H230" s="560">
        <v>139.9665</v>
      </c>
      <c r="I230" s="560">
        <v>0.968943</v>
      </c>
      <c r="J230" s="560">
        <v>0.28729100000000002</v>
      </c>
      <c r="K230" s="560">
        <v>0.309699</v>
      </c>
      <c r="L230" s="560">
        <v>0.474574</v>
      </c>
      <c r="M230" s="560">
        <v>10861.948256</v>
      </c>
      <c r="N230" s="560">
        <v>13477.263252999999</v>
      </c>
      <c r="O230" s="560">
        <v>3749.2211790000001</v>
      </c>
      <c r="P230" s="560">
        <v>143.70703800000001</v>
      </c>
      <c r="Q230" s="560">
        <v>323.29857299999998</v>
      </c>
      <c r="R230" s="560">
        <v>1413.2680700000001</v>
      </c>
      <c r="S230" s="560">
        <v>1310.8397600000001</v>
      </c>
      <c r="T230" s="560">
        <v>1690.842903</v>
      </c>
      <c r="U230" s="560">
        <v>398.34715699999998</v>
      </c>
      <c r="V230" s="560">
        <v>40.770041999999997</v>
      </c>
      <c r="W230" s="560">
        <v>10.377689</v>
      </c>
      <c r="X230" s="560">
        <v>0</v>
      </c>
      <c r="Y230" s="560">
        <v>39.173439999999999</v>
      </c>
      <c r="Z230" s="560">
        <v>171.24285900000001</v>
      </c>
      <c r="AA230" s="560">
        <v>40656.734763</v>
      </c>
      <c r="AB230" s="560">
        <v>50597.908432999997</v>
      </c>
      <c r="AC230" s="560">
        <v>29253.776956999998</v>
      </c>
      <c r="AD230" s="560">
        <v>21498.903168000001</v>
      </c>
      <c r="AE230" s="560">
        <v>780.52759700000001</v>
      </c>
      <c r="AF230" s="560">
        <v>15392.156999999999</v>
      </c>
      <c r="AG230" s="560">
        <v>19208.936202000001</v>
      </c>
      <c r="AH230" s="560">
        <v>4656.9330550000004</v>
      </c>
      <c r="AI230" s="560">
        <v>3.75</v>
      </c>
      <c r="AJ230" s="560">
        <v>750.151476</v>
      </c>
      <c r="AK230" s="560">
        <v>0</v>
      </c>
      <c r="AL230" s="560">
        <v>200.75</v>
      </c>
      <c r="AM230" s="560">
        <v>0</v>
      </c>
      <c r="AN230" s="560">
        <v>0</v>
      </c>
      <c r="AO230" s="560">
        <v>0</v>
      </c>
      <c r="AP230" s="560">
        <v>0</v>
      </c>
      <c r="AQ230" s="560" t="s">
        <v>814</v>
      </c>
      <c r="AR230" s="560" t="s">
        <v>1714</v>
      </c>
      <c r="AS230" s="560">
        <v>0</v>
      </c>
      <c r="AT230" s="560">
        <v>0</v>
      </c>
      <c r="AU230" s="560">
        <v>0</v>
      </c>
      <c r="AV230" s="560">
        <v>69</v>
      </c>
      <c r="AW230" s="560">
        <v>64</v>
      </c>
      <c r="AX230" s="560">
        <v>74</v>
      </c>
      <c r="AY230" s="560">
        <v>78</v>
      </c>
      <c r="AZ230" s="560">
        <v>1</v>
      </c>
      <c r="BA230" s="560">
        <v>2268</v>
      </c>
      <c r="BB230" s="560">
        <v>0</v>
      </c>
      <c r="BC230" s="560">
        <v>0.5</v>
      </c>
      <c r="BD230" s="560">
        <v>0</v>
      </c>
      <c r="BE230" s="560" t="s">
        <v>1798</v>
      </c>
      <c r="BF230" s="560">
        <v>3</v>
      </c>
      <c r="BG230" s="560">
        <v>17.399999999999999</v>
      </c>
      <c r="BH230" s="560">
        <v>1</v>
      </c>
      <c r="BI230" s="560">
        <v>2</v>
      </c>
      <c r="BJ230" s="560">
        <v>35</v>
      </c>
      <c r="BK230" s="560">
        <v>0</v>
      </c>
      <c r="BL230" s="560" t="s">
        <v>1716</v>
      </c>
      <c r="BM230" s="560">
        <v>0.06</v>
      </c>
      <c r="BN230" s="560">
        <v>300</v>
      </c>
      <c r="BO230" s="560">
        <v>4.5</v>
      </c>
      <c r="BP230" s="560" t="s">
        <v>1747</v>
      </c>
      <c r="BQ230" s="560">
        <v>0.03</v>
      </c>
      <c r="BR230" s="560">
        <v>80</v>
      </c>
      <c r="BS230" s="560">
        <v>4.9000000000000004</v>
      </c>
      <c r="BT230" s="560">
        <v>2200</v>
      </c>
      <c r="BU230" s="560">
        <v>18700</v>
      </c>
      <c r="BV230" s="560">
        <v>200</v>
      </c>
      <c r="BW230" s="560">
        <v>26.8</v>
      </c>
      <c r="BX230" s="560">
        <v>2210</v>
      </c>
      <c r="BY230" s="560">
        <v>11.4</v>
      </c>
      <c r="BZ230" s="560">
        <v>1784</v>
      </c>
      <c r="CA230" s="560">
        <v>35</v>
      </c>
      <c r="CB230" s="560">
        <v>0.85</v>
      </c>
      <c r="CC230" s="560">
        <v>91</v>
      </c>
      <c r="CD230" s="560">
        <v>91</v>
      </c>
      <c r="CE230" s="560">
        <v>91</v>
      </c>
      <c r="CF230" s="560">
        <v>91</v>
      </c>
      <c r="CG230" s="560">
        <v>0.29299999999999998</v>
      </c>
      <c r="CH230" s="560">
        <v>0.3</v>
      </c>
      <c r="CI230" s="560">
        <v>0.54</v>
      </c>
      <c r="CJ230" s="560">
        <v>40</v>
      </c>
      <c r="CK230" s="560">
        <v>5</v>
      </c>
      <c r="CL230" s="560">
        <v>1</v>
      </c>
      <c r="CM230" s="562">
        <v>1584</v>
      </c>
      <c r="CN230" s="562">
        <v>160</v>
      </c>
      <c r="CO230" s="562">
        <v>26.8</v>
      </c>
      <c r="CP230" s="562">
        <v>0</v>
      </c>
      <c r="CQ230" s="562">
        <v>0</v>
      </c>
      <c r="CR230" s="562" t="s">
        <v>1718</v>
      </c>
      <c r="CS230" s="562">
        <v>0</v>
      </c>
      <c r="CT230" s="562">
        <v>0</v>
      </c>
      <c r="CU230" s="562">
        <v>0.75</v>
      </c>
      <c r="CV230" s="562">
        <v>1</v>
      </c>
      <c r="CW230" s="562">
        <v>1.75</v>
      </c>
      <c r="CX230" s="562">
        <v>2</v>
      </c>
      <c r="CY230" s="562">
        <v>1.5</v>
      </c>
      <c r="CZ230" s="560">
        <v>2181.666667</v>
      </c>
      <c r="DA230" s="560">
        <v>11.80555556</v>
      </c>
      <c r="DB230" s="560" t="s">
        <v>1719</v>
      </c>
      <c r="DC230" s="560">
        <v>50</v>
      </c>
      <c r="DD230" s="560">
        <v>4</v>
      </c>
      <c r="DE230" s="560" t="s">
        <v>1720</v>
      </c>
      <c r="DF230" s="560">
        <v>5</v>
      </c>
      <c r="DG230" s="560">
        <v>0</v>
      </c>
      <c r="DH230" s="560">
        <v>4.5</v>
      </c>
      <c r="DI230" s="560">
        <v>4.5</v>
      </c>
      <c r="DJ230" s="560">
        <v>0</v>
      </c>
      <c r="DK230" s="560">
        <v>0</v>
      </c>
      <c r="DL230" s="560">
        <v>0</v>
      </c>
      <c r="DM230" s="560">
        <v>0</v>
      </c>
      <c r="DN230" s="560">
        <v>0</v>
      </c>
      <c r="DO230" s="560">
        <v>0</v>
      </c>
    </row>
    <row r="231" spans="1:119" hidden="1">
      <c r="A231" s="560" t="s">
        <v>1807</v>
      </c>
      <c r="B231" s="560" t="s">
        <v>1713</v>
      </c>
      <c r="C231" s="560" t="s">
        <v>779</v>
      </c>
      <c r="D231" s="560">
        <v>3</v>
      </c>
      <c r="E231" s="560">
        <v>425.82197200000002</v>
      </c>
      <c r="F231" s="560">
        <v>56.539451</v>
      </c>
      <c r="G231" s="560">
        <v>6644.9655000000002</v>
      </c>
      <c r="H231" s="560">
        <v>139.9665</v>
      </c>
      <c r="I231" s="560">
        <v>0.91800700000000002</v>
      </c>
      <c r="J231" s="560">
        <v>0.31744</v>
      </c>
      <c r="K231" s="560">
        <v>0.35009699999999999</v>
      </c>
      <c r="L231" s="560">
        <v>0.52519899999999997</v>
      </c>
      <c r="M231" s="560">
        <v>12829.140734000001</v>
      </c>
      <c r="N231" s="560">
        <v>15831.875173</v>
      </c>
      <c r="O231" s="560">
        <v>4431.2371599999997</v>
      </c>
      <c r="P231" s="560">
        <v>236.25683900000001</v>
      </c>
      <c r="Q231" s="560">
        <v>377.54800899999998</v>
      </c>
      <c r="R231" s="560">
        <v>1650.4141729999999</v>
      </c>
      <c r="S231" s="560">
        <v>1357.898901</v>
      </c>
      <c r="T231" s="560">
        <v>1748.5255990000001</v>
      </c>
      <c r="U231" s="560">
        <v>412.39656400000001</v>
      </c>
      <c r="V231" s="560">
        <v>46.019109999999998</v>
      </c>
      <c r="W231" s="560">
        <v>11.263153000000001</v>
      </c>
      <c r="X231" s="560">
        <v>0</v>
      </c>
      <c r="Y231" s="560">
        <v>40.442037999999997</v>
      </c>
      <c r="Z231" s="560">
        <v>176.78841</v>
      </c>
      <c r="AA231" s="560">
        <v>42787.457220999997</v>
      </c>
      <c r="AB231" s="560">
        <v>52734.090789000002</v>
      </c>
      <c r="AC231" s="560">
        <v>29829.922999999999</v>
      </c>
      <c r="AD231" s="560">
        <v>22006.468231999999</v>
      </c>
      <c r="AE231" s="560">
        <v>780.52759700000001</v>
      </c>
      <c r="AF231" s="560">
        <v>14022.229058999999</v>
      </c>
      <c r="AG231" s="560">
        <v>17255.820118</v>
      </c>
      <c r="AH231" s="560">
        <v>4215.7776350000004</v>
      </c>
      <c r="AI231" s="560">
        <v>0</v>
      </c>
      <c r="AJ231" s="560">
        <v>877.81866000000002</v>
      </c>
      <c r="AK231" s="560">
        <v>0</v>
      </c>
      <c r="AL231" s="560">
        <v>200.75</v>
      </c>
      <c r="AM231" s="560">
        <v>0</v>
      </c>
      <c r="AN231" s="560">
        <v>0</v>
      </c>
      <c r="AO231" s="560">
        <v>0</v>
      </c>
      <c r="AP231" s="560">
        <v>0</v>
      </c>
      <c r="AQ231" s="560" t="s">
        <v>1807</v>
      </c>
      <c r="AR231" s="560" t="s">
        <v>1729</v>
      </c>
      <c r="AS231" s="560">
        <v>0</v>
      </c>
      <c r="AT231" s="560">
        <v>0</v>
      </c>
      <c r="AU231" s="560">
        <v>0</v>
      </c>
      <c r="AV231" s="560">
        <v>69</v>
      </c>
      <c r="AW231" s="560">
        <v>64</v>
      </c>
      <c r="AX231" s="560">
        <v>74</v>
      </c>
      <c r="AY231" s="560">
        <v>78</v>
      </c>
      <c r="AZ231" s="560">
        <v>1</v>
      </c>
      <c r="BA231" s="560">
        <v>2268</v>
      </c>
      <c r="BB231" s="560">
        <v>0</v>
      </c>
      <c r="BC231" s="560">
        <v>0.5</v>
      </c>
      <c r="BD231" s="560">
        <v>0</v>
      </c>
      <c r="BE231" s="560" t="s">
        <v>1798</v>
      </c>
      <c r="BF231" s="560">
        <v>3</v>
      </c>
      <c r="BG231" s="560">
        <v>17.399999999999999</v>
      </c>
      <c r="BH231" s="560">
        <v>1</v>
      </c>
      <c r="BI231" s="560">
        <v>2</v>
      </c>
      <c r="BJ231" s="560">
        <v>35</v>
      </c>
      <c r="BK231" s="560">
        <v>0</v>
      </c>
      <c r="BL231" s="560" t="s">
        <v>1716</v>
      </c>
      <c r="BM231" s="560">
        <v>0.06</v>
      </c>
      <c r="BN231" s="560">
        <v>300</v>
      </c>
      <c r="BO231" s="560">
        <v>6</v>
      </c>
      <c r="BP231" s="560" t="s">
        <v>1747</v>
      </c>
      <c r="BQ231" s="560">
        <v>0.03</v>
      </c>
      <c r="BR231" s="560">
        <v>80</v>
      </c>
      <c r="BS231" s="560">
        <v>6</v>
      </c>
      <c r="BT231" s="560">
        <v>2200</v>
      </c>
      <c r="BU231" s="560">
        <v>18700</v>
      </c>
      <c r="BV231" s="560">
        <v>200</v>
      </c>
      <c r="BW231" s="560">
        <v>30.609376350000002</v>
      </c>
      <c r="BX231" s="560">
        <v>2210</v>
      </c>
      <c r="BY231" s="560">
        <v>17.543859650000002</v>
      </c>
      <c r="BZ231" s="560">
        <v>1784</v>
      </c>
      <c r="CA231" s="560">
        <v>37.664196859999997</v>
      </c>
      <c r="CB231" s="560">
        <v>0.85</v>
      </c>
      <c r="CC231" s="560">
        <v>91</v>
      </c>
      <c r="CD231" s="560">
        <v>91</v>
      </c>
      <c r="CE231" s="560">
        <v>91</v>
      </c>
      <c r="CF231" s="560">
        <v>91</v>
      </c>
      <c r="CG231" s="560">
        <v>0.29299999999999998</v>
      </c>
      <c r="CH231" s="560">
        <v>0.3</v>
      </c>
      <c r="CI231" s="560">
        <v>0.54</v>
      </c>
      <c r="CJ231" s="560">
        <v>40</v>
      </c>
      <c r="CK231" s="560">
        <v>5</v>
      </c>
      <c r="CL231" s="560">
        <v>1</v>
      </c>
      <c r="CM231" s="562">
        <v>1584</v>
      </c>
      <c r="CN231" s="562">
        <v>160</v>
      </c>
      <c r="CO231" s="562">
        <v>30.609376350000002</v>
      </c>
      <c r="CP231" s="562">
        <v>0</v>
      </c>
      <c r="CQ231" s="562">
        <v>0</v>
      </c>
      <c r="CR231" s="562" t="s">
        <v>1718</v>
      </c>
      <c r="CS231" s="562">
        <v>0</v>
      </c>
      <c r="CT231" s="562">
        <v>0</v>
      </c>
      <c r="CU231" s="562">
        <v>0.75</v>
      </c>
      <c r="CV231" s="562">
        <v>1</v>
      </c>
      <c r="CW231" s="562">
        <v>1.75</v>
      </c>
      <c r="CX231" s="562">
        <v>2</v>
      </c>
      <c r="CY231" s="562">
        <v>1.5</v>
      </c>
      <c r="CZ231" s="560">
        <v>2181.666667</v>
      </c>
      <c r="DA231" s="560">
        <v>11.80555556</v>
      </c>
      <c r="DB231" s="560" t="s">
        <v>1719</v>
      </c>
      <c r="DC231" s="560">
        <v>50</v>
      </c>
      <c r="DD231" s="560">
        <v>4</v>
      </c>
      <c r="DE231" s="560" t="s">
        <v>1720</v>
      </c>
      <c r="DF231" s="560">
        <v>5</v>
      </c>
      <c r="DG231" s="560">
        <v>0</v>
      </c>
      <c r="DH231" s="560">
        <v>4.5</v>
      </c>
      <c r="DI231" s="560">
        <v>4.5</v>
      </c>
      <c r="DJ231" s="560">
        <v>0</v>
      </c>
      <c r="DK231" s="560">
        <v>0</v>
      </c>
      <c r="DL231" s="560">
        <v>0</v>
      </c>
      <c r="DM231" s="560">
        <v>0</v>
      </c>
      <c r="DN231" s="560">
        <v>0</v>
      </c>
      <c r="DO231" s="560">
        <v>0</v>
      </c>
    </row>
    <row r="232" spans="1:119" hidden="1">
      <c r="A232" s="560" t="s">
        <v>823</v>
      </c>
      <c r="B232" s="560" t="s">
        <v>1713</v>
      </c>
      <c r="C232" s="560" t="s">
        <v>779</v>
      </c>
      <c r="D232" s="560">
        <v>3</v>
      </c>
      <c r="E232" s="560">
        <v>491.69026400000001</v>
      </c>
      <c r="F232" s="560">
        <v>57.553418999999998</v>
      </c>
      <c r="G232" s="560">
        <v>6644.9655000000002</v>
      </c>
      <c r="H232" s="560">
        <v>139.9665</v>
      </c>
      <c r="I232" s="560">
        <v>0.91800700000000002</v>
      </c>
      <c r="J232" s="560">
        <v>0.324042</v>
      </c>
      <c r="K232" s="560">
        <v>0.34980800000000001</v>
      </c>
      <c r="L232" s="560">
        <v>0.54503000000000001</v>
      </c>
      <c r="M232" s="560">
        <v>15389.451083</v>
      </c>
      <c r="N232" s="560">
        <v>19468.861795000001</v>
      </c>
      <c r="O232" s="560">
        <v>5497.6839840000002</v>
      </c>
      <c r="P232" s="560">
        <v>425.54052300000001</v>
      </c>
      <c r="Q232" s="560">
        <v>459.617255</v>
      </c>
      <c r="R232" s="560">
        <v>2009.1718470000001</v>
      </c>
      <c r="S232" s="560">
        <v>1310.8397600000001</v>
      </c>
      <c r="T232" s="560">
        <v>1690.842903</v>
      </c>
      <c r="U232" s="560">
        <v>398.34715699999998</v>
      </c>
      <c r="V232" s="560">
        <v>40.770041999999997</v>
      </c>
      <c r="W232" s="560">
        <v>10.377689</v>
      </c>
      <c r="X232" s="560">
        <v>0</v>
      </c>
      <c r="Y232" s="560">
        <v>39.173439999999999</v>
      </c>
      <c r="Z232" s="560">
        <v>171.24285900000001</v>
      </c>
      <c r="AA232" s="560">
        <v>46059.508927000003</v>
      </c>
      <c r="AB232" s="560">
        <v>57648.059084</v>
      </c>
      <c r="AC232" s="560">
        <v>34658.973069</v>
      </c>
      <c r="AD232" s="560">
        <v>26840.760934000002</v>
      </c>
      <c r="AE232" s="560">
        <v>780.52759700000001</v>
      </c>
      <c r="AF232" s="560">
        <v>15392.156999999999</v>
      </c>
      <c r="AG232" s="560">
        <v>19208.936202000001</v>
      </c>
      <c r="AH232" s="560">
        <v>4656.9330550000004</v>
      </c>
      <c r="AI232" s="560">
        <v>4.4000000000000004</v>
      </c>
      <c r="AJ232" s="560">
        <v>1043.041377</v>
      </c>
      <c r="AK232" s="560">
        <v>0</v>
      </c>
      <c r="AL232" s="560">
        <v>200.75</v>
      </c>
      <c r="AM232" s="560">
        <v>0</v>
      </c>
      <c r="AN232" s="560">
        <v>0</v>
      </c>
      <c r="AO232" s="560">
        <v>0</v>
      </c>
      <c r="AP232" s="560">
        <v>0</v>
      </c>
      <c r="AQ232" s="560" t="s">
        <v>823</v>
      </c>
      <c r="AR232" s="560" t="s">
        <v>1729</v>
      </c>
      <c r="AS232" s="560">
        <v>0</v>
      </c>
      <c r="AT232" s="560">
        <v>0</v>
      </c>
      <c r="AU232" s="560">
        <v>0</v>
      </c>
      <c r="AV232" s="560">
        <v>69</v>
      </c>
      <c r="AW232" s="560">
        <v>64</v>
      </c>
      <c r="AX232" s="560">
        <v>74</v>
      </c>
      <c r="AY232" s="560">
        <v>78</v>
      </c>
      <c r="AZ232" s="560">
        <v>1</v>
      </c>
      <c r="BA232" s="560">
        <v>2268</v>
      </c>
      <c r="BB232" s="560">
        <v>0</v>
      </c>
      <c r="BC232" s="560">
        <v>0.5</v>
      </c>
      <c r="BD232" s="560">
        <v>0</v>
      </c>
      <c r="BE232" s="560" t="s">
        <v>1798</v>
      </c>
      <c r="BF232" s="560">
        <v>3</v>
      </c>
      <c r="BG232" s="560">
        <v>17.399999999999999</v>
      </c>
      <c r="BH232" s="560">
        <v>1</v>
      </c>
      <c r="BI232" s="560">
        <v>2</v>
      </c>
      <c r="BJ232" s="560">
        <v>35</v>
      </c>
      <c r="BK232" s="560">
        <v>0</v>
      </c>
      <c r="BL232" s="560" t="s">
        <v>1716</v>
      </c>
      <c r="BM232" s="560">
        <v>0.06</v>
      </c>
      <c r="BN232" s="560">
        <v>300</v>
      </c>
      <c r="BO232" s="560">
        <v>4.5</v>
      </c>
      <c r="BP232" s="560" t="s">
        <v>1747</v>
      </c>
      <c r="BQ232" s="560">
        <v>0.03</v>
      </c>
      <c r="BR232" s="560">
        <v>80</v>
      </c>
      <c r="BS232" s="560">
        <v>4.9000000000000004</v>
      </c>
      <c r="BT232" s="560">
        <v>2200</v>
      </c>
      <c r="BU232" s="560">
        <v>18700</v>
      </c>
      <c r="BV232" s="560">
        <v>200</v>
      </c>
      <c r="BW232" s="560">
        <v>26.8</v>
      </c>
      <c r="BX232" s="560">
        <v>2210</v>
      </c>
      <c r="BY232" s="560">
        <v>11.4</v>
      </c>
      <c r="BZ232" s="560">
        <v>1784</v>
      </c>
      <c r="CA232" s="560">
        <v>35</v>
      </c>
      <c r="CB232" s="560">
        <v>0.85</v>
      </c>
      <c r="CC232" s="560">
        <v>91</v>
      </c>
      <c r="CD232" s="560">
        <v>91</v>
      </c>
      <c r="CE232" s="560">
        <v>91</v>
      </c>
      <c r="CF232" s="560">
        <v>91</v>
      </c>
      <c r="CG232" s="560">
        <v>0.29299999999999998</v>
      </c>
      <c r="CH232" s="560">
        <v>0.3</v>
      </c>
      <c r="CI232" s="560">
        <v>0.54</v>
      </c>
      <c r="CJ232" s="560">
        <v>40</v>
      </c>
      <c r="CK232" s="560">
        <v>5</v>
      </c>
      <c r="CL232" s="560">
        <v>1</v>
      </c>
      <c r="CM232" s="562">
        <v>1584</v>
      </c>
      <c r="CN232" s="562">
        <v>160</v>
      </c>
      <c r="CO232" s="562">
        <v>26.8</v>
      </c>
      <c r="CP232" s="562">
        <v>0</v>
      </c>
      <c r="CQ232" s="562">
        <v>0</v>
      </c>
      <c r="CR232" s="562" t="s">
        <v>1718</v>
      </c>
      <c r="CS232" s="562">
        <v>0</v>
      </c>
      <c r="CT232" s="562">
        <v>0</v>
      </c>
      <c r="CU232" s="562">
        <v>0.75</v>
      </c>
      <c r="CV232" s="562">
        <v>1</v>
      </c>
      <c r="CW232" s="562">
        <v>1.75</v>
      </c>
      <c r="CX232" s="562">
        <v>2</v>
      </c>
      <c r="CY232" s="562">
        <v>1.5</v>
      </c>
      <c r="CZ232" s="560">
        <v>2181.666667</v>
      </c>
      <c r="DA232" s="560">
        <v>11.80555556</v>
      </c>
      <c r="DB232" s="560" t="s">
        <v>1719</v>
      </c>
      <c r="DC232" s="560">
        <v>50</v>
      </c>
      <c r="DD232" s="560">
        <v>4</v>
      </c>
      <c r="DE232" s="560" t="s">
        <v>1720</v>
      </c>
      <c r="DF232" s="560">
        <v>5</v>
      </c>
      <c r="DG232" s="560">
        <v>0</v>
      </c>
      <c r="DH232" s="560">
        <v>4.5</v>
      </c>
      <c r="DI232" s="560">
        <v>4.5</v>
      </c>
      <c r="DJ232" s="560">
        <v>0</v>
      </c>
      <c r="DK232" s="560">
        <v>0</v>
      </c>
      <c r="DL232" s="560">
        <v>0</v>
      </c>
      <c r="DM232" s="560">
        <v>0</v>
      </c>
      <c r="DN232" s="560">
        <v>0</v>
      </c>
      <c r="DO232" s="560">
        <v>0</v>
      </c>
    </row>
    <row r="233" spans="1:119" hidden="1">
      <c r="A233" s="560" t="s">
        <v>1808</v>
      </c>
      <c r="B233" s="560" t="s">
        <v>1713</v>
      </c>
      <c r="C233" s="560" t="s">
        <v>794</v>
      </c>
      <c r="D233" s="560">
        <v>3</v>
      </c>
      <c r="E233" s="560">
        <v>422.22977100000003</v>
      </c>
      <c r="F233" s="560">
        <v>56.038621999999997</v>
      </c>
      <c r="G233" s="560">
        <v>7927.5</v>
      </c>
      <c r="H233" s="560">
        <v>139.9665</v>
      </c>
      <c r="I233" s="560">
        <v>0.90101900000000001</v>
      </c>
      <c r="J233" s="560">
        <v>0.31603700000000001</v>
      </c>
      <c r="K233" s="560">
        <v>0.34507199999999999</v>
      </c>
      <c r="L233" s="560">
        <v>0.54111100000000001</v>
      </c>
      <c r="M233" s="560">
        <v>15687.626931000001</v>
      </c>
      <c r="N233" s="560">
        <v>19558.922478</v>
      </c>
      <c r="O233" s="560">
        <v>5538.2450870000002</v>
      </c>
      <c r="P233" s="560">
        <v>446.777603</v>
      </c>
      <c r="Q233" s="560">
        <v>460.65578799999997</v>
      </c>
      <c r="R233" s="560">
        <v>2013.7116920000001</v>
      </c>
      <c r="S233" s="560">
        <v>1357.898901</v>
      </c>
      <c r="T233" s="560">
        <v>1748.5255990000001</v>
      </c>
      <c r="U233" s="560">
        <v>412.39656400000001</v>
      </c>
      <c r="V233" s="560">
        <v>46.019109999999998</v>
      </c>
      <c r="W233" s="560">
        <v>11.263153000000001</v>
      </c>
      <c r="X233" s="560">
        <v>0</v>
      </c>
      <c r="Y233" s="560">
        <v>40.442037999999997</v>
      </c>
      <c r="Z233" s="560">
        <v>176.78841</v>
      </c>
      <c r="AA233" s="560">
        <v>45236.704633000001</v>
      </c>
      <c r="AB233" s="560">
        <v>55716.083846000001</v>
      </c>
      <c r="AC233" s="560">
        <v>36456.641135999998</v>
      </c>
      <c r="AD233" s="560">
        <v>28784.744201000001</v>
      </c>
      <c r="AE233" s="560">
        <v>780.52759700000001</v>
      </c>
      <c r="AF233" s="560">
        <v>14022.229058999999</v>
      </c>
      <c r="AG233" s="560">
        <v>17255.820118</v>
      </c>
      <c r="AH233" s="560">
        <v>4215.7776350000004</v>
      </c>
      <c r="AI233" s="560">
        <v>0</v>
      </c>
      <c r="AJ233" s="560">
        <v>999.12650799999994</v>
      </c>
      <c r="AK233" s="560">
        <v>0</v>
      </c>
      <c r="AL233" s="560">
        <v>200.75</v>
      </c>
      <c r="AM233" s="560">
        <v>0</v>
      </c>
      <c r="AN233" s="560">
        <v>0</v>
      </c>
      <c r="AO233" s="560">
        <v>0</v>
      </c>
      <c r="AP233" s="560">
        <v>0</v>
      </c>
      <c r="AQ233" s="560" t="s">
        <v>1808</v>
      </c>
      <c r="AR233" s="560" t="s">
        <v>1738</v>
      </c>
      <c r="AS233" s="560">
        <v>0</v>
      </c>
      <c r="AT233" s="560">
        <v>0</v>
      </c>
      <c r="AU233" s="560">
        <v>0</v>
      </c>
      <c r="AV233" s="560">
        <v>69</v>
      </c>
      <c r="AW233" s="560">
        <v>64</v>
      </c>
      <c r="AX233" s="560">
        <v>74</v>
      </c>
      <c r="AY233" s="560">
        <v>78</v>
      </c>
      <c r="AZ233" s="560">
        <v>1</v>
      </c>
      <c r="BA233" s="560">
        <v>2268</v>
      </c>
      <c r="BB233" s="560">
        <v>0</v>
      </c>
      <c r="BC233" s="560">
        <v>0.5</v>
      </c>
      <c r="BD233" s="560">
        <v>0</v>
      </c>
      <c r="BE233" s="560" t="s">
        <v>1798</v>
      </c>
      <c r="BF233" s="560">
        <v>3</v>
      </c>
      <c r="BG233" s="560">
        <v>17.399999999999999</v>
      </c>
      <c r="BH233" s="560">
        <v>1</v>
      </c>
      <c r="BI233" s="560">
        <v>2</v>
      </c>
      <c r="BJ233" s="560">
        <v>35</v>
      </c>
      <c r="BK233" s="560">
        <v>0</v>
      </c>
      <c r="BL233" s="560" t="s">
        <v>1716</v>
      </c>
      <c r="BM233" s="560">
        <v>0.06</v>
      </c>
      <c r="BN233" s="560">
        <v>300</v>
      </c>
      <c r="BO233" s="560">
        <v>6</v>
      </c>
      <c r="BP233" s="560" t="s">
        <v>1747</v>
      </c>
      <c r="BQ233" s="560">
        <v>0.03</v>
      </c>
      <c r="BR233" s="560">
        <v>80</v>
      </c>
      <c r="BS233" s="560">
        <v>6</v>
      </c>
      <c r="BT233" s="560">
        <v>2200</v>
      </c>
      <c r="BU233" s="560">
        <v>18700</v>
      </c>
      <c r="BV233" s="560">
        <v>200</v>
      </c>
      <c r="BW233" s="560">
        <v>30.609376350000002</v>
      </c>
      <c r="BX233" s="560">
        <v>2210</v>
      </c>
      <c r="BY233" s="560">
        <v>17.543859650000002</v>
      </c>
      <c r="BZ233" s="560">
        <v>1784</v>
      </c>
      <c r="CA233" s="560">
        <v>37.664196859999997</v>
      </c>
      <c r="CB233" s="560">
        <v>0.85</v>
      </c>
      <c r="CC233" s="560">
        <v>91</v>
      </c>
      <c r="CD233" s="560">
        <v>91</v>
      </c>
      <c r="CE233" s="560">
        <v>91</v>
      </c>
      <c r="CF233" s="560">
        <v>91</v>
      </c>
      <c r="CG233" s="560">
        <v>0.29299999999999998</v>
      </c>
      <c r="CH233" s="560">
        <v>0.3</v>
      </c>
      <c r="CI233" s="560">
        <v>0.54</v>
      </c>
      <c r="CJ233" s="560">
        <v>40</v>
      </c>
      <c r="CK233" s="560">
        <v>5</v>
      </c>
      <c r="CL233" s="560">
        <v>1</v>
      </c>
      <c r="CM233" s="562">
        <v>1584</v>
      </c>
      <c r="CN233" s="562">
        <v>160</v>
      </c>
      <c r="CO233" s="562">
        <v>30.609376350000002</v>
      </c>
      <c r="CP233" s="562">
        <v>0</v>
      </c>
      <c r="CQ233" s="562">
        <v>0</v>
      </c>
      <c r="CR233" s="562" t="s">
        <v>1718</v>
      </c>
      <c r="CS233" s="562">
        <v>0</v>
      </c>
      <c r="CT233" s="562">
        <v>0</v>
      </c>
      <c r="CU233" s="562">
        <v>0.75</v>
      </c>
      <c r="CV233" s="562">
        <v>1</v>
      </c>
      <c r="CW233" s="562">
        <v>1.75</v>
      </c>
      <c r="CX233" s="562">
        <v>2</v>
      </c>
      <c r="CY233" s="562">
        <v>1.5</v>
      </c>
      <c r="CZ233" s="560">
        <v>2181.666667</v>
      </c>
      <c r="DA233" s="560">
        <v>11.80555556</v>
      </c>
      <c r="DB233" s="560" t="s">
        <v>1719</v>
      </c>
      <c r="DC233" s="560">
        <v>50</v>
      </c>
      <c r="DD233" s="560">
        <v>4</v>
      </c>
      <c r="DE233" s="560" t="s">
        <v>1720</v>
      </c>
      <c r="DF233" s="560">
        <v>5</v>
      </c>
      <c r="DG233" s="560">
        <v>0</v>
      </c>
      <c r="DH233" s="560">
        <v>4.5</v>
      </c>
      <c r="DI233" s="560">
        <v>4.5</v>
      </c>
      <c r="DJ233" s="560">
        <v>0</v>
      </c>
      <c r="DK233" s="560">
        <v>0</v>
      </c>
      <c r="DL233" s="560">
        <v>0</v>
      </c>
      <c r="DM233" s="560">
        <v>0</v>
      </c>
      <c r="DN233" s="560">
        <v>0</v>
      </c>
      <c r="DO233" s="560">
        <v>0</v>
      </c>
    </row>
    <row r="234" spans="1:119" hidden="1">
      <c r="A234" s="560" t="s">
        <v>829</v>
      </c>
      <c r="B234" s="560" t="s">
        <v>1713</v>
      </c>
      <c r="C234" s="560" t="s">
        <v>794</v>
      </c>
      <c r="D234" s="560">
        <v>3</v>
      </c>
      <c r="E234" s="560">
        <v>488.52372100000002</v>
      </c>
      <c r="F234" s="560">
        <v>56.964730000000003</v>
      </c>
      <c r="G234" s="560">
        <v>7927.5</v>
      </c>
      <c r="H234" s="560">
        <v>139.9665</v>
      </c>
      <c r="I234" s="560">
        <v>0.90101900000000001</v>
      </c>
      <c r="J234" s="560">
        <v>0.32359500000000002</v>
      </c>
      <c r="K234" s="560">
        <v>0.34622000000000003</v>
      </c>
      <c r="L234" s="560">
        <v>0.55998999999999999</v>
      </c>
      <c r="M234" s="560">
        <v>18726.477686999999</v>
      </c>
      <c r="N234" s="560">
        <v>23946.989366000002</v>
      </c>
      <c r="O234" s="560">
        <v>6920.1845219999996</v>
      </c>
      <c r="P234" s="560">
        <v>827.247974</v>
      </c>
      <c r="Q234" s="560">
        <v>555.021342</v>
      </c>
      <c r="R234" s="560">
        <v>2426.2214789999998</v>
      </c>
      <c r="S234" s="560">
        <v>1310.8397600000001</v>
      </c>
      <c r="T234" s="560">
        <v>1690.842903</v>
      </c>
      <c r="U234" s="560">
        <v>398.34715699999998</v>
      </c>
      <c r="V234" s="560">
        <v>40.770041999999997</v>
      </c>
      <c r="W234" s="560">
        <v>10.377689</v>
      </c>
      <c r="X234" s="560">
        <v>0</v>
      </c>
      <c r="Y234" s="560">
        <v>39.173439999999999</v>
      </c>
      <c r="Z234" s="560">
        <v>171.24285900000001</v>
      </c>
      <c r="AA234" s="560">
        <v>48812.316862</v>
      </c>
      <c r="AB234" s="560">
        <v>61125.173669000003</v>
      </c>
      <c r="AC234" s="560">
        <v>41892.482494999997</v>
      </c>
      <c r="AD234" s="560">
        <v>34226.836198999998</v>
      </c>
      <c r="AE234" s="560">
        <v>780.52759700000001</v>
      </c>
      <c r="AF234" s="560">
        <v>15392.156999999999</v>
      </c>
      <c r="AG234" s="560">
        <v>19208.936202000001</v>
      </c>
      <c r="AH234" s="560">
        <v>4656.9330550000004</v>
      </c>
      <c r="AI234" s="560">
        <v>3</v>
      </c>
      <c r="AJ234" s="560">
        <v>1185.434332</v>
      </c>
      <c r="AK234" s="560">
        <v>0</v>
      </c>
      <c r="AL234" s="560">
        <v>200.75</v>
      </c>
      <c r="AM234" s="560">
        <v>0</v>
      </c>
      <c r="AN234" s="560">
        <v>0</v>
      </c>
      <c r="AO234" s="560">
        <v>0</v>
      </c>
      <c r="AP234" s="560">
        <v>0</v>
      </c>
      <c r="AQ234" s="560" t="s">
        <v>829</v>
      </c>
      <c r="AR234" s="560" t="s">
        <v>1738</v>
      </c>
      <c r="AS234" s="560">
        <v>0</v>
      </c>
      <c r="AT234" s="560">
        <v>0</v>
      </c>
      <c r="AU234" s="560">
        <v>0</v>
      </c>
      <c r="AV234" s="560">
        <v>69</v>
      </c>
      <c r="AW234" s="560">
        <v>64</v>
      </c>
      <c r="AX234" s="560">
        <v>74</v>
      </c>
      <c r="AY234" s="560">
        <v>78</v>
      </c>
      <c r="AZ234" s="560">
        <v>1</v>
      </c>
      <c r="BA234" s="560">
        <v>2268</v>
      </c>
      <c r="BB234" s="560">
        <v>0</v>
      </c>
      <c r="BC234" s="560">
        <v>0.5</v>
      </c>
      <c r="BD234" s="560">
        <v>0</v>
      </c>
      <c r="BE234" s="560" t="s">
        <v>1798</v>
      </c>
      <c r="BF234" s="560">
        <v>3</v>
      </c>
      <c r="BG234" s="560">
        <v>17.399999999999999</v>
      </c>
      <c r="BH234" s="560">
        <v>1</v>
      </c>
      <c r="BI234" s="560">
        <v>2</v>
      </c>
      <c r="BJ234" s="560">
        <v>35</v>
      </c>
      <c r="BK234" s="560">
        <v>0</v>
      </c>
      <c r="BL234" s="560" t="s">
        <v>1716</v>
      </c>
      <c r="BM234" s="560">
        <v>0.06</v>
      </c>
      <c r="BN234" s="560">
        <v>300</v>
      </c>
      <c r="BO234" s="560">
        <v>4.5</v>
      </c>
      <c r="BP234" s="560" t="s">
        <v>1747</v>
      </c>
      <c r="BQ234" s="560">
        <v>0.03</v>
      </c>
      <c r="BR234" s="560">
        <v>80</v>
      </c>
      <c r="BS234" s="560">
        <v>4.9000000000000004</v>
      </c>
      <c r="BT234" s="560">
        <v>2200</v>
      </c>
      <c r="BU234" s="560">
        <v>18700</v>
      </c>
      <c r="BV234" s="560">
        <v>200</v>
      </c>
      <c r="BW234" s="560">
        <v>26.8</v>
      </c>
      <c r="BX234" s="560">
        <v>2210</v>
      </c>
      <c r="BY234" s="560">
        <v>11.4</v>
      </c>
      <c r="BZ234" s="560">
        <v>1784</v>
      </c>
      <c r="CA234" s="560">
        <v>35</v>
      </c>
      <c r="CB234" s="560">
        <v>0.85</v>
      </c>
      <c r="CC234" s="560">
        <v>91</v>
      </c>
      <c r="CD234" s="560">
        <v>91</v>
      </c>
      <c r="CE234" s="560">
        <v>91</v>
      </c>
      <c r="CF234" s="560">
        <v>91</v>
      </c>
      <c r="CG234" s="560">
        <v>0.29299999999999998</v>
      </c>
      <c r="CH234" s="560">
        <v>0.3</v>
      </c>
      <c r="CI234" s="560">
        <v>0.54</v>
      </c>
      <c r="CJ234" s="560">
        <v>40</v>
      </c>
      <c r="CK234" s="560">
        <v>5</v>
      </c>
      <c r="CL234" s="560">
        <v>1</v>
      </c>
      <c r="CM234" s="562">
        <v>1584</v>
      </c>
      <c r="CN234" s="562">
        <v>160</v>
      </c>
      <c r="CO234" s="562">
        <v>26.8</v>
      </c>
      <c r="CP234" s="562">
        <v>0</v>
      </c>
      <c r="CQ234" s="562">
        <v>0</v>
      </c>
      <c r="CR234" s="562" t="s">
        <v>1718</v>
      </c>
      <c r="CS234" s="562">
        <v>0</v>
      </c>
      <c r="CT234" s="562">
        <v>0</v>
      </c>
      <c r="CU234" s="562">
        <v>0.75</v>
      </c>
      <c r="CV234" s="562">
        <v>1</v>
      </c>
      <c r="CW234" s="562">
        <v>1.75</v>
      </c>
      <c r="CX234" s="562">
        <v>2</v>
      </c>
      <c r="CY234" s="562">
        <v>1.5</v>
      </c>
      <c r="CZ234" s="560">
        <v>2181.666667</v>
      </c>
      <c r="DA234" s="560">
        <v>11.80555556</v>
      </c>
      <c r="DB234" s="560" t="s">
        <v>1719</v>
      </c>
      <c r="DC234" s="560">
        <v>50</v>
      </c>
      <c r="DD234" s="560">
        <v>4</v>
      </c>
      <c r="DE234" s="560" t="s">
        <v>1720</v>
      </c>
      <c r="DF234" s="560">
        <v>5</v>
      </c>
      <c r="DG234" s="560">
        <v>0</v>
      </c>
      <c r="DH234" s="560">
        <v>4.5</v>
      </c>
      <c r="DI234" s="560">
        <v>4.5</v>
      </c>
      <c r="DJ234" s="560">
        <v>0</v>
      </c>
      <c r="DK234" s="560">
        <v>0</v>
      </c>
      <c r="DL234" s="560">
        <v>0</v>
      </c>
      <c r="DM234" s="560">
        <v>0</v>
      </c>
      <c r="DN234" s="560">
        <v>0</v>
      </c>
      <c r="DO234" s="560">
        <v>0</v>
      </c>
    </row>
    <row r="235" spans="1:119" hidden="1">
      <c r="A235" s="560" t="s">
        <v>1809</v>
      </c>
      <c r="B235" s="560" t="s">
        <v>1713</v>
      </c>
      <c r="C235" s="560" t="s">
        <v>764</v>
      </c>
      <c r="D235" s="560">
        <v>3</v>
      </c>
      <c r="E235" s="560">
        <v>439.51942100000002</v>
      </c>
      <c r="F235" s="560">
        <v>58.183287999999997</v>
      </c>
      <c r="G235" s="560">
        <v>4974.4274999999998</v>
      </c>
      <c r="H235" s="560">
        <v>139.9665</v>
      </c>
      <c r="I235" s="560">
        <v>0.968943</v>
      </c>
      <c r="J235" s="560">
        <v>0.25932899999999998</v>
      </c>
      <c r="K235" s="560">
        <v>0.27784900000000001</v>
      </c>
      <c r="L235" s="560">
        <v>0.37519200000000003</v>
      </c>
      <c r="M235" s="560">
        <v>9440.8570290000007</v>
      </c>
      <c r="N235" s="560">
        <v>9572.4416899999997</v>
      </c>
      <c r="O235" s="560">
        <v>2675.0843479999999</v>
      </c>
      <c r="P235" s="560">
        <v>11.564985</v>
      </c>
      <c r="Q235" s="560">
        <v>234.13489999999999</v>
      </c>
      <c r="R235" s="560">
        <v>1023.497802</v>
      </c>
      <c r="S235" s="560">
        <v>886.965867</v>
      </c>
      <c r="T235" s="560">
        <v>1063.7078879999999</v>
      </c>
      <c r="U235" s="560">
        <v>257.26333099999999</v>
      </c>
      <c r="V235" s="560">
        <v>38.438895000000002</v>
      </c>
      <c r="W235" s="560">
        <v>15.048266</v>
      </c>
      <c r="X235" s="560">
        <v>0</v>
      </c>
      <c r="Y235" s="560">
        <v>24.697436</v>
      </c>
      <c r="Z235" s="560">
        <v>107.962425</v>
      </c>
      <c r="AA235" s="560">
        <v>36198.151646999999</v>
      </c>
      <c r="AB235" s="560">
        <v>36906.249291</v>
      </c>
      <c r="AC235" s="560">
        <v>15925.611548999999</v>
      </c>
      <c r="AD235" s="560">
        <v>8091.2604019999999</v>
      </c>
      <c r="AE235" s="560">
        <v>780.52759700000001</v>
      </c>
      <c r="AF235" s="560">
        <v>12741.719465</v>
      </c>
      <c r="AG235" s="560">
        <v>13775.35909</v>
      </c>
      <c r="AH235" s="560">
        <v>3415.571731</v>
      </c>
      <c r="AI235" s="560">
        <v>0</v>
      </c>
      <c r="AJ235" s="560">
        <v>536.27663700000005</v>
      </c>
      <c r="AK235" s="560">
        <v>0</v>
      </c>
      <c r="AL235" s="560">
        <v>200.75</v>
      </c>
      <c r="AM235" s="560">
        <v>0</v>
      </c>
      <c r="AN235" s="560">
        <v>0</v>
      </c>
      <c r="AO235" s="560">
        <v>0</v>
      </c>
      <c r="AP235" s="560">
        <v>0</v>
      </c>
      <c r="AQ235" s="560" t="s">
        <v>1809</v>
      </c>
      <c r="AR235" s="560" t="s">
        <v>1714</v>
      </c>
      <c r="AS235" s="560">
        <v>0</v>
      </c>
      <c r="AT235" s="560">
        <v>0</v>
      </c>
      <c r="AU235" s="560">
        <v>0</v>
      </c>
      <c r="AV235" s="560">
        <v>69</v>
      </c>
      <c r="AW235" s="560">
        <v>64</v>
      </c>
      <c r="AX235" s="560">
        <v>74</v>
      </c>
      <c r="AY235" s="560">
        <v>78</v>
      </c>
      <c r="AZ235" s="560">
        <v>1</v>
      </c>
      <c r="BA235" s="560">
        <v>2522</v>
      </c>
      <c r="BB235" s="560">
        <v>0</v>
      </c>
      <c r="BC235" s="560">
        <v>0.5</v>
      </c>
      <c r="BD235" s="560">
        <v>0</v>
      </c>
      <c r="BE235" s="560" t="s">
        <v>1798</v>
      </c>
      <c r="BF235" s="560">
        <v>3</v>
      </c>
      <c r="BG235" s="560">
        <v>17.399999999999999</v>
      </c>
      <c r="BH235" s="560">
        <v>1</v>
      </c>
      <c r="BI235" s="560">
        <v>2</v>
      </c>
      <c r="BJ235" s="560">
        <v>35</v>
      </c>
      <c r="BK235" s="560">
        <v>0</v>
      </c>
      <c r="BL235" s="560" t="s">
        <v>1747</v>
      </c>
      <c r="BM235" s="560">
        <v>3.0000000000000001E-3</v>
      </c>
      <c r="BN235" s="560">
        <v>15</v>
      </c>
      <c r="BO235" s="560">
        <v>6</v>
      </c>
      <c r="BP235" s="560" t="s">
        <v>1747</v>
      </c>
      <c r="BQ235" s="560">
        <v>5.0000000000000001E-3</v>
      </c>
      <c r="BR235" s="560">
        <v>40</v>
      </c>
      <c r="BS235" s="560">
        <v>6</v>
      </c>
      <c r="BT235" s="560">
        <v>2688</v>
      </c>
      <c r="BU235" s="560">
        <v>22848</v>
      </c>
      <c r="BV235" s="560">
        <v>0</v>
      </c>
      <c r="BW235" s="560">
        <v>30.609376350000002</v>
      </c>
      <c r="BX235" s="560">
        <v>1480</v>
      </c>
      <c r="BY235" s="560">
        <v>17.543859650000002</v>
      </c>
      <c r="BZ235" s="560">
        <v>1344</v>
      </c>
      <c r="CA235" s="560">
        <v>37.664196859999997</v>
      </c>
      <c r="CB235" s="560">
        <v>0.85</v>
      </c>
      <c r="CC235" s="560">
        <v>94</v>
      </c>
      <c r="CD235" s="560">
        <v>94</v>
      </c>
      <c r="CE235" s="560">
        <v>94</v>
      </c>
      <c r="CF235" s="560">
        <v>94</v>
      </c>
      <c r="CG235" s="560">
        <v>0.29299999999999998</v>
      </c>
      <c r="CH235" s="560">
        <v>0.3</v>
      </c>
      <c r="CI235" s="560">
        <v>0.54</v>
      </c>
      <c r="CJ235" s="560">
        <v>40</v>
      </c>
      <c r="CK235" s="560">
        <v>5</v>
      </c>
      <c r="CL235" s="560">
        <v>4</v>
      </c>
      <c r="CM235" s="562">
        <v>1344</v>
      </c>
      <c r="CN235" s="562">
        <v>148</v>
      </c>
      <c r="CO235" s="562">
        <v>30.609376350000002</v>
      </c>
      <c r="CP235" s="562">
        <v>0</v>
      </c>
      <c r="CQ235" s="562">
        <v>0</v>
      </c>
      <c r="CR235" s="562" t="s">
        <v>1718</v>
      </c>
      <c r="CS235" s="562">
        <v>0</v>
      </c>
      <c r="CT235" s="562">
        <v>0</v>
      </c>
      <c r="CU235" s="562">
        <v>0.75</v>
      </c>
      <c r="CV235" s="562">
        <v>0.5</v>
      </c>
      <c r="CW235" s="562">
        <v>17.856999999999999</v>
      </c>
      <c r="CX235" s="562">
        <v>6.5</v>
      </c>
      <c r="CY235" s="562">
        <v>17.856999999999999</v>
      </c>
      <c r="CZ235" s="560">
        <v>2665.6</v>
      </c>
      <c r="DA235" s="560">
        <v>17</v>
      </c>
      <c r="DB235" s="560" t="s">
        <v>1719</v>
      </c>
      <c r="DC235" s="560">
        <v>50</v>
      </c>
      <c r="DD235" s="560">
        <v>4</v>
      </c>
      <c r="DE235" s="560" t="s">
        <v>1720</v>
      </c>
      <c r="DF235" s="560">
        <v>5</v>
      </c>
      <c r="DG235" s="560">
        <v>0</v>
      </c>
      <c r="DH235" s="560">
        <v>4.5</v>
      </c>
      <c r="DI235" s="560">
        <v>4.5</v>
      </c>
      <c r="DJ235" s="560">
        <v>0</v>
      </c>
      <c r="DK235" s="560">
        <v>0</v>
      </c>
      <c r="DL235" s="560">
        <v>0</v>
      </c>
      <c r="DM235" s="560">
        <v>0</v>
      </c>
      <c r="DN235" s="560">
        <v>0</v>
      </c>
      <c r="DO235" s="560">
        <v>0</v>
      </c>
    </row>
    <row r="236" spans="1:119" hidden="1">
      <c r="A236" s="560" t="s">
        <v>1810</v>
      </c>
      <c r="B236" s="560" t="s">
        <v>1713</v>
      </c>
      <c r="C236" s="560" t="s">
        <v>764</v>
      </c>
      <c r="D236" s="560">
        <v>3</v>
      </c>
      <c r="E236" s="560">
        <v>473.94778300000002</v>
      </c>
      <c r="F236" s="560">
        <v>58.536510999999997</v>
      </c>
      <c r="G236" s="560">
        <v>4974.4274999999998</v>
      </c>
      <c r="H236" s="560">
        <v>139.9665</v>
      </c>
      <c r="I236" s="560">
        <v>0.968943</v>
      </c>
      <c r="J236" s="560">
        <v>0.25894299999999998</v>
      </c>
      <c r="K236" s="560">
        <v>0.27588200000000002</v>
      </c>
      <c r="L236" s="560">
        <v>0.37567</v>
      </c>
      <c r="M236" s="560">
        <v>10540.683955</v>
      </c>
      <c r="N236" s="560">
        <v>10707.297296000001</v>
      </c>
      <c r="O236" s="560">
        <v>2982.1874699999998</v>
      </c>
      <c r="P236" s="560">
        <v>18.059918</v>
      </c>
      <c r="Q236" s="560">
        <v>261.25187899999997</v>
      </c>
      <c r="R236" s="560">
        <v>1142.037022</v>
      </c>
      <c r="S236" s="560">
        <v>891.05955700000004</v>
      </c>
      <c r="T236" s="560">
        <v>1064.5252740000001</v>
      </c>
      <c r="U236" s="560">
        <v>257.06304399999999</v>
      </c>
      <c r="V236" s="560">
        <v>36.908591000000001</v>
      </c>
      <c r="W236" s="560">
        <v>14.501678</v>
      </c>
      <c r="X236" s="560">
        <v>0</v>
      </c>
      <c r="Y236" s="560">
        <v>24.736332999999998</v>
      </c>
      <c r="Z236" s="560">
        <v>108.132459</v>
      </c>
      <c r="AA236" s="560">
        <v>37733.145893000001</v>
      </c>
      <c r="AB236" s="560">
        <v>38537.929583999998</v>
      </c>
      <c r="AC236" s="560">
        <v>17519.389689</v>
      </c>
      <c r="AD236" s="560">
        <v>9686.7277020000001</v>
      </c>
      <c r="AE236" s="560">
        <v>780.52759700000001</v>
      </c>
      <c r="AF236" s="560">
        <v>13393.461337999999</v>
      </c>
      <c r="AG236" s="560">
        <v>14463.409549</v>
      </c>
      <c r="AH236" s="560">
        <v>3575.610537</v>
      </c>
      <c r="AI236" s="560">
        <v>0</v>
      </c>
      <c r="AJ236" s="560">
        <v>590.82569799999999</v>
      </c>
      <c r="AK236" s="560">
        <v>0</v>
      </c>
      <c r="AL236" s="560">
        <v>200.75</v>
      </c>
      <c r="AM236" s="560">
        <v>0</v>
      </c>
      <c r="AN236" s="560">
        <v>0</v>
      </c>
      <c r="AO236" s="560">
        <v>0</v>
      </c>
      <c r="AP236" s="560">
        <v>0</v>
      </c>
      <c r="AQ236" s="560" t="s">
        <v>1810</v>
      </c>
      <c r="AR236" s="560" t="s">
        <v>1714</v>
      </c>
      <c r="AS236" s="560">
        <v>0</v>
      </c>
      <c r="AT236" s="560">
        <v>0</v>
      </c>
      <c r="AU236" s="560">
        <v>0</v>
      </c>
      <c r="AV236" s="560">
        <v>69</v>
      </c>
      <c r="AW236" s="560">
        <v>64</v>
      </c>
      <c r="AX236" s="560">
        <v>74</v>
      </c>
      <c r="AY236" s="560">
        <v>78</v>
      </c>
      <c r="AZ236" s="560">
        <v>1</v>
      </c>
      <c r="BA236" s="560">
        <v>2522</v>
      </c>
      <c r="BB236" s="560">
        <v>0</v>
      </c>
      <c r="BC236" s="560">
        <v>0.5</v>
      </c>
      <c r="BD236" s="560">
        <v>0</v>
      </c>
      <c r="BE236" s="560" t="s">
        <v>1798</v>
      </c>
      <c r="BF236" s="560">
        <v>3</v>
      </c>
      <c r="BG236" s="560">
        <v>17.399999999999999</v>
      </c>
      <c r="BH236" s="560">
        <v>1</v>
      </c>
      <c r="BI236" s="560">
        <v>2</v>
      </c>
      <c r="BJ236" s="560">
        <v>35</v>
      </c>
      <c r="BK236" s="560">
        <v>0</v>
      </c>
      <c r="BL236" s="560" t="s">
        <v>1747</v>
      </c>
      <c r="BM236" s="560">
        <v>3.0000000000000001E-3</v>
      </c>
      <c r="BN236" s="560">
        <v>15</v>
      </c>
      <c r="BO236" s="560">
        <v>4.5</v>
      </c>
      <c r="BP236" s="560" t="s">
        <v>1747</v>
      </c>
      <c r="BQ236" s="560">
        <v>5.0000000000000001E-3</v>
      </c>
      <c r="BR236" s="560">
        <v>40</v>
      </c>
      <c r="BS236" s="560">
        <v>4.9000000000000004</v>
      </c>
      <c r="BT236" s="560">
        <v>2688</v>
      </c>
      <c r="BU236" s="560">
        <v>22848</v>
      </c>
      <c r="BV236" s="560">
        <v>0</v>
      </c>
      <c r="BW236" s="560">
        <v>26.8</v>
      </c>
      <c r="BX236" s="560">
        <v>1480</v>
      </c>
      <c r="BY236" s="560">
        <v>11.4</v>
      </c>
      <c r="BZ236" s="560">
        <v>1344</v>
      </c>
      <c r="CA236" s="560">
        <v>35</v>
      </c>
      <c r="CB236" s="560">
        <v>0.85</v>
      </c>
      <c r="CC236" s="560">
        <v>94</v>
      </c>
      <c r="CD236" s="560">
        <v>94</v>
      </c>
      <c r="CE236" s="560">
        <v>94</v>
      </c>
      <c r="CF236" s="560">
        <v>94</v>
      </c>
      <c r="CG236" s="560">
        <v>0.29299999999999998</v>
      </c>
      <c r="CH236" s="560">
        <v>0.3</v>
      </c>
      <c r="CI236" s="560">
        <v>0.54</v>
      </c>
      <c r="CJ236" s="560">
        <v>40</v>
      </c>
      <c r="CK236" s="560">
        <v>5</v>
      </c>
      <c r="CL236" s="560">
        <v>4</v>
      </c>
      <c r="CM236" s="562">
        <v>1344</v>
      </c>
      <c r="CN236" s="562">
        <v>148</v>
      </c>
      <c r="CO236" s="562">
        <v>26.8</v>
      </c>
      <c r="CP236" s="562">
        <v>0</v>
      </c>
      <c r="CQ236" s="562">
        <v>0</v>
      </c>
      <c r="CR236" s="562" t="s">
        <v>1718</v>
      </c>
      <c r="CS236" s="562">
        <v>0</v>
      </c>
      <c r="CT236" s="562">
        <v>0</v>
      </c>
      <c r="CU236" s="562">
        <v>0.75</v>
      </c>
      <c r="CV236" s="562">
        <v>0.5</v>
      </c>
      <c r="CW236" s="562">
        <v>17.856999999999999</v>
      </c>
      <c r="CX236" s="562">
        <v>6.5</v>
      </c>
      <c r="CY236" s="562">
        <v>17.856999999999999</v>
      </c>
      <c r="CZ236" s="560">
        <v>2665.6</v>
      </c>
      <c r="DA236" s="560">
        <v>17</v>
      </c>
      <c r="DB236" s="560" t="s">
        <v>1719</v>
      </c>
      <c r="DC236" s="560">
        <v>50</v>
      </c>
      <c r="DD236" s="560">
        <v>4</v>
      </c>
      <c r="DE236" s="560" t="s">
        <v>1720</v>
      </c>
      <c r="DF236" s="560">
        <v>5</v>
      </c>
      <c r="DG236" s="560">
        <v>0</v>
      </c>
      <c r="DH236" s="560">
        <v>4.5</v>
      </c>
      <c r="DI236" s="560">
        <v>4.5</v>
      </c>
      <c r="DJ236" s="560">
        <v>0</v>
      </c>
      <c r="DK236" s="560">
        <v>0</v>
      </c>
      <c r="DL236" s="560">
        <v>0</v>
      </c>
      <c r="DM236" s="560">
        <v>0</v>
      </c>
      <c r="DN236" s="560">
        <v>0</v>
      </c>
      <c r="DO236" s="560">
        <v>0</v>
      </c>
    </row>
    <row r="237" spans="1:119" hidden="1">
      <c r="A237" s="560" t="s">
        <v>1811</v>
      </c>
      <c r="B237" s="560" t="s">
        <v>1713</v>
      </c>
      <c r="C237" s="560" t="s">
        <v>779</v>
      </c>
      <c r="D237" s="560">
        <v>3</v>
      </c>
      <c r="E237" s="560">
        <v>445.52515899999997</v>
      </c>
      <c r="F237" s="560">
        <v>57.057931000000004</v>
      </c>
      <c r="G237" s="560">
        <v>6644.9655000000002</v>
      </c>
      <c r="H237" s="560">
        <v>139.9665</v>
      </c>
      <c r="I237" s="560">
        <v>0.91800700000000002</v>
      </c>
      <c r="J237" s="560">
        <v>0.28901300000000002</v>
      </c>
      <c r="K237" s="560">
        <v>0.30870700000000001</v>
      </c>
      <c r="L237" s="560">
        <v>0.42671900000000001</v>
      </c>
      <c r="M237" s="560">
        <v>13975.407655999999</v>
      </c>
      <c r="N237" s="560">
        <v>14184.457047</v>
      </c>
      <c r="O237" s="560">
        <v>3931.4440260000001</v>
      </c>
      <c r="P237" s="560">
        <v>43.851458999999998</v>
      </c>
      <c r="Q237" s="560">
        <v>344.88976300000002</v>
      </c>
      <c r="R237" s="560">
        <v>1507.6518430000001</v>
      </c>
      <c r="S237" s="560">
        <v>886.965867</v>
      </c>
      <c r="T237" s="560">
        <v>1063.7078879999999</v>
      </c>
      <c r="U237" s="560">
        <v>257.26333099999999</v>
      </c>
      <c r="V237" s="560">
        <v>38.438895000000002</v>
      </c>
      <c r="W237" s="560">
        <v>15.048266</v>
      </c>
      <c r="X237" s="560">
        <v>0</v>
      </c>
      <c r="Y237" s="560">
        <v>24.697436</v>
      </c>
      <c r="Z237" s="560">
        <v>107.962425</v>
      </c>
      <c r="AA237" s="560">
        <v>42146.642935999997</v>
      </c>
      <c r="AB237" s="560">
        <v>42889.331052000001</v>
      </c>
      <c r="AC237" s="560">
        <v>20292.561938999999</v>
      </c>
      <c r="AD237" s="560">
        <v>12376.549628000001</v>
      </c>
      <c r="AE237" s="560">
        <v>780.52759700000001</v>
      </c>
      <c r="AF237" s="560">
        <v>12741.719465</v>
      </c>
      <c r="AG237" s="560">
        <v>13775.35909</v>
      </c>
      <c r="AH237" s="560">
        <v>3415.571731</v>
      </c>
      <c r="AI237" s="560">
        <v>0</v>
      </c>
      <c r="AJ237" s="560">
        <v>765.39993900000002</v>
      </c>
      <c r="AK237" s="560">
        <v>0</v>
      </c>
      <c r="AL237" s="560">
        <v>200.75</v>
      </c>
      <c r="AM237" s="560">
        <v>0</v>
      </c>
      <c r="AN237" s="560">
        <v>0</v>
      </c>
      <c r="AO237" s="560">
        <v>0</v>
      </c>
      <c r="AP237" s="560">
        <v>0</v>
      </c>
      <c r="AQ237" s="560" t="s">
        <v>1811</v>
      </c>
      <c r="AR237" s="560" t="s">
        <v>1729</v>
      </c>
      <c r="AS237" s="560">
        <v>0</v>
      </c>
      <c r="AT237" s="560">
        <v>0</v>
      </c>
      <c r="AU237" s="560">
        <v>0</v>
      </c>
      <c r="AV237" s="560">
        <v>69</v>
      </c>
      <c r="AW237" s="560">
        <v>64</v>
      </c>
      <c r="AX237" s="560">
        <v>74</v>
      </c>
      <c r="AY237" s="560">
        <v>78</v>
      </c>
      <c r="AZ237" s="560">
        <v>1</v>
      </c>
      <c r="BA237" s="560">
        <v>2522</v>
      </c>
      <c r="BB237" s="560">
        <v>0</v>
      </c>
      <c r="BC237" s="560">
        <v>0.5</v>
      </c>
      <c r="BD237" s="560">
        <v>0</v>
      </c>
      <c r="BE237" s="560" t="s">
        <v>1798</v>
      </c>
      <c r="BF237" s="560">
        <v>3</v>
      </c>
      <c r="BG237" s="560">
        <v>17.399999999999999</v>
      </c>
      <c r="BH237" s="560">
        <v>1</v>
      </c>
      <c r="BI237" s="560">
        <v>2</v>
      </c>
      <c r="BJ237" s="560">
        <v>35</v>
      </c>
      <c r="BK237" s="560">
        <v>0</v>
      </c>
      <c r="BL237" s="560" t="s">
        <v>1747</v>
      </c>
      <c r="BM237" s="560">
        <v>3.0000000000000001E-3</v>
      </c>
      <c r="BN237" s="560">
        <v>15</v>
      </c>
      <c r="BO237" s="560">
        <v>6</v>
      </c>
      <c r="BP237" s="560" t="s">
        <v>1747</v>
      </c>
      <c r="BQ237" s="560">
        <v>5.0000000000000001E-3</v>
      </c>
      <c r="BR237" s="560">
        <v>40</v>
      </c>
      <c r="BS237" s="560">
        <v>6</v>
      </c>
      <c r="BT237" s="560">
        <v>2688</v>
      </c>
      <c r="BU237" s="560">
        <v>22848</v>
      </c>
      <c r="BV237" s="560">
        <v>0</v>
      </c>
      <c r="BW237" s="560">
        <v>30.609376350000002</v>
      </c>
      <c r="BX237" s="560">
        <v>1480</v>
      </c>
      <c r="BY237" s="560">
        <v>17.543859650000002</v>
      </c>
      <c r="BZ237" s="560">
        <v>1344</v>
      </c>
      <c r="CA237" s="560">
        <v>37.664196859999997</v>
      </c>
      <c r="CB237" s="560">
        <v>0.85</v>
      </c>
      <c r="CC237" s="560">
        <v>94</v>
      </c>
      <c r="CD237" s="560">
        <v>94</v>
      </c>
      <c r="CE237" s="560">
        <v>94</v>
      </c>
      <c r="CF237" s="560">
        <v>94</v>
      </c>
      <c r="CG237" s="560">
        <v>0.29299999999999998</v>
      </c>
      <c r="CH237" s="560">
        <v>0.3</v>
      </c>
      <c r="CI237" s="560">
        <v>0.54</v>
      </c>
      <c r="CJ237" s="560">
        <v>40</v>
      </c>
      <c r="CK237" s="560">
        <v>5</v>
      </c>
      <c r="CL237" s="560">
        <v>4</v>
      </c>
      <c r="CM237" s="562">
        <v>1344</v>
      </c>
      <c r="CN237" s="562">
        <v>148</v>
      </c>
      <c r="CO237" s="562">
        <v>30.609376350000002</v>
      </c>
      <c r="CP237" s="562">
        <v>0</v>
      </c>
      <c r="CQ237" s="562">
        <v>0</v>
      </c>
      <c r="CR237" s="562" t="s">
        <v>1718</v>
      </c>
      <c r="CS237" s="562">
        <v>0</v>
      </c>
      <c r="CT237" s="562">
        <v>0</v>
      </c>
      <c r="CU237" s="562">
        <v>0.75</v>
      </c>
      <c r="CV237" s="562">
        <v>0.5</v>
      </c>
      <c r="CW237" s="562">
        <v>17.856999999999999</v>
      </c>
      <c r="CX237" s="562">
        <v>6.5</v>
      </c>
      <c r="CY237" s="562">
        <v>17.856999999999999</v>
      </c>
      <c r="CZ237" s="560">
        <v>2665.6</v>
      </c>
      <c r="DA237" s="560">
        <v>17</v>
      </c>
      <c r="DB237" s="560" t="s">
        <v>1719</v>
      </c>
      <c r="DC237" s="560">
        <v>50</v>
      </c>
      <c r="DD237" s="560">
        <v>4</v>
      </c>
      <c r="DE237" s="560" t="s">
        <v>1720</v>
      </c>
      <c r="DF237" s="560">
        <v>5</v>
      </c>
      <c r="DG237" s="560">
        <v>0</v>
      </c>
      <c r="DH237" s="560">
        <v>4.5</v>
      </c>
      <c r="DI237" s="560">
        <v>4.5</v>
      </c>
      <c r="DJ237" s="560">
        <v>0</v>
      </c>
      <c r="DK237" s="560">
        <v>0</v>
      </c>
      <c r="DL237" s="560">
        <v>0</v>
      </c>
      <c r="DM237" s="560">
        <v>0</v>
      </c>
      <c r="DN237" s="560">
        <v>0</v>
      </c>
      <c r="DO237" s="560">
        <v>0</v>
      </c>
    </row>
    <row r="238" spans="1:119" hidden="1">
      <c r="A238" s="560" t="s">
        <v>1812</v>
      </c>
      <c r="B238" s="560" t="s">
        <v>1713</v>
      </c>
      <c r="C238" s="560" t="s">
        <v>779</v>
      </c>
      <c r="D238" s="560">
        <v>3</v>
      </c>
      <c r="E238" s="560">
        <v>480.04144600000001</v>
      </c>
      <c r="F238" s="560">
        <v>57.482222</v>
      </c>
      <c r="G238" s="560">
        <v>6644.9655000000002</v>
      </c>
      <c r="H238" s="560">
        <v>139.9665</v>
      </c>
      <c r="I238" s="560">
        <v>0.91800700000000002</v>
      </c>
      <c r="J238" s="560">
        <v>0.28887200000000002</v>
      </c>
      <c r="K238" s="560">
        <v>0.306865</v>
      </c>
      <c r="L238" s="560">
        <v>0.427261</v>
      </c>
      <c r="M238" s="560">
        <v>15427.278711000001</v>
      </c>
      <c r="N238" s="560">
        <v>15689.785604000001</v>
      </c>
      <c r="O238" s="560">
        <v>4339.7426930000001</v>
      </c>
      <c r="P238" s="560">
        <v>65.803725</v>
      </c>
      <c r="Q238" s="560">
        <v>380.344651</v>
      </c>
      <c r="R238" s="560">
        <v>1662.6394190000001</v>
      </c>
      <c r="S238" s="560">
        <v>891.05955700000004</v>
      </c>
      <c r="T238" s="560">
        <v>1064.5252740000001</v>
      </c>
      <c r="U238" s="560">
        <v>257.06304399999999</v>
      </c>
      <c r="V238" s="560">
        <v>36.908591000000001</v>
      </c>
      <c r="W238" s="560">
        <v>14.501678</v>
      </c>
      <c r="X238" s="560">
        <v>0</v>
      </c>
      <c r="Y238" s="560">
        <v>24.736332999999998</v>
      </c>
      <c r="Z238" s="560">
        <v>108.132459</v>
      </c>
      <c r="AA238" s="560">
        <v>44026.683532000003</v>
      </c>
      <c r="AB238" s="560">
        <v>44871.701052999997</v>
      </c>
      <c r="AC238" s="560">
        <v>22250.434010000001</v>
      </c>
      <c r="AD238" s="560">
        <v>14336.373969</v>
      </c>
      <c r="AE238" s="560">
        <v>780.52759700000001</v>
      </c>
      <c r="AF238" s="560">
        <v>13393.461337999999</v>
      </c>
      <c r="AG238" s="560">
        <v>14463.409549</v>
      </c>
      <c r="AH238" s="560">
        <v>3575.610537</v>
      </c>
      <c r="AI238" s="560">
        <v>0</v>
      </c>
      <c r="AJ238" s="560">
        <v>837.90989200000001</v>
      </c>
      <c r="AK238" s="560">
        <v>0</v>
      </c>
      <c r="AL238" s="560">
        <v>200.75</v>
      </c>
      <c r="AM238" s="560">
        <v>0</v>
      </c>
      <c r="AN238" s="560">
        <v>0</v>
      </c>
      <c r="AO238" s="560">
        <v>0</v>
      </c>
      <c r="AP238" s="560">
        <v>0</v>
      </c>
      <c r="AQ238" s="560" t="s">
        <v>1812</v>
      </c>
      <c r="AR238" s="560" t="s">
        <v>1729</v>
      </c>
      <c r="AS238" s="560">
        <v>0</v>
      </c>
      <c r="AT238" s="560">
        <v>0</v>
      </c>
      <c r="AU238" s="560">
        <v>0</v>
      </c>
      <c r="AV238" s="560">
        <v>69</v>
      </c>
      <c r="AW238" s="560">
        <v>64</v>
      </c>
      <c r="AX238" s="560">
        <v>74</v>
      </c>
      <c r="AY238" s="560">
        <v>78</v>
      </c>
      <c r="AZ238" s="560">
        <v>1</v>
      </c>
      <c r="BA238" s="560">
        <v>2522</v>
      </c>
      <c r="BB238" s="560">
        <v>0</v>
      </c>
      <c r="BC238" s="560">
        <v>0.5</v>
      </c>
      <c r="BD238" s="560">
        <v>0</v>
      </c>
      <c r="BE238" s="560" t="s">
        <v>1798</v>
      </c>
      <c r="BF238" s="560">
        <v>3</v>
      </c>
      <c r="BG238" s="560">
        <v>17.399999999999999</v>
      </c>
      <c r="BH238" s="560">
        <v>1</v>
      </c>
      <c r="BI238" s="560">
        <v>2</v>
      </c>
      <c r="BJ238" s="560">
        <v>35</v>
      </c>
      <c r="BK238" s="560">
        <v>0</v>
      </c>
      <c r="BL238" s="560" t="s">
        <v>1747</v>
      </c>
      <c r="BM238" s="560">
        <v>3.0000000000000001E-3</v>
      </c>
      <c r="BN238" s="560">
        <v>15</v>
      </c>
      <c r="BO238" s="560">
        <v>4.5</v>
      </c>
      <c r="BP238" s="560" t="s">
        <v>1747</v>
      </c>
      <c r="BQ238" s="560">
        <v>5.0000000000000001E-3</v>
      </c>
      <c r="BR238" s="560">
        <v>40</v>
      </c>
      <c r="BS238" s="560">
        <v>4.9000000000000004</v>
      </c>
      <c r="BT238" s="560">
        <v>2688</v>
      </c>
      <c r="BU238" s="560">
        <v>22848</v>
      </c>
      <c r="BV238" s="560">
        <v>0</v>
      </c>
      <c r="BW238" s="560">
        <v>26.8</v>
      </c>
      <c r="BX238" s="560">
        <v>1480</v>
      </c>
      <c r="BY238" s="560">
        <v>11.4</v>
      </c>
      <c r="BZ238" s="560">
        <v>1344</v>
      </c>
      <c r="CA238" s="560">
        <v>35</v>
      </c>
      <c r="CB238" s="560">
        <v>0.85</v>
      </c>
      <c r="CC238" s="560">
        <v>94</v>
      </c>
      <c r="CD238" s="560">
        <v>94</v>
      </c>
      <c r="CE238" s="560">
        <v>94</v>
      </c>
      <c r="CF238" s="560">
        <v>94</v>
      </c>
      <c r="CG238" s="560">
        <v>0.29299999999999998</v>
      </c>
      <c r="CH238" s="560">
        <v>0.3</v>
      </c>
      <c r="CI238" s="560">
        <v>0.54</v>
      </c>
      <c r="CJ238" s="560">
        <v>40</v>
      </c>
      <c r="CK238" s="560">
        <v>5</v>
      </c>
      <c r="CL238" s="560">
        <v>4</v>
      </c>
      <c r="CM238" s="562">
        <v>1344</v>
      </c>
      <c r="CN238" s="562">
        <v>148</v>
      </c>
      <c r="CO238" s="562">
        <v>26.8</v>
      </c>
      <c r="CP238" s="562">
        <v>0</v>
      </c>
      <c r="CQ238" s="562">
        <v>0</v>
      </c>
      <c r="CR238" s="562" t="s">
        <v>1718</v>
      </c>
      <c r="CS238" s="562">
        <v>0</v>
      </c>
      <c r="CT238" s="562">
        <v>0</v>
      </c>
      <c r="CU238" s="562">
        <v>0.75</v>
      </c>
      <c r="CV238" s="562">
        <v>0.5</v>
      </c>
      <c r="CW238" s="562">
        <v>17.856999999999999</v>
      </c>
      <c r="CX238" s="562">
        <v>6.5</v>
      </c>
      <c r="CY238" s="562">
        <v>17.856999999999999</v>
      </c>
      <c r="CZ238" s="560">
        <v>2665.6</v>
      </c>
      <c r="DA238" s="560">
        <v>17</v>
      </c>
      <c r="DB238" s="560" t="s">
        <v>1719</v>
      </c>
      <c r="DC238" s="560">
        <v>50</v>
      </c>
      <c r="DD238" s="560">
        <v>4</v>
      </c>
      <c r="DE238" s="560" t="s">
        <v>1720</v>
      </c>
      <c r="DF238" s="560">
        <v>5</v>
      </c>
      <c r="DG238" s="560">
        <v>0</v>
      </c>
      <c r="DH238" s="560">
        <v>4.5</v>
      </c>
      <c r="DI238" s="560">
        <v>4.5</v>
      </c>
      <c r="DJ238" s="560">
        <v>0</v>
      </c>
      <c r="DK238" s="560">
        <v>0</v>
      </c>
      <c r="DL238" s="560">
        <v>0</v>
      </c>
      <c r="DM238" s="560">
        <v>0</v>
      </c>
      <c r="DN238" s="560">
        <v>0</v>
      </c>
      <c r="DO238" s="560">
        <v>0</v>
      </c>
    </row>
    <row r="239" spans="1:119" hidden="1">
      <c r="A239" s="560" t="s">
        <v>1813</v>
      </c>
      <c r="B239" s="560" t="s">
        <v>1713</v>
      </c>
      <c r="C239" s="560" t="s">
        <v>794</v>
      </c>
      <c r="D239" s="560">
        <v>3</v>
      </c>
      <c r="E239" s="560">
        <v>438.56593900000001</v>
      </c>
      <c r="F239" s="560">
        <v>56.604092000000001</v>
      </c>
      <c r="G239" s="560">
        <v>7927.5</v>
      </c>
      <c r="H239" s="560">
        <v>139.9665</v>
      </c>
      <c r="I239" s="560">
        <v>0.90101900000000001</v>
      </c>
      <c r="J239" s="560">
        <v>0.27956900000000001</v>
      </c>
      <c r="K239" s="560">
        <v>0.29582399999999998</v>
      </c>
      <c r="L239" s="560">
        <v>0.440992</v>
      </c>
      <c r="M239" s="560">
        <v>17411.644340999999</v>
      </c>
      <c r="N239" s="560">
        <v>17673.056841000001</v>
      </c>
      <c r="O239" s="560">
        <v>4903.5312299999996</v>
      </c>
      <c r="P239" s="560">
        <v>130.29408699999999</v>
      </c>
      <c r="Q239" s="560">
        <v>425.37847900000003</v>
      </c>
      <c r="R239" s="560">
        <v>1859.500387</v>
      </c>
      <c r="S239" s="560">
        <v>886.965867</v>
      </c>
      <c r="T239" s="560">
        <v>1063.7078879999999</v>
      </c>
      <c r="U239" s="560">
        <v>257.26333099999999</v>
      </c>
      <c r="V239" s="560">
        <v>38.438895000000002</v>
      </c>
      <c r="W239" s="560">
        <v>15.048266</v>
      </c>
      <c r="X239" s="560">
        <v>0</v>
      </c>
      <c r="Y239" s="560">
        <v>24.697436</v>
      </c>
      <c r="Z239" s="560">
        <v>107.962425</v>
      </c>
      <c r="AA239" s="560">
        <v>46176.683323999998</v>
      </c>
      <c r="AB239" s="560">
        <v>46986.782613000003</v>
      </c>
      <c r="AC239" s="560">
        <v>27874.1914</v>
      </c>
      <c r="AD239" s="560">
        <v>20100.144949000001</v>
      </c>
      <c r="AE239" s="560">
        <v>780.52759700000001</v>
      </c>
      <c r="AF239" s="560">
        <v>12741.719465</v>
      </c>
      <c r="AG239" s="560">
        <v>13775.35909</v>
      </c>
      <c r="AH239" s="560">
        <v>3415.571731</v>
      </c>
      <c r="AI239" s="560">
        <v>0</v>
      </c>
      <c r="AJ239" s="560">
        <v>890.91166599999997</v>
      </c>
      <c r="AK239" s="560">
        <v>0</v>
      </c>
      <c r="AL239" s="560">
        <v>200.75</v>
      </c>
      <c r="AM239" s="560">
        <v>0</v>
      </c>
      <c r="AN239" s="560">
        <v>0</v>
      </c>
      <c r="AO239" s="560">
        <v>0</v>
      </c>
      <c r="AP239" s="560">
        <v>0</v>
      </c>
      <c r="AQ239" s="560" t="s">
        <v>1813</v>
      </c>
      <c r="AR239" s="560" t="s">
        <v>1738</v>
      </c>
      <c r="AS239" s="560">
        <v>0</v>
      </c>
      <c r="AT239" s="560">
        <v>0</v>
      </c>
      <c r="AU239" s="560">
        <v>0</v>
      </c>
      <c r="AV239" s="560">
        <v>69</v>
      </c>
      <c r="AW239" s="560">
        <v>64</v>
      </c>
      <c r="AX239" s="560">
        <v>74</v>
      </c>
      <c r="AY239" s="560">
        <v>78</v>
      </c>
      <c r="AZ239" s="560">
        <v>1</v>
      </c>
      <c r="BA239" s="560">
        <v>2522</v>
      </c>
      <c r="BB239" s="560">
        <v>0</v>
      </c>
      <c r="BC239" s="560">
        <v>0.5</v>
      </c>
      <c r="BD239" s="560">
        <v>0</v>
      </c>
      <c r="BE239" s="560" t="s">
        <v>1798</v>
      </c>
      <c r="BF239" s="560">
        <v>3</v>
      </c>
      <c r="BG239" s="560">
        <v>17.399999999999999</v>
      </c>
      <c r="BH239" s="560">
        <v>1</v>
      </c>
      <c r="BI239" s="560">
        <v>2</v>
      </c>
      <c r="BJ239" s="560">
        <v>35</v>
      </c>
      <c r="BK239" s="560">
        <v>0</v>
      </c>
      <c r="BL239" s="560" t="s">
        <v>1747</v>
      </c>
      <c r="BM239" s="560">
        <v>3.0000000000000001E-3</v>
      </c>
      <c r="BN239" s="560">
        <v>15</v>
      </c>
      <c r="BO239" s="560">
        <v>6</v>
      </c>
      <c r="BP239" s="560" t="s">
        <v>1747</v>
      </c>
      <c r="BQ239" s="560">
        <v>5.0000000000000001E-3</v>
      </c>
      <c r="BR239" s="560">
        <v>40</v>
      </c>
      <c r="BS239" s="560">
        <v>6</v>
      </c>
      <c r="BT239" s="560">
        <v>2688</v>
      </c>
      <c r="BU239" s="560">
        <v>22848</v>
      </c>
      <c r="BV239" s="560">
        <v>0</v>
      </c>
      <c r="BW239" s="560">
        <v>30.609376350000002</v>
      </c>
      <c r="BX239" s="560">
        <v>1480</v>
      </c>
      <c r="BY239" s="560">
        <v>17.543859650000002</v>
      </c>
      <c r="BZ239" s="560">
        <v>1344</v>
      </c>
      <c r="CA239" s="560">
        <v>37.664196859999997</v>
      </c>
      <c r="CB239" s="560">
        <v>0.85</v>
      </c>
      <c r="CC239" s="560">
        <v>94</v>
      </c>
      <c r="CD239" s="560">
        <v>94</v>
      </c>
      <c r="CE239" s="560">
        <v>94</v>
      </c>
      <c r="CF239" s="560">
        <v>94</v>
      </c>
      <c r="CG239" s="560">
        <v>0.29299999999999998</v>
      </c>
      <c r="CH239" s="560">
        <v>0.3</v>
      </c>
      <c r="CI239" s="560">
        <v>0.54</v>
      </c>
      <c r="CJ239" s="560">
        <v>40</v>
      </c>
      <c r="CK239" s="560">
        <v>5</v>
      </c>
      <c r="CL239" s="560">
        <v>4</v>
      </c>
      <c r="CM239" s="562">
        <v>1344</v>
      </c>
      <c r="CN239" s="562">
        <v>148</v>
      </c>
      <c r="CO239" s="562">
        <v>30.609376350000002</v>
      </c>
      <c r="CP239" s="562">
        <v>0</v>
      </c>
      <c r="CQ239" s="562">
        <v>0</v>
      </c>
      <c r="CR239" s="562" t="s">
        <v>1718</v>
      </c>
      <c r="CS239" s="562">
        <v>0</v>
      </c>
      <c r="CT239" s="562">
        <v>0</v>
      </c>
      <c r="CU239" s="562">
        <v>0.75</v>
      </c>
      <c r="CV239" s="562">
        <v>0.5</v>
      </c>
      <c r="CW239" s="562">
        <v>17.856999999999999</v>
      </c>
      <c r="CX239" s="562">
        <v>6.5</v>
      </c>
      <c r="CY239" s="562">
        <v>17.856999999999999</v>
      </c>
      <c r="CZ239" s="560">
        <v>2665.6</v>
      </c>
      <c r="DA239" s="560">
        <v>17</v>
      </c>
      <c r="DB239" s="560" t="s">
        <v>1719</v>
      </c>
      <c r="DC239" s="560">
        <v>50</v>
      </c>
      <c r="DD239" s="560">
        <v>4</v>
      </c>
      <c r="DE239" s="560" t="s">
        <v>1720</v>
      </c>
      <c r="DF239" s="560">
        <v>5</v>
      </c>
      <c r="DG239" s="560">
        <v>0</v>
      </c>
      <c r="DH239" s="560">
        <v>4.5</v>
      </c>
      <c r="DI239" s="560">
        <v>4.5</v>
      </c>
      <c r="DJ239" s="560">
        <v>0</v>
      </c>
      <c r="DK239" s="560">
        <v>0</v>
      </c>
      <c r="DL239" s="560">
        <v>0</v>
      </c>
      <c r="DM239" s="560">
        <v>0</v>
      </c>
      <c r="DN239" s="560">
        <v>0</v>
      </c>
      <c r="DO239" s="560">
        <v>0</v>
      </c>
    </row>
    <row r="240" spans="1:119" hidden="1">
      <c r="A240" s="560" t="s">
        <v>1814</v>
      </c>
      <c r="B240" s="560" t="s">
        <v>1713</v>
      </c>
      <c r="C240" s="560" t="s">
        <v>794</v>
      </c>
      <c r="D240" s="560">
        <v>3</v>
      </c>
      <c r="E240" s="560">
        <v>472.47578900000002</v>
      </c>
      <c r="F240" s="560">
        <v>57.110500000000002</v>
      </c>
      <c r="G240" s="560">
        <v>7927.5</v>
      </c>
      <c r="H240" s="560">
        <v>139.9665</v>
      </c>
      <c r="I240" s="560">
        <v>0.90101900000000001</v>
      </c>
      <c r="J240" s="560">
        <v>0.27936899999999998</v>
      </c>
      <c r="K240" s="560">
        <v>0.29231499999999999</v>
      </c>
      <c r="L240" s="560">
        <v>0.44135400000000002</v>
      </c>
      <c r="M240" s="560">
        <v>19143.117337</v>
      </c>
      <c r="N240" s="560">
        <v>19470.384354000002</v>
      </c>
      <c r="O240" s="560">
        <v>5405.1262020000004</v>
      </c>
      <c r="P240" s="560">
        <v>185.89636200000001</v>
      </c>
      <c r="Q240" s="560">
        <v>466.62385599999999</v>
      </c>
      <c r="R240" s="560">
        <v>2039.8005189999999</v>
      </c>
      <c r="S240" s="560">
        <v>891.05955700000004</v>
      </c>
      <c r="T240" s="560">
        <v>1064.5252740000001</v>
      </c>
      <c r="U240" s="560">
        <v>257.06304399999999</v>
      </c>
      <c r="V240" s="560">
        <v>36.908591000000001</v>
      </c>
      <c r="W240" s="560">
        <v>14.501678</v>
      </c>
      <c r="X240" s="560">
        <v>0</v>
      </c>
      <c r="Y240" s="560">
        <v>24.736332999999998</v>
      </c>
      <c r="Z240" s="560">
        <v>108.132459</v>
      </c>
      <c r="AA240" s="560">
        <v>47763.848721000002</v>
      </c>
      <c r="AB240" s="560">
        <v>48683.085175</v>
      </c>
      <c r="AC240" s="560">
        <v>29612.063818999999</v>
      </c>
      <c r="AD240" s="560">
        <v>21842.284769999998</v>
      </c>
      <c r="AE240" s="560">
        <v>780.52759700000001</v>
      </c>
      <c r="AF240" s="560">
        <v>13393.461337999999</v>
      </c>
      <c r="AG240" s="560">
        <v>14463.409549</v>
      </c>
      <c r="AH240" s="560">
        <v>3575.610537</v>
      </c>
      <c r="AI240" s="560">
        <v>0</v>
      </c>
      <c r="AJ240" s="560">
        <v>973.70224599999995</v>
      </c>
      <c r="AK240" s="560">
        <v>0</v>
      </c>
      <c r="AL240" s="560">
        <v>200.75</v>
      </c>
      <c r="AM240" s="560">
        <v>0</v>
      </c>
      <c r="AN240" s="560">
        <v>0</v>
      </c>
      <c r="AO240" s="560">
        <v>0</v>
      </c>
      <c r="AP240" s="560">
        <v>0</v>
      </c>
      <c r="AQ240" s="560" t="s">
        <v>1814</v>
      </c>
      <c r="AR240" s="560" t="s">
        <v>1738</v>
      </c>
      <c r="AS240" s="560">
        <v>0</v>
      </c>
      <c r="AT240" s="560">
        <v>0</v>
      </c>
      <c r="AU240" s="560">
        <v>0</v>
      </c>
      <c r="AV240" s="560">
        <v>69</v>
      </c>
      <c r="AW240" s="560">
        <v>64</v>
      </c>
      <c r="AX240" s="560">
        <v>74</v>
      </c>
      <c r="AY240" s="560">
        <v>78</v>
      </c>
      <c r="AZ240" s="560">
        <v>1</v>
      </c>
      <c r="BA240" s="560">
        <v>2522</v>
      </c>
      <c r="BB240" s="560">
        <v>0</v>
      </c>
      <c r="BC240" s="560">
        <v>0.5</v>
      </c>
      <c r="BD240" s="560">
        <v>0</v>
      </c>
      <c r="BE240" s="560" t="s">
        <v>1798</v>
      </c>
      <c r="BF240" s="560">
        <v>3</v>
      </c>
      <c r="BG240" s="560">
        <v>17.399999999999999</v>
      </c>
      <c r="BH240" s="560">
        <v>1</v>
      </c>
      <c r="BI240" s="560">
        <v>2</v>
      </c>
      <c r="BJ240" s="560">
        <v>35</v>
      </c>
      <c r="BK240" s="560">
        <v>0</v>
      </c>
      <c r="BL240" s="560" t="s">
        <v>1747</v>
      </c>
      <c r="BM240" s="560">
        <v>3.0000000000000001E-3</v>
      </c>
      <c r="BN240" s="560">
        <v>15</v>
      </c>
      <c r="BO240" s="560">
        <v>4.5</v>
      </c>
      <c r="BP240" s="560" t="s">
        <v>1747</v>
      </c>
      <c r="BQ240" s="560">
        <v>5.0000000000000001E-3</v>
      </c>
      <c r="BR240" s="560">
        <v>40</v>
      </c>
      <c r="BS240" s="560">
        <v>4.9000000000000004</v>
      </c>
      <c r="BT240" s="560">
        <v>2688</v>
      </c>
      <c r="BU240" s="560">
        <v>22848</v>
      </c>
      <c r="BV240" s="560">
        <v>0</v>
      </c>
      <c r="BW240" s="560">
        <v>26.8</v>
      </c>
      <c r="BX240" s="560">
        <v>1480</v>
      </c>
      <c r="BY240" s="560">
        <v>11.4</v>
      </c>
      <c r="BZ240" s="560">
        <v>1344</v>
      </c>
      <c r="CA240" s="560">
        <v>35</v>
      </c>
      <c r="CB240" s="560">
        <v>0.85</v>
      </c>
      <c r="CC240" s="560">
        <v>94</v>
      </c>
      <c r="CD240" s="560">
        <v>94</v>
      </c>
      <c r="CE240" s="560">
        <v>94</v>
      </c>
      <c r="CF240" s="560">
        <v>94</v>
      </c>
      <c r="CG240" s="560">
        <v>0.29299999999999998</v>
      </c>
      <c r="CH240" s="560">
        <v>0.3</v>
      </c>
      <c r="CI240" s="560">
        <v>0.54</v>
      </c>
      <c r="CJ240" s="560">
        <v>40</v>
      </c>
      <c r="CK240" s="560">
        <v>5</v>
      </c>
      <c r="CL240" s="560">
        <v>4</v>
      </c>
      <c r="CM240" s="562">
        <v>1344</v>
      </c>
      <c r="CN240" s="562">
        <v>148</v>
      </c>
      <c r="CO240" s="562">
        <v>26.8</v>
      </c>
      <c r="CP240" s="562">
        <v>0</v>
      </c>
      <c r="CQ240" s="562">
        <v>0</v>
      </c>
      <c r="CR240" s="562" t="s">
        <v>1718</v>
      </c>
      <c r="CS240" s="562">
        <v>0</v>
      </c>
      <c r="CT240" s="562">
        <v>0</v>
      </c>
      <c r="CU240" s="562">
        <v>0.75</v>
      </c>
      <c r="CV240" s="562">
        <v>0.5</v>
      </c>
      <c r="CW240" s="562">
        <v>17.856999999999999</v>
      </c>
      <c r="CX240" s="562">
        <v>6.5</v>
      </c>
      <c r="CY240" s="562">
        <v>17.856999999999999</v>
      </c>
      <c r="CZ240" s="560">
        <v>2665.6</v>
      </c>
      <c r="DA240" s="560">
        <v>17</v>
      </c>
      <c r="DB240" s="560" t="s">
        <v>1719</v>
      </c>
      <c r="DC240" s="560">
        <v>50</v>
      </c>
      <c r="DD240" s="560">
        <v>4</v>
      </c>
      <c r="DE240" s="560" t="s">
        <v>1720</v>
      </c>
      <c r="DF240" s="560">
        <v>5</v>
      </c>
      <c r="DG240" s="560">
        <v>0</v>
      </c>
      <c r="DH240" s="560">
        <v>4.5</v>
      </c>
      <c r="DI240" s="560">
        <v>4.5</v>
      </c>
      <c r="DJ240" s="560">
        <v>0</v>
      </c>
      <c r="DK240" s="560">
        <v>0</v>
      </c>
      <c r="DL240" s="560">
        <v>0</v>
      </c>
      <c r="DM240" s="560">
        <v>0</v>
      </c>
      <c r="DN240" s="560">
        <v>0</v>
      </c>
      <c r="DO240" s="560">
        <v>0</v>
      </c>
    </row>
    <row r="241" spans="1:119" hidden="1">
      <c r="A241" s="560" t="s">
        <v>1815</v>
      </c>
      <c r="B241" s="560" t="s">
        <v>1713</v>
      </c>
      <c r="C241" s="560" t="s">
        <v>764</v>
      </c>
      <c r="D241" s="560">
        <v>3</v>
      </c>
      <c r="E241" s="560">
        <v>763.65734999999995</v>
      </c>
      <c r="F241" s="560">
        <v>58.584834000000001</v>
      </c>
      <c r="G241" s="560">
        <v>4974.4274999999998</v>
      </c>
      <c r="H241" s="560">
        <v>139.9665</v>
      </c>
      <c r="I241" s="560">
        <v>0.968943</v>
      </c>
      <c r="J241" s="560">
        <v>0.31700699999999998</v>
      </c>
      <c r="K241" s="560">
        <v>0.34126800000000002</v>
      </c>
      <c r="L241" s="560">
        <v>0.50236000000000003</v>
      </c>
      <c r="M241" s="560">
        <v>18809.693224999999</v>
      </c>
      <c r="N241" s="560">
        <v>19509.208962000001</v>
      </c>
      <c r="O241" s="560">
        <v>5764.8870020000004</v>
      </c>
      <c r="P241" s="560">
        <v>744.73863400000005</v>
      </c>
      <c r="Q241" s="560">
        <v>455.170703</v>
      </c>
      <c r="R241" s="560">
        <v>1989.734179</v>
      </c>
      <c r="S241" s="560">
        <v>1564.8356650000001</v>
      </c>
      <c r="T241" s="560">
        <v>1812.635088</v>
      </c>
      <c r="U241" s="560">
        <v>430.17884299999997</v>
      </c>
      <c r="V241" s="560">
        <v>35.044054000000003</v>
      </c>
      <c r="W241" s="560">
        <v>8.2908530000000003</v>
      </c>
      <c r="X241" s="560">
        <v>0.1</v>
      </c>
      <c r="Y241" s="560">
        <v>42.432808999999999</v>
      </c>
      <c r="Z241" s="560">
        <v>185.49087399999999</v>
      </c>
      <c r="AA241" s="560">
        <v>73042.892550999997</v>
      </c>
      <c r="AB241" s="560">
        <v>75625.923790000001</v>
      </c>
      <c r="AC241" s="560">
        <v>54095.728902000003</v>
      </c>
      <c r="AD241" s="560">
        <v>46264.854628000001</v>
      </c>
      <c r="AE241" s="560">
        <v>780.52759700000001</v>
      </c>
      <c r="AF241" s="560">
        <v>24296.878052</v>
      </c>
      <c r="AG241" s="560">
        <v>26652.494316</v>
      </c>
      <c r="AH241" s="560">
        <v>6323.1715469999999</v>
      </c>
      <c r="AI241" s="560">
        <v>105.45</v>
      </c>
      <c r="AJ241" s="560">
        <v>1029.2271189999999</v>
      </c>
      <c r="AK241" s="560">
        <v>0</v>
      </c>
      <c r="AL241" s="560">
        <v>200.75</v>
      </c>
      <c r="AM241" s="560">
        <v>0</v>
      </c>
      <c r="AN241" s="560">
        <v>0</v>
      </c>
      <c r="AO241" s="560">
        <v>0</v>
      </c>
      <c r="AP241" s="560">
        <v>0</v>
      </c>
      <c r="AQ241" s="560" t="s">
        <v>1815</v>
      </c>
      <c r="AR241" s="560" t="s">
        <v>1714</v>
      </c>
      <c r="AS241" s="560">
        <v>0</v>
      </c>
      <c r="AT241" s="560">
        <v>0</v>
      </c>
      <c r="AU241" s="560">
        <v>0</v>
      </c>
      <c r="AV241" s="560">
        <v>69</v>
      </c>
      <c r="AW241" s="560">
        <v>64</v>
      </c>
      <c r="AX241" s="560">
        <v>74</v>
      </c>
      <c r="AY241" s="560">
        <v>78</v>
      </c>
      <c r="AZ241" s="560">
        <v>1</v>
      </c>
      <c r="BA241" s="560">
        <v>3099</v>
      </c>
      <c r="BB241" s="560">
        <v>0</v>
      </c>
      <c r="BC241" s="560">
        <v>0.5</v>
      </c>
      <c r="BD241" s="560">
        <v>0</v>
      </c>
      <c r="BE241" s="560" t="s">
        <v>1798</v>
      </c>
      <c r="BF241" s="560">
        <v>3</v>
      </c>
      <c r="BG241" s="560">
        <v>17.399999999999999</v>
      </c>
      <c r="BH241" s="560">
        <v>1</v>
      </c>
      <c r="BI241" s="560">
        <v>2</v>
      </c>
      <c r="BJ241" s="560">
        <v>35</v>
      </c>
      <c r="BK241" s="560">
        <v>0</v>
      </c>
      <c r="BL241" s="560" t="s">
        <v>1747</v>
      </c>
      <c r="BM241" s="560">
        <v>0.02</v>
      </c>
      <c r="BN241" s="560">
        <v>0</v>
      </c>
      <c r="BO241" s="560">
        <v>6</v>
      </c>
      <c r="BP241" s="560" t="s">
        <v>1747</v>
      </c>
      <c r="BQ241" s="560">
        <v>0.03</v>
      </c>
      <c r="BR241" s="560">
        <v>60</v>
      </c>
      <c r="BS241" s="560">
        <v>6</v>
      </c>
      <c r="BT241" s="560">
        <v>5000</v>
      </c>
      <c r="BU241" s="560">
        <v>40100</v>
      </c>
      <c r="BV241" s="560">
        <v>200</v>
      </c>
      <c r="BW241" s="560">
        <v>30.609376350000002</v>
      </c>
      <c r="BX241" s="560">
        <v>2788</v>
      </c>
      <c r="BY241" s="560">
        <v>17.543859650000002</v>
      </c>
      <c r="BZ241" s="560">
        <v>1800</v>
      </c>
      <c r="CA241" s="560">
        <v>37.664196859999997</v>
      </c>
      <c r="CB241" s="560">
        <v>0.85</v>
      </c>
      <c r="CC241" s="560">
        <v>187.5</v>
      </c>
      <c r="CD241" s="560">
        <v>187.5</v>
      </c>
      <c r="CE241" s="560">
        <v>187.5</v>
      </c>
      <c r="CF241" s="560">
        <v>187.5</v>
      </c>
      <c r="CG241" s="560">
        <v>0.29299999999999998</v>
      </c>
      <c r="CH241" s="560">
        <v>0.3</v>
      </c>
      <c r="CI241" s="560">
        <v>0.54</v>
      </c>
      <c r="CJ241" s="560">
        <v>40</v>
      </c>
      <c r="CK241" s="560">
        <v>5</v>
      </c>
      <c r="CL241" s="560">
        <v>4</v>
      </c>
      <c r="CM241" s="562">
        <v>1600</v>
      </c>
      <c r="CN241" s="562">
        <v>164</v>
      </c>
      <c r="CO241" s="562">
        <v>30.609376350000002</v>
      </c>
      <c r="CP241" s="562">
        <v>0</v>
      </c>
      <c r="CQ241" s="562">
        <v>0</v>
      </c>
      <c r="CR241" s="562" t="s">
        <v>1718</v>
      </c>
      <c r="CS241" s="562">
        <v>0</v>
      </c>
      <c r="CT241" s="562">
        <v>0</v>
      </c>
      <c r="CU241" s="562">
        <v>0.75</v>
      </c>
      <c r="CV241" s="562">
        <v>0.5</v>
      </c>
      <c r="CW241" s="562">
        <v>17.856999999999999</v>
      </c>
      <c r="CX241" s="562">
        <v>6.5</v>
      </c>
      <c r="CY241" s="562">
        <v>17.856999999999999</v>
      </c>
      <c r="CZ241" s="560">
        <v>4678.3333329999996</v>
      </c>
      <c r="DA241" s="560">
        <v>26.5625</v>
      </c>
      <c r="DB241" s="560" t="s">
        <v>1719</v>
      </c>
      <c r="DC241" s="560">
        <v>50</v>
      </c>
      <c r="DD241" s="560">
        <v>4</v>
      </c>
      <c r="DE241" s="560" t="s">
        <v>1720</v>
      </c>
      <c r="DF241" s="560">
        <v>5</v>
      </c>
      <c r="DG241" s="560">
        <v>0</v>
      </c>
      <c r="DH241" s="560">
        <v>4.5</v>
      </c>
      <c r="DI241" s="560">
        <v>4.5</v>
      </c>
      <c r="DJ241" s="560">
        <v>0</v>
      </c>
      <c r="DK241" s="560">
        <v>0</v>
      </c>
      <c r="DL241" s="560">
        <v>0</v>
      </c>
      <c r="DM241" s="560">
        <v>0</v>
      </c>
      <c r="DN241" s="560">
        <v>0</v>
      </c>
      <c r="DO241" s="560">
        <v>0</v>
      </c>
    </row>
    <row r="242" spans="1:119" hidden="1">
      <c r="A242" s="560" t="s">
        <v>1816</v>
      </c>
      <c r="B242" s="560" t="s">
        <v>1713</v>
      </c>
      <c r="C242" s="560" t="s">
        <v>764</v>
      </c>
      <c r="D242" s="560">
        <v>3</v>
      </c>
      <c r="E242" s="560">
        <v>826.43093799999997</v>
      </c>
      <c r="F242" s="560">
        <v>58.962769999999999</v>
      </c>
      <c r="G242" s="560">
        <v>4974.4274999999998</v>
      </c>
      <c r="H242" s="560">
        <v>139.9665</v>
      </c>
      <c r="I242" s="560">
        <v>0.968943</v>
      </c>
      <c r="J242" s="560">
        <v>0.31712000000000001</v>
      </c>
      <c r="K242" s="560">
        <v>0.33711600000000003</v>
      </c>
      <c r="L242" s="560">
        <v>0.50384499999999999</v>
      </c>
      <c r="M242" s="560">
        <v>20891.568884</v>
      </c>
      <c r="N242" s="560">
        <v>21679.382526000001</v>
      </c>
      <c r="O242" s="560">
        <v>6454.0501610000001</v>
      </c>
      <c r="P242" s="560">
        <v>934.59896500000002</v>
      </c>
      <c r="Q242" s="560">
        <v>502.05593599999997</v>
      </c>
      <c r="R242" s="560">
        <v>2194.6883899999998</v>
      </c>
      <c r="S242" s="560">
        <v>1595.48594</v>
      </c>
      <c r="T242" s="560">
        <v>1843.327485</v>
      </c>
      <c r="U242" s="560">
        <v>436.19147199999998</v>
      </c>
      <c r="V242" s="560">
        <v>33.710355</v>
      </c>
      <c r="W242" s="560">
        <v>7.8945850000000002</v>
      </c>
      <c r="X242" s="560">
        <v>0.2</v>
      </c>
      <c r="Y242" s="560">
        <v>43.169862000000002</v>
      </c>
      <c r="Z242" s="560">
        <v>188.712828</v>
      </c>
      <c r="AA242" s="560">
        <v>75936.009267999994</v>
      </c>
      <c r="AB242" s="560">
        <v>78604.879973000003</v>
      </c>
      <c r="AC242" s="560">
        <v>57010.279295</v>
      </c>
      <c r="AD242" s="560">
        <v>49180.222803999997</v>
      </c>
      <c r="AE242" s="560">
        <v>780.52759700000001</v>
      </c>
      <c r="AF242" s="560">
        <v>25480.275320000001</v>
      </c>
      <c r="AG242" s="560">
        <v>27957.486788999999</v>
      </c>
      <c r="AH242" s="560">
        <v>6605.0777250000001</v>
      </c>
      <c r="AI242" s="560">
        <v>151.05000000000001</v>
      </c>
      <c r="AJ242" s="560">
        <v>1124.9333590000001</v>
      </c>
      <c r="AK242" s="560">
        <v>0</v>
      </c>
      <c r="AL242" s="560">
        <v>200.75</v>
      </c>
      <c r="AM242" s="560">
        <v>0</v>
      </c>
      <c r="AN242" s="560">
        <v>0</v>
      </c>
      <c r="AO242" s="560">
        <v>0</v>
      </c>
      <c r="AP242" s="560">
        <v>0</v>
      </c>
      <c r="AQ242" s="560" t="s">
        <v>1816</v>
      </c>
      <c r="AR242" s="560" t="s">
        <v>1714</v>
      </c>
      <c r="AS242" s="560">
        <v>0</v>
      </c>
      <c r="AT242" s="560">
        <v>0</v>
      </c>
      <c r="AU242" s="560">
        <v>0</v>
      </c>
      <c r="AV242" s="560">
        <v>69</v>
      </c>
      <c r="AW242" s="560">
        <v>64</v>
      </c>
      <c r="AX242" s="560">
        <v>74</v>
      </c>
      <c r="AY242" s="560">
        <v>78</v>
      </c>
      <c r="AZ242" s="560">
        <v>1</v>
      </c>
      <c r="BA242" s="560">
        <v>3099</v>
      </c>
      <c r="BB242" s="560">
        <v>0</v>
      </c>
      <c r="BC242" s="560">
        <v>0.5</v>
      </c>
      <c r="BD242" s="560">
        <v>0</v>
      </c>
      <c r="BE242" s="560" t="s">
        <v>1798</v>
      </c>
      <c r="BF242" s="560">
        <v>3</v>
      </c>
      <c r="BG242" s="560">
        <v>17.399999999999999</v>
      </c>
      <c r="BH242" s="560">
        <v>1</v>
      </c>
      <c r="BI242" s="560">
        <v>2</v>
      </c>
      <c r="BJ242" s="560">
        <v>35</v>
      </c>
      <c r="BK242" s="560">
        <v>0</v>
      </c>
      <c r="BL242" s="560" t="s">
        <v>1747</v>
      </c>
      <c r="BM242" s="560">
        <v>0.02</v>
      </c>
      <c r="BN242" s="560">
        <v>0</v>
      </c>
      <c r="BO242" s="560">
        <v>4.5</v>
      </c>
      <c r="BP242" s="560" t="s">
        <v>1747</v>
      </c>
      <c r="BQ242" s="560">
        <v>0.03</v>
      </c>
      <c r="BR242" s="560">
        <v>60</v>
      </c>
      <c r="BS242" s="560">
        <v>4.9000000000000004</v>
      </c>
      <c r="BT242" s="560">
        <v>5000</v>
      </c>
      <c r="BU242" s="560">
        <v>40100</v>
      </c>
      <c r="BV242" s="560">
        <v>200</v>
      </c>
      <c r="BW242" s="560">
        <v>26.8</v>
      </c>
      <c r="BX242" s="560">
        <v>2788</v>
      </c>
      <c r="BY242" s="560">
        <v>11.4</v>
      </c>
      <c r="BZ242" s="560">
        <v>1800</v>
      </c>
      <c r="CA242" s="560">
        <v>35</v>
      </c>
      <c r="CB242" s="560">
        <v>0.85</v>
      </c>
      <c r="CC242" s="560">
        <v>187.5</v>
      </c>
      <c r="CD242" s="560">
        <v>187.5</v>
      </c>
      <c r="CE242" s="560">
        <v>187.5</v>
      </c>
      <c r="CF242" s="560">
        <v>187.5</v>
      </c>
      <c r="CG242" s="560">
        <v>0.29299999999999998</v>
      </c>
      <c r="CH242" s="560">
        <v>0.3</v>
      </c>
      <c r="CI242" s="560">
        <v>0.54</v>
      </c>
      <c r="CJ242" s="560">
        <v>40</v>
      </c>
      <c r="CK242" s="560">
        <v>5</v>
      </c>
      <c r="CL242" s="560">
        <v>4</v>
      </c>
      <c r="CM242" s="562">
        <v>1600</v>
      </c>
      <c r="CN242" s="562">
        <v>164</v>
      </c>
      <c r="CO242" s="562">
        <v>26.8</v>
      </c>
      <c r="CP242" s="562">
        <v>0</v>
      </c>
      <c r="CQ242" s="562">
        <v>0</v>
      </c>
      <c r="CR242" s="562" t="s">
        <v>1718</v>
      </c>
      <c r="CS242" s="562">
        <v>0</v>
      </c>
      <c r="CT242" s="562">
        <v>0</v>
      </c>
      <c r="CU242" s="562">
        <v>0.75</v>
      </c>
      <c r="CV242" s="562">
        <v>0.5</v>
      </c>
      <c r="CW242" s="562">
        <v>17.856999999999999</v>
      </c>
      <c r="CX242" s="562">
        <v>6.5</v>
      </c>
      <c r="CY242" s="562">
        <v>17.856999999999999</v>
      </c>
      <c r="CZ242" s="560">
        <v>4678.3333329999996</v>
      </c>
      <c r="DA242" s="560">
        <v>26.5625</v>
      </c>
      <c r="DB242" s="560" t="s">
        <v>1719</v>
      </c>
      <c r="DC242" s="560">
        <v>50</v>
      </c>
      <c r="DD242" s="560">
        <v>4</v>
      </c>
      <c r="DE242" s="560" t="s">
        <v>1720</v>
      </c>
      <c r="DF242" s="560">
        <v>5</v>
      </c>
      <c r="DG242" s="560">
        <v>0</v>
      </c>
      <c r="DH242" s="560">
        <v>4.5</v>
      </c>
      <c r="DI242" s="560">
        <v>4.5</v>
      </c>
      <c r="DJ242" s="560">
        <v>0</v>
      </c>
      <c r="DK242" s="560">
        <v>0</v>
      </c>
      <c r="DL242" s="560">
        <v>0</v>
      </c>
      <c r="DM242" s="560">
        <v>0</v>
      </c>
      <c r="DN242" s="560">
        <v>0</v>
      </c>
      <c r="DO242" s="560">
        <v>0</v>
      </c>
    </row>
    <row r="243" spans="1:119" hidden="1">
      <c r="A243" s="560" t="s">
        <v>1817</v>
      </c>
      <c r="B243" s="560" t="s">
        <v>1713</v>
      </c>
      <c r="C243" s="560" t="s">
        <v>779</v>
      </c>
      <c r="D243" s="560">
        <v>3</v>
      </c>
      <c r="E243" s="560">
        <v>780.27579200000002</v>
      </c>
      <c r="F243" s="560">
        <v>57.374343000000003</v>
      </c>
      <c r="G243" s="560">
        <v>6644.9655000000002</v>
      </c>
      <c r="H243" s="560">
        <v>139.9665</v>
      </c>
      <c r="I243" s="560">
        <v>0.91800700000000002</v>
      </c>
      <c r="J243" s="560">
        <v>0.35783100000000001</v>
      </c>
      <c r="K243" s="560">
        <v>0.38457000000000002</v>
      </c>
      <c r="L243" s="560">
        <v>0.57567299999999999</v>
      </c>
      <c r="M243" s="560">
        <v>27317.125209999998</v>
      </c>
      <c r="N243" s="560">
        <v>28318.305053</v>
      </c>
      <c r="O243" s="560">
        <v>9058.8698480000003</v>
      </c>
      <c r="P243" s="560">
        <v>2174.0412259999998</v>
      </c>
      <c r="Q243" s="560">
        <v>630.160304</v>
      </c>
      <c r="R243" s="560">
        <v>2754.6840969999998</v>
      </c>
      <c r="S243" s="560">
        <v>1564.8356650000001</v>
      </c>
      <c r="T243" s="560">
        <v>1812.635088</v>
      </c>
      <c r="U243" s="560">
        <v>430.17884299999997</v>
      </c>
      <c r="V243" s="560">
        <v>35.044054000000003</v>
      </c>
      <c r="W243" s="560">
        <v>8.2908530000000003</v>
      </c>
      <c r="X243" s="560">
        <v>0.1</v>
      </c>
      <c r="Y243" s="560">
        <v>42.432808999999999</v>
      </c>
      <c r="Z243" s="560">
        <v>185.49087399999999</v>
      </c>
      <c r="AA243" s="560">
        <v>85277.982348000005</v>
      </c>
      <c r="AB243" s="560">
        <v>87905.509099999996</v>
      </c>
      <c r="AC243" s="560">
        <v>65018.673648000004</v>
      </c>
      <c r="AD243" s="560">
        <v>57072.873224000003</v>
      </c>
      <c r="AE243" s="560">
        <v>780.52759700000001</v>
      </c>
      <c r="AF243" s="560">
        <v>24296.878052</v>
      </c>
      <c r="AG243" s="560">
        <v>26652.494316</v>
      </c>
      <c r="AH243" s="560">
        <v>6323.1715469999999</v>
      </c>
      <c r="AI243" s="560">
        <v>72.05</v>
      </c>
      <c r="AJ243" s="560">
        <v>1403.0751720000001</v>
      </c>
      <c r="AK243" s="560">
        <v>0</v>
      </c>
      <c r="AL243" s="560">
        <v>200.75</v>
      </c>
      <c r="AM243" s="560">
        <v>0</v>
      </c>
      <c r="AN243" s="560">
        <v>0</v>
      </c>
      <c r="AO243" s="560">
        <v>0</v>
      </c>
      <c r="AP243" s="560">
        <v>0</v>
      </c>
      <c r="AQ243" s="560" t="s">
        <v>1817</v>
      </c>
      <c r="AR243" s="560" t="s">
        <v>1729</v>
      </c>
      <c r="AS243" s="560">
        <v>0</v>
      </c>
      <c r="AT243" s="560">
        <v>0</v>
      </c>
      <c r="AU243" s="560">
        <v>0</v>
      </c>
      <c r="AV243" s="560">
        <v>69</v>
      </c>
      <c r="AW243" s="560">
        <v>64</v>
      </c>
      <c r="AX243" s="560">
        <v>74</v>
      </c>
      <c r="AY243" s="560">
        <v>78</v>
      </c>
      <c r="AZ243" s="560">
        <v>1</v>
      </c>
      <c r="BA243" s="560">
        <v>3099</v>
      </c>
      <c r="BB243" s="560">
        <v>0</v>
      </c>
      <c r="BC243" s="560">
        <v>0.5</v>
      </c>
      <c r="BD243" s="560">
        <v>0</v>
      </c>
      <c r="BE243" s="560" t="s">
        <v>1798</v>
      </c>
      <c r="BF243" s="560">
        <v>3</v>
      </c>
      <c r="BG243" s="560">
        <v>17.399999999999999</v>
      </c>
      <c r="BH243" s="560">
        <v>1</v>
      </c>
      <c r="BI243" s="560">
        <v>2</v>
      </c>
      <c r="BJ243" s="560">
        <v>35</v>
      </c>
      <c r="BK243" s="560">
        <v>0</v>
      </c>
      <c r="BL243" s="560" t="s">
        <v>1747</v>
      </c>
      <c r="BM243" s="560">
        <v>0.02</v>
      </c>
      <c r="BN243" s="560">
        <v>0</v>
      </c>
      <c r="BO243" s="560">
        <v>6</v>
      </c>
      <c r="BP243" s="560" t="s">
        <v>1747</v>
      </c>
      <c r="BQ243" s="560">
        <v>0.03</v>
      </c>
      <c r="BR243" s="560">
        <v>60</v>
      </c>
      <c r="BS243" s="560">
        <v>6</v>
      </c>
      <c r="BT243" s="560">
        <v>5000</v>
      </c>
      <c r="BU243" s="560">
        <v>40100</v>
      </c>
      <c r="BV243" s="560">
        <v>200</v>
      </c>
      <c r="BW243" s="560">
        <v>30.609376350000002</v>
      </c>
      <c r="BX243" s="560">
        <v>2788</v>
      </c>
      <c r="BY243" s="560">
        <v>17.543859650000002</v>
      </c>
      <c r="BZ243" s="560">
        <v>1800</v>
      </c>
      <c r="CA243" s="560">
        <v>37.664196859999997</v>
      </c>
      <c r="CB243" s="560">
        <v>0.85</v>
      </c>
      <c r="CC243" s="560">
        <v>187.5</v>
      </c>
      <c r="CD243" s="560">
        <v>187.5</v>
      </c>
      <c r="CE243" s="560">
        <v>187.5</v>
      </c>
      <c r="CF243" s="560">
        <v>187.5</v>
      </c>
      <c r="CG243" s="560">
        <v>0.29299999999999998</v>
      </c>
      <c r="CH243" s="560">
        <v>0.3</v>
      </c>
      <c r="CI243" s="560">
        <v>0.54</v>
      </c>
      <c r="CJ243" s="560">
        <v>40</v>
      </c>
      <c r="CK243" s="560">
        <v>5</v>
      </c>
      <c r="CL243" s="560">
        <v>4</v>
      </c>
      <c r="CM243" s="562">
        <v>1600</v>
      </c>
      <c r="CN243" s="562">
        <v>164</v>
      </c>
      <c r="CO243" s="562">
        <v>30.609376350000002</v>
      </c>
      <c r="CP243" s="562">
        <v>0</v>
      </c>
      <c r="CQ243" s="562">
        <v>0</v>
      </c>
      <c r="CR243" s="562" t="s">
        <v>1718</v>
      </c>
      <c r="CS243" s="562">
        <v>0</v>
      </c>
      <c r="CT243" s="562">
        <v>0</v>
      </c>
      <c r="CU243" s="562">
        <v>0.75</v>
      </c>
      <c r="CV243" s="562">
        <v>0.5</v>
      </c>
      <c r="CW243" s="562">
        <v>17.856999999999999</v>
      </c>
      <c r="CX243" s="562">
        <v>6.5</v>
      </c>
      <c r="CY243" s="562">
        <v>17.856999999999999</v>
      </c>
      <c r="CZ243" s="560">
        <v>4678.3333329999996</v>
      </c>
      <c r="DA243" s="560">
        <v>26.5625</v>
      </c>
      <c r="DB243" s="560" t="s">
        <v>1719</v>
      </c>
      <c r="DC243" s="560">
        <v>50</v>
      </c>
      <c r="DD243" s="560">
        <v>4</v>
      </c>
      <c r="DE243" s="560" t="s">
        <v>1720</v>
      </c>
      <c r="DF243" s="560">
        <v>5</v>
      </c>
      <c r="DG243" s="560">
        <v>0</v>
      </c>
      <c r="DH243" s="560">
        <v>4.5</v>
      </c>
      <c r="DI243" s="560">
        <v>4.5</v>
      </c>
      <c r="DJ243" s="560">
        <v>0</v>
      </c>
      <c r="DK243" s="560">
        <v>0</v>
      </c>
      <c r="DL243" s="560">
        <v>0</v>
      </c>
      <c r="DM243" s="560">
        <v>0</v>
      </c>
      <c r="DN243" s="560">
        <v>0</v>
      </c>
      <c r="DO243" s="560">
        <v>0</v>
      </c>
    </row>
    <row r="244" spans="1:119" hidden="1">
      <c r="A244" s="560" t="s">
        <v>1818</v>
      </c>
      <c r="B244" s="560" t="s">
        <v>1713</v>
      </c>
      <c r="C244" s="560" t="s">
        <v>779</v>
      </c>
      <c r="D244" s="560">
        <v>3</v>
      </c>
      <c r="E244" s="560">
        <v>843.62888099999998</v>
      </c>
      <c r="F244" s="560">
        <v>57.786588000000002</v>
      </c>
      <c r="G244" s="560">
        <v>6644.9655000000002</v>
      </c>
      <c r="H244" s="560">
        <v>139.9665</v>
      </c>
      <c r="I244" s="560">
        <v>0.91800700000000002</v>
      </c>
      <c r="J244" s="560">
        <v>0.35844500000000001</v>
      </c>
      <c r="K244" s="560">
        <v>0.38104500000000002</v>
      </c>
      <c r="L244" s="560">
        <v>0.57649700000000004</v>
      </c>
      <c r="M244" s="560">
        <v>30068.800224999999</v>
      </c>
      <c r="N244" s="560">
        <v>31183.875499999998</v>
      </c>
      <c r="O244" s="560">
        <v>10202.305044000001</v>
      </c>
      <c r="P244" s="560">
        <v>2759.7177700000002</v>
      </c>
      <c r="Q244" s="560">
        <v>683.29243099999997</v>
      </c>
      <c r="R244" s="560">
        <v>2986.9459889999998</v>
      </c>
      <c r="S244" s="560">
        <v>1595.48594</v>
      </c>
      <c r="T244" s="560">
        <v>1843.327485</v>
      </c>
      <c r="U244" s="560">
        <v>436.19147199999998</v>
      </c>
      <c r="V244" s="560">
        <v>33.710355</v>
      </c>
      <c r="W244" s="560">
        <v>7.8945850000000002</v>
      </c>
      <c r="X244" s="560">
        <v>0.2</v>
      </c>
      <c r="Y244" s="560">
        <v>43.169862000000002</v>
      </c>
      <c r="Z244" s="560">
        <v>188.712828</v>
      </c>
      <c r="AA244" s="560">
        <v>88885.169223999997</v>
      </c>
      <c r="AB244" s="560">
        <v>91600.845021000001</v>
      </c>
      <c r="AC244" s="560">
        <v>68708.648581999994</v>
      </c>
      <c r="AD244" s="560">
        <v>60763.243231</v>
      </c>
      <c r="AE244" s="560">
        <v>780.52759700000001</v>
      </c>
      <c r="AF244" s="560">
        <v>25480.275320000001</v>
      </c>
      <c r="AG244" s="560">
        <v>27957.486788999999</v>
      </c>
      <c r="AH244" s="560">
        <v>6605.0777250000001</v>
      </c>
      <c r="AI244" s="560">
        <v>102.7</v>
      </c>
      <c r="AJ244" s="560">
        <v>1513.7499009999999</v>
      </c>
      <c r="AK244" s="560">
        <v>0</v>
      </c>
      <c r="AL244" s="560">
        <v>200.75</v>
      </c>
      <c r="AM244" s="560">
        <v>0</v>
      </c>
      <c r="AN244" s="560">
        <v>0</v>
      </c>
      <c r="AO244" s="560">
        <v>0</v>
      </c>
      <c r="AP244" s="560">
        <v>0</v>
      </c>
      <c r="AQ244" s="560" t="s">
        <v>1818</v>
      </c>
      <c r="AR244" s="560" t="s">
        <v>1729</v>
      </c>
      <c r="AS244" s="560">
        <v>0</v>
      </c>
      <c r="AT244" s="560">
        <v>0</v>
      </c>
      <c r="AU244" s="560">
        <v>0</v>
      </c>
      <c r="AV244" s="560">
        <v>69</v>
      </c>
      <c r="AW244" s="560">
        <v>64</v>
      </c>
      <c r="AX244" s="560">
        <v>74</v>
      </c>
      <c r="AY244" s="560">
        <v>78</v>
      </c>
      <c r="AZ244" s="560">
        <v>1</v>
      </c>
      <c r="BA244" s="560">
        <v>3099</v>
      </c>
      <c r="BB244" s="560">
        <v>0</v>
      </c>
      <c r="BC244" s="560">
        <v>0.5</v>
      </c>
      <c r="BD244" s="560">
        <v>0</v>
      </c>
      <c r="BE244" s="560" t="s">
        <v>1798</v>
      </c>
      <c r="BF244" s="560">
        <v>3</v>
      </c>
      <c r="BG244" s="560">
        <v>17.399999999999999</v>
      </c>
      <c r="BH244" s="560">
        <v>1</v>
      </c>
      <c r="BI244" s="560">
        <v>2</v>
      </c>
      <c r="BJ244" s="560">
        <v>35</v>
      </c>
      <c r="BK244" s="560">
        <v>0</v>
      </c>
      <c r="BL244" s="560" t="s">
        <v>1747</v>
      </c>
      <c r="BM244" s="560">
        <v>0.02</v>
      </c>
      <c r="BN244" s="560">
        <v>0</v>
      </c>
      <c r="BO244" s="560">
        <v>4.5</v>
      </c>
      <c r="BP244" s="560" t="s">
        <v>1747</v>
      </c>
      <c r="BQ244" s="560">
        <v>0.03</v>
      </c>
      <c r="BR244" s="560">
        <v>60</v>
      </c>
      <c r="BS244" s="560">
        <v>4.9000000000000004</v>
      </c>
      <c r="BT244" s="560">
        <v>5000</v>
      </c>
      <c r="BU244" s="560">
        <v>40100</v>
      </c>
      <c r="BV244" s="560">
        <v>200</v>
      </c>
      <c r="BW244" s="560">
        <v>26.8</v>
      </c>
      <c r="BX244" s="560">
        <v>2788</v>
      </c>
      <c r="BY244" s="560">
        <v>11.4</v>
      </c>
      <c r="BZ244" s="560">
        <v>1800</v>
      </c>
      <c r="CA244" s="560">
        <v>35</v>
      </c>
      <c r="CB244" s="560">
        <v>0.85</v>
      </c>
      <c r="CC244" s="560">
        <v>187.5</v>
      </c>
      <c r="CD244" s="560">
        <v>187.5</v>
      </c>
      <c r="CE244" s="560">
        <v>187.5</v>
      </c>
      <c r="CF244" s="560">
        <v>187.5</v>
      </c>
      <c r="CG244" s="560">
        <v>0.29299999999999998</v>
      </c>
      <c r="CH244" s="560">
        <v>0.3</v>
      </c>
      <c r="CI244" s="560">
        <v>0.54</v>
      </c>
      <c r="CJ244" s="560">
        <v>40</v>
      </c>
      <c r="CK244" s="560">
        <v>5</v>
      </c>
      <c r="CL244" s="560">
        <v>4</v>
      </c>
      <c r="CM244" s="562">
        <v>1600</v>
      </c>
      <c r="CN244" s="562">
        <v>164</v>
      </c>
      <c r="CO244" s="562">
        <v>26.8</v>
      </c>
      <c r="CP244" s="562">
        <v>0</v>
      </c>
      <c r="CQ244" s="562">
        <v>0</v>
      </c>
      <c r="CR244" s="562" t="s">
        <v>1718</v>
      </c>
      <c r="CS244" s="562">
        <v>0</v>
      </c>
      <c r="CT244" s="562">
        <v>0</v>
      </c>
      <c r="CU244" s="562">
        <v>0.75</v>
      </c>
      <c r="CV244" s="562">
        <v>0.5</v>
      </c>
      <c r="CW244" s="562">
        <v>17.856999999999999</v>
      </c>
      <c r="CX244" s="562">
        <v>6.5</v>
      </c>
      <c r="CY244" s="562">
        <v>17.856999999999999</v>
      </c>
      <c r="CZ244" s="560">
        <v>4678.3333329999996</v>
      </c>
      <c r="DA244" s="560">
        <v>26.5625</v>
      </c>
      <c r="DB244" s="560" t="s">
        <v>1719</v>
      </c>
      <c r="DC244" s="560">
        <v>50</v>
      </c>
      <c r="DD244" s="560">
        <v>4</v>
      </c>
      <c r="DE244" s="560" t="s">
        <v>1720</v>
      </c>
      <c r="DF244" s="560">
        <v>5</v>
      </c>
      <c r="DG244" s="560">
        <v>0</v>
      </c>
      <c r="DH244" s="560">
        <v>4.5</v>
      </c>
      <c r="DI244" s="560">
        <v>4.5</v>
      </c>
      <c r="DJ244" s="560">
        <v>0</v>
      </c>
      <c r="DK244" s="560">
        <v>0</v>
      </c>
      <c r="DL244" s="560">
        <v>0</v>
      </c>
      <c r="DM244" s="560">
        <v>0</v>
      </c>
      <c r="DN244" s="560">
        <v>0</v>
      </c>
      <c r="DO244" s="560">
        <v>0</v>
      </c>
    </row>
    <row r="245" spans="1:119" hidden="1">
      <c r="A245" s="560" t="s">
        <v>1819</v>
      </c>
      <c r="B245" s="560" t="s">
        <v>1713</v>
      </c>
      <c r="C245" s="560" t="s">
        <v>794</v>
      </c>
      <c r="D245" s="560">
        <v>3</v>
      </c>
      <c r="E245" s="560">
        <v>769.46818199999996</v>
      </c>
      <c r="F245" s="560">
        <v>56.543934</v>
      </c>
      <c r="G245" s="560">
        <v>7927.5</v>
      </c>
      <c r="H245" s="560">
        <v>139.9665</v>
      </c>
      <c r="I245" s="560">
        <v>0.90101900000000001</v>
      </c>
      <c r="J245" s="560">
        <v>0.354271</v>
      </c>
      <c r="K245" s="560">
        <v>0.37528499999999998</v>
      </c>
      <c r="L245" s="560">
        <v>0.59628499999999995</v>
      </c>
      <c r="M245" s="560">
        <v>33766.802979</v>
      </c>
      <c r="N245" s="560">
        <v>34928.873711</v>
      </c>
      <c r="O245" s="560">
        <v>12017.814322</v>
      </c>
      <c r="P245" s="560">
        <v>3948.478114</v>
      </c>
      <c r="Q245" s="560">
        <v>740.25165000000004</v>
      </c>
      <c r="R245" s="560">
        <v>3235.9376400000001</v>
      </c>
      <c r="S245" s="560">
        <v>1564.8356650000001</v>
      </c>
      <c r="T245" s="560">
        <v>1812.635088</v>
      </c>
      <c r="U245" s="560">
        <v>430.17884299999997</v>
      </c>
      <c r="V245" s="560">
        <v>35.044054000000003</v>
      </c>
      <c r="W245" s="560">
        <v>8.2908530000000003</v>
      </c>
      <c r="X245" s="560">
        <v>0.1</v>
      </c>
      <c r="Y245" s="560">
        <v>42.432808999999999</v>
      </c>
      <c r="Z245" s="560">
        <v>185.49087399999999</v>
      </c>
      <c r="AA245" s="560">
        <v>92517.223259000006</v>
      </c>
      <c r="AB245" s="560">
        <v>95232.897702000002</v>
      </c>
      <c r="AC245" s="560">
        <v>76232.407409000007</v>
      </c>
      <c r="AD245" s="560">
        <v>68447.819657</v>
      </c>
      <c r="AE245" s="560">
        <v>780.52759700000001</v>
      </c>
      <c r="AF245" s="560">
        <v>24296.878052</v>
      </c>
      <c r="AG245" s="560">
        <v>26652.494316</v>
      </c>
      <c r="AH245" s="560">
        <v>6323.1715469999999</v>
      </c>
      <c r="AI245" s="560">
        <v>49</v>
      </c>
      <c r="AJ245" s="560">
        <v>1558.687066</v>
      </c>
      <c r="AK245" s="560">
        <v>0</v>
      </c>
      <c r="AL245" s="560">
        <v>200.75</v>
      </c>
      <c r="AM245" s="560">
        <v>0</v>
      </c>
      <c r="AN245" s="560">
        <v>0</v>
      </c>
      <c r="AO245" s="560">
        <v>0</v>
      </c>
      <c r="AP245" s="560">
        <v>0</v>
      </c>
      <c r="AQ245" s="560" t="s">
        <v>1819</v>
      </c>
      <c r="AR245" s="560" t="s">
        <v>1738</v>
      </c>
      <c r="AS245" s="560">
        <v>0</v>
      </c>
      <c r="AT245" s="560">
        <v>0</v>
      </c>
      <c r="AU245" s="560">
        <v>0</v>
      </c>
      <c r="AV245" s="560">
        <v>69</v>
      </c>
      <c r="AW245" s="560">
        <v>64</v>
      </c>
      <c r="AX245" s="560">
        <v>74</v>
      </c>
      <c r="AY245" s="560">
        <v>78</v>
      </c>
      <c r="AZ245" s="560">
        <v>1</v>
      </c>
      <c r="BA245" s="560">
        <v>3099</v>
      </c>
      <c r="BB245" s="560">
        <v>0</v>
      </c>
      <c r="BC245" s="560">
        <v>0.5</v>
      </c>
      <c r="BD245" s="560">
        <v>0</v>
      </c>
      <c r="BE245" s="560" t="s">
        <v>1798</v>
      </c>
      <c r="BF245" s="560">
        <v>3</v>
      </c>
      <c r="BG245" s="560">
        <v>17.399999999999999</v>
      </c>
      <c r="BH245" s="560">
        <v>1</v>
      </c>
      <c r="BI245" s="560">
        <v>2</v>
      </c>
      <c r="BJ245" s="560">
        <v>35</v>
      </c>
      <c r="BK245" s="560">
        <v>0</v>
      </c>
      <c r="BL245" s="560" t="s">
        <v>1747</v>
      </c>
      <c r="BM245" s="560">
        <v>0.02</v>
      </c>
      <c r="BN245" s="560">
        <v>0</v>
      </c>
      <c r="BO245" s="560">
        <v>6</v>
      </c>
      <c r="BP245" s="560" t="s">
        <v>1747</v>
      </c>
      <c r="BQ245" s="560">
        <v>0.03</v>
      </c>
      <c r="BR245" s="560">
        <v>60</v>
      </c>
      <c r="BS245" s="560">
        <v>6</v>
      </c>
      <c r="BT245" s="560">
        <v>5000</v>
      </c>
      <c r="BU245" s="560">
        <v>40100</v>
      </c>
      <c r="BV245" s="560">
        <v>200</v>
      </c>
      <c r="BW245" s="560">
        <v>30.609376350000002</v>
      </c>
      <c r="BX245" s="560">
        <v>2788</v>
      </c>
      <c r="BY245" s="560">
        <v>17.543859650000002</v>
      </c>
      <c r="BZ245" s="560">
        <v>1800</v>
      </c>
      <c r="CA245" s="560">
        <v>37.664196859999997</v>
      </c>
      <c r="CB245" s="560">
        <v>0.85</v>
      </c>
      <c r="CC245" s="560">
        <v>187.5</v>
      </c>
      <c r="CD245" s="560">
        <v>187.5</v>
      </c>
      <c r="CE245" s="560">
        <v>187.5</v>
      </c>
      <c r="CF245" s="560">
        <v>187.5</v>
      </c>
      <c r="CG245" s="560">
        <v>0.29299999999999998</v>
      </c>
      <c r="CH245" s="560">
        <v>0.3</v>
      </c>
      <c r="CI245" s="560">
        <v>0.54</v>
      </c>
      <c r="CJ245" s="560">
        <v>40</v>
      </c>
      <c r="CK245" s="560">
        <v>5</v>
      </c>
      <c r="CL245" s="560">
        <v>4</v>
      </c>
      <c r="CM245" s="562">
        <v>1600</v>
      </c>
      <c r="CN245" s="562">
        <v>164</v>
      </c>
      <c r="CO245" s="562">
        <v>30.609376350000002</v>
      </c>
      <c r="CP245" s="562">
        <v>0</v>
      </c>
      <c r="CQ245" s="562">
        <v>0</v>
      </c>
      <c r="CR245" s="562" t="s">
        <v>1718</v>
      </c>
      <c r="CS245" s="562">
        <v>0</v>
      </c>
      <c r="CT245" s="562">
        <v>0</v>
      </c>
      <c r="CU245" s="562">
        <v>0.75</v>
      </c>
      <c r="CV245" s="562">
        <v>0.5</v>
      </c>
      <c r="CW245" s="562">
        <v>17.856999999999999</v>
      </c>
      <c r="CX245" s="562">
        <v>6.5</v>
      </c>
      <c r="CY245" s="562">
        <v>17.856999999999999</v>
      </c>
      <c r="CZ245" s="560">
        <v>4678.3333329999996</v>
      </c>
      <c r="DA245" s="560">
        <v>26.5625</v>
      </c>
      <c r="DB245" s="560" t="s">
        <v>1719</v>
      </c>
      <c r="DC245" s="560">
        <v>50</v>
      </c>
      <c r="DD245" s="560">
        <v>4</v>
      </c>
      <c r="DE245" s="560" t="s">
        <v>1720</v>
      </c>
      <c r="DF245" s="560">
        <v>5</v>
      </c>
      <c r="DG245" s="560">
        <v>0</v>
      </c>
      <c r="DH245" s="560">
        <v>4.5</v>
      </c>
      <c r="DI245" s="560">
        <v>4.5</v>
      </c>
      <c r="DJ245" s="560">
        <v>0</v>
      </c>
      <c r="DK245" s="560">
        <v>0</v>
      </c>
      <c r="DL245" s="560">
        <v>0</v>
      </c>
      <c r="DM245" s="560">
        <v>0</v>
      </c>
      <c r="DN245" s="560">
        <v>0</v>
      </c>
      <c r="DO245" s="560">
        <v>0</v>
      </c>
    </row>
    <row r="246" spans="1:119" hidden="1">
      <c r="A246" s="560" t="s">
        <v>1820</v>
      </c>
      <c r="B246" s="560" t="s">
        <v>1713</v>
      </c>
      <c r="C246" s="560" t="s">
        <v>794</v>
      </c>
      <c r="D246" s="560">
        <v>3</v>
      </c>
      <c r="E246" s="560">
        <v>831.20301400000005</v>
      </c>
      <c r="F246" s="560">
        <v>57.194881000000002</v>
      </c>
      <c r="G246" s="560">
        <v>7927.5</v>
      </c>
      <c r="H246" s="560">
        <v>139.9665</v>
      </c>
      <c r="I246" s="560">
        <v>0.90101900000000001</v>
      </c>
      <c r="J246" s="560">
        <v>0.35491499999999998</v>
      </c>
      <c r="K246" s="560">
        <v>0.36920799999999998</v>
      </c>
      <c r="L246" s="560">
        <v>0.59674799999999995</v>
      </c>
      <c r="M246" s="560">
        <v>37067.164298000003</v>
      </c>
      <c r="N246" s="560">
        <v>38354.224901000001</v>
      </c>
      <c r="O246" s="560">
        <v>13640.670157</v>
      </c>
      <c r="P246" s="560">
        <v>5001.3290029999998</v>
      </c>
      <c r="Q246" s="560">
        <v>794.46277799999996</v>
      </c>
      <c r="R246" s="560">
        <v>3472.9162820000001</v>
      </c>
      <c r="S246" s="560">
        <v>1595.48594</v>
      </c>
      <c r="T246" s="560">
        <v>1843.327485</v>
      </c>
      <c r="U246" s="560">
        <v>436.19147199999998</v>
      </c>
      <c r="V246" s="560">
        <v>33.710355</v>
      </c>
      <c r="W246" s="560">
        <v>7.8945850000000002</v>
      </c>
      <c r="X246" s="560">
        <v>0.2</v>
      </c>
      <c r="Y246" s="560">
        <v>43.169862000000002</v>
      </c>
      <c r="Z246" s="560">
        <v>188.712828</v>
      </c>
      <c r="AA246" s="560">
        <v>96514.967915999994</v>
      </c>
      <c r="AB246" s="560">
        <v>99309.564287000001</v>
      </c>
      <c r="AC246" s="560">
        <v>80305.200068999999</v>
      </c>
      <c r="AD246" s="560">
        <v>72520.649854999996</v>
      </c>
      <c r="AE246" s="560">
        <v>780.52759700000001</v>
      </c>
      <c r="AF246" s="560">
        <v>25480.275320000001</v>
      </c>
      <c r="AG246" s="560">
        <v>27957.486788999999</v>
      </c>
      <c r="AH246" s="560">
        <v>6605.0777250000001</v>
      </c>
      <c r="AI246" s="560">
        <v>62</v>
      </c>
      <c r="AJ246" s="560">
        <v>1669.6342959999999</v>
      </c>
      <c r="AK246" s="560">
        <v>0</v>
      </c>
      <c r="AL246" s="560">
        <v>200.75</v>
      </c>
      <c r="AM246" s="560">
        <v>0</v>
      </c>
      <c r="AN246" s="560">
        <v>0</v>
      </c>
      <c r="AO246" s="560">
        <v>0</v>
      </c>
      <c r="AP246" s="560">
        <v>0</v>
      </c>
      <c r="AQ246" s="560" t="s">
        <v>1820</v>
      </c>
      <c r="AR246" s="560" t="s">
        <v>1738</v>
      </c>
      <c r="AS246" s="560">
        <v>0</v>
      </c>
      <c r="AT246" s="560">
        <v>0</v>
      </c>
      <c r="AU246" s="560">
        <v>0</v>
      </c>
      <c r="AV246" s="560">
        <v>69</v>
      </c>
      <c r="AW246" s="560">
        <v>64</v>
      </c>
      <c r="AX246" s="560">
        <v>74</v>
      </c>
      <c r="AY246" s="560">
        <v>78</v>
      </c>
      <c r="AZ246" s="560">
        <v>1</v>
      </c>
      <c r="BA246" s="560">
        <v>3099</v>
      </c>
      <c r="BB246" s="560">
        <v>0</v>
      </c>
      <c r="BC246" s="560">
        <v>0.5</v>
      </c>
      <c r="BD246" s="560">
        <v>0</v>
      </c>
      <c r="BE246" s="560" t="s">
        <v>1798</v>
      </c>
      <c r="BF246" s="560">
        <v>3</v>
      </c>
      <c r="BG246" s="560">
        <v>17.399999999999999</v>
      </c>
      <c r="BH246" s="560">
        <v>1</v>
      </c>
      <c r="BI246" s="560">
        <v>2</v>
      </c>
      <c r="BJ246" s="560">
        <v>35</v>
      </c>
      <c r="BK246" s="560">
        <v>0</v>
      </c>
      <c r="BL246" s="560" t="s">
        <v>1747</v>
      </c>
      <c r="BM246" s="560">
        <v>0.02</v>
      </c>
      <c r="BN246" s="560">
        <v>0</v>
      </c>
      <c r="BO246" s="560">
        <v>4.5</v>
      </c>
      <c r="BP246" s="560" t="s">
        <v>1747</v>
      </c>
      <c r="BQ246" s="560">
        <v>0.03</v>
      </c>
      <c r="BR246" s="560">
        <v>60</v>
      </c>
      <c r="BS246" s="560">
        <v>4.9000000000000004</v>
      </c>
      <c r="BT246" s="560">
        <v>5000</v>
      </c>
      <c r="BU246" s="560">
        <v>40100</v>
      </c>
      <c r="BV246" s="560">
        <v>200</v>
      </c>
      <c r="BW246" s="560">
        <v>26.8</v>
      </c>
      <c r="BX246" s="560">
        <v>2788</v>
      </c>
      <c r="BY246" s="560">
        <v>11.4</v>
      </c>
      <c r="BZ246" s="560">
        <v>1800</v>
      </c>
      <c r="CA246" s="560">
        <v>35</v>
      </c>
      <c r="CB246" s="560">
        <v>0.85</v>
      </c>
      <c r="CC246" s="560">
        <v>187.5</v>
      </c>
      <c r="CD246" s="560">
        <v>187.5</v>
      </c>
      <c r="CE246" s="560">
        <v>187.5</v>
      </c>
      <c r="CF246" s="560">
        <v>187.5</v>
      </c>
      <c r="CG246" s="560">
        <v>0.29299999999999998</v>
      </c>
      <c r="CH246" s="560">
        <v>0.3</v>
      </c>
      <c r="CI246" s="560">
        <v>0.54</v>
      </c>
      <c r="CJ246" s="560">
        <v>40</v>
      </c>
      <c r="CK246" s="560">
        <v>5</v>
      </c>
      <c r="CL246" s="560">
        <v>4</v>
      </c>
      <c r="CM246" s="562">
        <v>1600</v>
      </c>
      <c r="CN246" s="562">
        <v>164</v>
      </c>
      <c r="CO246" s="562">
        <v>26.8</v>
      </c>
      <c r="CP246" s="562">
        <v>0</v>
      </c>
      <c r="CQ246" s="562">
        <v>0</v>
      </c>
      <c r="CR246" s="562" t="s">
        <v>1718</v>
      </c>
      <c r="CS246" s="562">
        <v>0</v>
      </c>
      <c r="CT246" s="562">
        <v>0</v>
      </c>
      <c r="CU246" s="562">
        <v>0.75</v>
      </c>
      <c r="CV246" s="562">
        <v>0.5</v>
      </c>
      <c r="CW246" s="562">
        <v>17.856999999999999</v>
      </c>
      <c r="CX246" s="562">
        <v>6.5</v>
      </c>
      <c r="CY246" s="562">
        <v>17.856999999999999</v>
      </c>
      <c r="CZ246" s="560">
        <v>4678.3333329999996</v>
      </c>
      <c r="DA246" s="560">
        <v>26.5625</v>
      </c>
      <c r="DB246" s="560" t="s">
        <v>1719</v>
      </c>
      <c r="DC246" s="560">
        <v>50</v>
      </c>
      <c r="DD246" s="560">
        <v>4</v>
      </c>
      <c r="DE246" s="560" t="s">
        <v>1720</v>
      </c>
      <c r="DF246" s="560">
        <v>5</v>
      </c>
      <c r="DG246" s="560">
        <v>0</v>
      </c>
      <c r="DH246" s="560">
        <v>4.5</v>
      </c>
      <c r="DI246" s="560">
        <v>4.5</v>
      </c>
      <c r="DJ246" s="560">
        <v>0</v>
      </c>
      <c r="DK246" s="560">
        <v>0</v>
      </c>
      <c r="DL246" s="560">
        <v>0</v>
      </c>
      <c r="DM246" s="560">
        <v>0</v>
      </c>
      <c r="DN246" s="560">
        <v>0</v>
      </c>
      <c r="DO246" s="560">
        <v>0</v>
      </c>
    </row>
    <row r="247" spans="1:119" hidden="1">
      <c r="A247" s="560" t="s">
        <v>1821</v>
      </c>
      <c r="B247" s="560" t="s">
        <v>1713</v>
      </c>
      <c r="C247" s="560" t="s">
        <v>764</v>
      </c>
      <c r="D247" s="560">
        <v>3</v>
      </c>
      <c r="E247" s="560">
        <v>339.42665699999998</v>
      </c>
      <c r="F247" s="560">
        <v>58.027557999999999</v>
      </c>
      <c r="G247" s="560">
        <v>4974.4274999999998</v>
      </c>
      <c r="H247" s="560">
        <v>139.9665</v>
      </c>
      <c r="I247" s="560">
        <v>0.968943</v>
      </c>
      <c r="J247" s="560">
        <v>0.26545400000000002</v>
      </c>
      <c r="K247" s="560">
        <v>0.28266999999999998</v>
      </c>
      <c r="L247" s="560">
        <v>0.39237100000000003</v>
      </c>
      <c r="M247" s="560">
        <v>7150.007149</v>
      </c>
      <c r="N247" s="560">
        <v>7959.2019389999996</v>
      </c>
      <c r="O247" s="560">
        <v>2484.7759980000001</v>
      </c>
      <c r="P247" s="560">
        <v>2.7209650000000001</v>
      </c>
      <c r="Q247" s="560">
        <v>217.08639400000001</v>
      </c>
      <c r="R247" s="560">
        <v>948.97192600000005</v>
      </c>
      <c r="S247" s="560">
        <v>985.058987</v>
      </c>
      <c r="T247" s="560">
        <v>1264.2340380000001</v>
      </c>
      <c r="U247" s="560">
        <v>300.08047399999998</v>
      </c>
      <c r="V247" s="560">
        <v>49.979337999999998</v>
      </c>
      <c r="W247" s="560">
        <v>16.784133000000001</v>
      </c>
      <c r="X247" s="560">
        <v>0</v>
      </c>
      <c r="Y247" s="560">
        <v>29.158906999999999</v>
      </c>
      <c r="Z247" s="560">
        <v>127.465309</v>
      </c>
      <c r="AA247" s="560">
        <v>25980.640206</v>
      </c>
      <c r="AB247" s="560">
        <v>29526.480909000002</v>
      </c>
      <c r="AC247" s="560">
        <v>11672.551776</v>
      </c>
      <c r="AD247" s="560">
        <v>3822.6886129999998</v>
      </c>
      <c r="AE247" s="560">
        <v>780.52759700000001</v>
      </c>
      <c r="AF247" s="560">
        <v>10317.734253000001</v>
      </c>
      <c r="AG247" s="560">
        <v>11919.523093</v>
      </c>
      <c r="AH247" s="560">
        <v>2989.8484880000001</v>
      </c>
      <c r="AI247" s="560">
        <v>0</v>
      </c>
      <c r="AJ247" s="560">
        <v>508.58833099999998</v>
      </c>
      <c r="AK247" s="560">
        <v>1192.3133740000001</v>
      </c>
      <c r="AL247" s="560">
        <v>200.75</v>
      </c>
      <c r="AM247" s="560">
        <v>0</v>
      </c>
      <c r="AN247" s="560">
        <v>0</v>
      </c>
      <c r="AO247" s="560">
        <v>0</v>
      </c>
      <c r="AP247" s="560">
        <v>0</v>
      </c>
      <c r="AQ247" s="560" t="s">
        <v>1821</v>
      </c>
      <c r="AR247" s="560" t="s">
        <v>1714</v>
      </c>
      <c r="AS247" s="560">
        <v>0</v>
      </c>
      <c r="AT247" s="560">
        <v>0</v>
      </c>
      <c r="AU247" s="560">
        <v>0</v>
      </c>
      <c r="AV247" s="560">
        <v>69</v>
      </c>
      <c r="AW247" s="560">
        <v>64</v>
      </c>
      <c r="AX247" s="560">
        <v>74</v>
      </c>
      <c r="AY247" s="560">
        <v>78</v>
      </c>
      <c r="AZ247" s="560">
        <v>1</v>
      </c>
      <c r="BA247" s="560">
        <v>2085</v>
      </c>
      <c r="BB247" s="560">
        <v>0</v>
      </c>
      <c r="BC247" s="560">
        <v>0.5</v>
      </c>
      <c r="BD247" s="560">
        <v>0</v>
      </c>
      <c r="BE247" s="560" t="s">
        <v>1799</v>
      </c>
      <c r="BF247" s="560">
        <v>3</v>
      </c>
      <c r="BG247" s="560">
        <v>13</v>
      </c>
      <c r="BH247" s="560">
        <v>1</v>
      </c>
      <c r="BI247" s="560">
        <v>2</v>
      </c>
      <c r="BJ247" s="560">
        <v>35</v>
      </c>
      <c r="BK247" s="560">
        <v>0</v>
      </c>
      <c r="BL247" s="560" t="s">
        <v>1716</v>
      </c>
      <c r="BM247" s="560">
        <v>0.05</v>
      </c>
      <c r="BN247" s="560">
        <v>200</v>
      </c>
      <c r="BO247" s="560">
        <v>20</v>
      </c>
      <c r="BP247" s="560" t="s">
        <v>1717</v>
      </c>
      <c r="BQ247" s="560">
        <v>0</v>
      </c>
      <c r="BR247" s="560">
        <v>0</v>
      </c>
      <c r="BS247" s="560">
        <v>555</v>
      </c>
      <c r="BT247" s="560">
        <v>1568</v>
      </c>
      <c r="BU247" s="560">
        <v>12544</v>
      </c>
      <c r="BV247" s="560">
        <v>0</v>
      </c>
      <c r="BW247" s="560">
        <v>0</v>
      </c>
      <c r="BX247" s="560">
        <v>1344</v>
      </c>
      <c r="BY247" s="560">
        <v>12.82</v>
      </c>
      <c r="BZ247" s="560">
        <v>1568</v>
      </c>
      <c r="CA247" s="560">
        <v>26.5</v>
      </c>
      <c r="CB247" s="560">
        <v>0.85</v>
      </c>
      <c r="CC247" s="560">
        <v>49</v>
      </c>
      <c r="CD247" s="560">
        <v>49</v>
      </c>
      <c r="CE247" s="560">
        <v>49</v>
      </c>
      <c r="CF247" s="560">
        <v>49</v>
      </c>
      <c r="CG247" s="560">
        <v>0.29299999999999998</v>
      </c>
      <c r="CH247" s="560">
        <v>0.3</v>
      </c>
      <c r="CI247" s="560">
        <v>0.54</v>
      </c>
      <c r="CJ247" s="560">
        <v>40</v>
      </c>
      <c r="CK247" s="560">
        <v>5</v>
      </c>
      <c r="CL247" s="560">
        <v>1</v>
      </c>
      <c r="CM247" s="562">
        <v>1568</v>
      </c>
      <c r="CN247" s="562">
        <v>168</v>
      </c>
      <c r="CO247" s="562">
        <v>20.45</v>
      </c>
      <c r="CP247" s="562">
        <v>0</v>
      </c>
      <c r="CQ247" s="562">
        <v>0</v>
      </c>
      <c r="CR247" s="562" t="s">
        <v>1718</v>
      </c>
      <c r="CS247" s="562">
        <v>0</v>
      </c>
      <c r="CT247" s="562">
        <v>0</v>
      </c>
      <c r="CU247" s="562">
        <v>0.75</v>
      </c>
      <c r="CV247" s="562">
        <v>2</v>
      </c>
      <c r="CW247" s="562">
        <v>1.75</v>
      </c>
      <c r="CX247" s="562">
        <v>1</v>
      </c>
      <c r="CY247" s="562">
        <v>0.65</v>
      </c>
      <c r="CZ247" s="560">
        <v>1463.4666669999999</v>
      </c>
      <c r="DA247" s="560">
        <v>8.5</v>
      </c>
      <c r="DB247" s="560" t="s">
        <v>1719</v>
      </c>
      <c r="DC247" s="560">
        <v>50</v>
      </c>
      <c r="DD247" s="560">
        <v>4</v>
      </c>
      <c r="DE247" s="560" t="s">
        <v>1720</v>
      </c>
      <c r="DF247" s="560">
        <v>5</v>
      </c>
      <c r="DG247" s="560">
        <v>0</v>
      </c>
      <c r="DH247" s="560">
        <v>4.5</v>
      </c>
      <c r="DI247" s="560">
        <v>4.5</v>
      </c>
      <c r="DJ247" s="560">
        <v>0</v>
      </c>
      <c r="DK247" s="560">
        <v>0</v>
      </c>
      <c r="DL247" s="560">
        <v>0</v>
      </c>
      <c r="DM247" s="560">
        <v>0</v>
      </c>
      <c r="DN247" s="560">
        <v>0</v>
      </c>
      <c r="DO247" s="560">
        <v>0</v>
      </c>
    </row>
    <row r="248" spans="1:119" hidden="1">
      <c r="A248" s="560" t="s">
        <v>1822</v>
      </c>
      <c r="B248" s="560" t="s">
        <v>1713</v>
      </c>
      <c r="C248" s="560" t="s">
        <v>764</v>
      </c>
      <c r="D248" s="560">
        <v>3</v>
      </c>
      <c r="E248" s="560">
        <v>378.48850700000003</v>
      </c>
      <c r="F248" s="560">
        <v>58.738072000000003</v>
      </c>
      <c r="G248" s="560">
        <v>4974.4274999999998</v>
      </c>
      <c r="H248" s="560">
        <v>139.9665</v>
      </c>
      <c r="I248" s="560">
        <v>0.968943</v>
      </c>
      <c r="J248" s="560">
        <v>0.26769799999999999</v>
      </c>
      <c r="K248" s="560">
        <v>0.282198</v>
      </c>
      <c r="L248" s="560">
        <v>0.40048</v>
      </c>
      <c r="M248" s="560">
        <v>8311.8549230000008</v>
      </c>
      <c r="N248" s="560">
        <v>9240.5611430000008</v>
      </c>
      <c r="O248" s="560">
        <v>2873.8362830000001</v>
      </c>
      <c r="P248" s="560">
        <v>5.9922940000000002</v>
      </c>
      <c r="Q248" s="560">
        <v>251.56714400000001</v>
      </c>
      <c r="R248" s="560">
        <v>1099.701147</v>
      </c>
      <c r="S248" s="560">
        <v>905.31071199999997</v>
      </c>
      <c r="T248" s="560">
        <v>1158.7153350000001</v>
      </c>
      <c r="U248" s="560">
        <v>275.63416000000001</v>
      </c>
      <c r="V248" s="560">
        <v>44.974454000000001</v>
      </c>
      <c r="W248" s="560">
        <v>16.494365999999999</v>
      </c>
      <c r="X248" s="560">
        <v>0</v>
      </c>
      <c r="Y248" s="560">
        <v>26.763873</v>
      </c>
      <c r="Z248" s="560">
        <v>116.99565200000001</v>
      </c>
      <c r="AA248" s="560">
        <v>27407.787090000002</v>
      </c>
      <c r="AB248" s="560">
        <v>31036.533252000001</v>
      </c>
      <c r="AC248" s="560">
        <v>13144.932201</v>
      </c>
      <c r="AD248" s="560">
        <v>5295.0690370000002</v>
      </c>
      <c r="AE248" s="560">
        <v>780.52759700000001</v>
      </c>
      <c r="AF248" s="560">
        <v>10731.053873000001</v>
      </c>
      <c r="AG248" s="560">
        <v>12355.417439000001</v>
      </c>
      <c r="AH248" s="560">
        <v>3096.8505930000001</v>
      </c>
      <c r="AI248" s="560">
        <v>0</v>
      </c>
      <c r="AJ248" s="560">
        <v>572.43891900000006</v>
      </c>
      <c r="AK248" s="560">
        <v>1345.965931</v>
      </c>
      <c r="AL248" s="560">
        <v>200.75</v>
      </c>
      <c r="AM248" s="560">
        <v>0</v>
      </c>
      <c r="AN248" s="560">
        <v>0</v>
      </c>
      <c r="AO248" s="560">
        <v>0</v>
      </c>
      <c r="AP248" s="560">
        <v>0</v>
      </c>
      <c r="AQ248" s="560" t="s">
        <v>1822</v>
      </c>
      <c r="AR248" s="560" t="s">
        <v>1714</v>
      </c>
      <c r="AS248" s="560">
        <v>0</v>
      </c>
      <c r="AT248" s="560">
        <v>0</v>
      </c>
      <c r="AU248" s="560">
        <v>0</v>
      </c>
      <c r="AV248" s="560">
        <v>69</v>
      </c>
      <c r="AW248" s="560">
        <v>64</v>
      </c>
      <c r="AX248" s="560">
        <v>74</v>
      </c>
      <c r="AY248" s="560">
        <v>78</v>
      </c>
      <c r="AZ248" s="560">
        <v>1</v>
      </c>
      <c r="BA248" s="560">
        <v>2085</v>
      </c>
      <c r="BB248" s="560">
        <v>0</v>
      </c>
      <c r="BC248" s="560">
        <v>0.5</v>
      </c>
      <c r="BD248" s="560">
        <v>0</v>
      </c>
      <c r="BE248" s="560" t="s">
        <v>1799</v>
      </c>
      <c r="BF248" s="560">
        <v>3</v>
      </c>
      <c r="BG248" s="560">
        <v>13</v>
      </c>
      <c r="BH248" s="560">
        <v>1</v>
      </c>
      <c r="BI248" s="560">
        <v>2</v>
      </c>
      <c r="BJ248" s="560">
        <v>35</v>
      </c>
      <c r="BK248" s="560">
        <v>0</v>
      </c>
      <c r="BL248" s="560" t="s">
        <v>1716</v>
      </c>
      <c r="BM248" s="560">
        <v>0.05</v>
      </c>
      <c r="BN248" s="560">
        <v>200</v>
      </c>
      <c r="BO248" s="560">
        <v>20</v>
      </c>
      <c r="BP248" s="560" t="s">
        <v>1717</v>
      </c>
      <c r="BQ248" s="560">
        <v>0</v>
      </c>
      <c r="BR248" s="560">
        <v>0</v>
      </c>
      <c r="BS248" s="560">
        <v>555</v>
      </c>
      <c r="BT248" s="560">
        <v>1568</v>
      </c>
      <c r="BU248" s="560">
        <v>12544</v>
      </c>
      <c r="BV248" s="560">
        <v>0</v>
      </c>
      <c r="BW248" s="560">
        <v>0</v>
      </c>
      <c r="BX248" s="560">
        <v>1344</v>
      </c>
      <c r="BY248" s="560">
        <v>10.3</v>
      </c>
      <c r="BZ248" s="560">
        <v>1568</v>
      </c>
      <c r="CA248" s="560">
        <v>26.5</v>
      </c>
      <c r="CB248" s="560">
        <v>0.85</v>
      </c>
      <c r="CC248" s="560">
        <v>49</v>
      </c>
      <c r="CD248" s="560">
        <v>49</v>
      </c>
      <c r="CE248" s="560">
        <v>49</v>
      </c>
      <c r="CF248" s="560">
        <v>49</v>
      </c>
      <c r="CG248" s="560">
        <v>0.29299999999999998</v>
      </c>
      <c r="CH248" s="560">
        <v>0.3</v>
      </c>
      <c r="CI248" s="560">
        <v>0.54</v>
      </c>
      <c r="CJ248" s="560">
        <v>40</v>
      </c>
      <c r="CK248" s="560">
        <v>5</v>
      </c>
      <c r="CL248" s="560">
        <v>1</v>
      </c>
      <c r="CM248" s="562">
        <v>1568</v>
      </c>
      <c r="CN248" s="562">
        <v>168</v>
      </c>
      <c r="CO248" s="562">
        <v>15.8</v>
      </c>
      <c r="CP248" s="562">
        <v>0</v>
      </c>
      <c r="CQ248" s="562">
        <v>0</v>
      </c>
      <c r="CR248" s="562" t="s">
        <v>1718</v>
      </c>
      <c r="CS248" s="562">
        <v>0</v>
      </c>
      <c r="CT248" s="562">
        <v>0</v>
      </c>
      <c r="CU248" s="562">
        <v>0.75</v>
      </c>
      <c r="CV248" s="562">
        <v>2</v>
      </c>
      <c r="CW248" s="562">
        <v>1.75</v>
      </c>
      <c r="CX248" s="562">
        <v>1</v>
      </c>
      <c r="CY248" s="562">
        <v>0.65</v>
      </c>
      <c r="CZ248" s="560">
        <v>1463.4666669999999</v>
      </c>
      <c r="DA248" s="560">
        <v>8.5</v>
      </c>
      <c r="DB248" s="560" t="s">
        <v>1719</v>
      </c>
      <c r="DC248" s="560">
        <v>50</v>
      </c>
      <c r="DD248" s="560">
        <v>4</v>
      </c>
      <c r="DE248" s="560" t="s">
        <v>1720</v>
      </c>
      <c r="DF248" s="560">
        <v>5</v>
      </c>
      <c r="DG248" s="560">
        <v>0</v>
      </c>
      <c r="DH248" s="560">
        <v>4.5</v>
      </c>
      <c r="DI248" s="560">
        <v>4.5</v>
      </c>
      <c r="DJ248" s="560">
        <v>0</v>
      </c>
      <c r="DK248" s="560">
        <v>0</v>
      </c>
      <c r="DL248" s="560">
        <v>0</v>
      </c>
      <c r="DM248" s="560">
        <v>0</v>
      </c>
      <c r="DN248" s="560">
        <v>0</v>
      </c>
      <c r="DO248" s="560">
        <v>0</v>
      </c>
    </row>
    <row r="249" spans="1:119" hidden="1">
      <c r="A249" s="560" t="s">
        <v>1823</v>
      </c>
      <c r="B249" s="560" t="s">
        <v>1713</v>
      </c>
      <c r="C249" s="560" t="s">
        <v>779</v>
      </c>
      <c r="D249" s="560">
        <v>3</v>
      </c>
      <c r="E249" s="560">
        <v>341.98713900000001</v>
      </c>
      <c r="F249" s="560">
        <v>56.797514999999997</v>
      </c>
      <c r="G249" s="560">
        <v>6644.9655000000002</v>
      </c>
      <c r="H249" s="560">
        <v>139.9665</v>
      </c>
      <c r="I249" s="560">
        <v>0.91800700000000002</v>
      </c>
      <c r="J249" s="560">
        <v>0.29270000000000002</v>
      </c>
      <c r="K249" s="560">
        <v>0.311251</v>
      </c>
      <c r="L249" s="560">
        <v>0.44355299999999998</v>
      </c>
      <c r="M249" s="560">
        <v>10386.472127999999</v>
      </c>
      <c r="N249" s="560">
        <v>11643.240249</v>
      </c>
      <c r="O249" s="560">
        <v>3598.7723740000001</v>
      </c>
      <c r="P249" s="560">
        <v>12.621943</v>
      </c>
      <c r="Q249" s="560">
        <v>316.18496199999998</v>
      </c>
      <c r="R249" s="560">
        <v>1382.171615</v>
      </c>
      <c r="S249" s="560">
        <v>985.058987</v>
      </c>
      <c r="T249" s="560">
        <v>1264.2340380000001</v>
      </c>
      <c r="U249" s="560">
        <v>300.08047399999998</v>
      </c>
      <c r="V249" s="560">
        <v>49.979337999999998</v>
      </c>
      <c r="W249" s="560">
        <v>16.784133000000001</v>
      </c>
      <c r="X249" s="560">
        <v>0</v>
      </c>
      <c r="Y249" s="560">
        <v>29.158906999999999</v>
      </c>
      <c r="Z249" s="560">
        <v>127.465309</v>
      </c>
      <c r="AA249" s="560">
        <v>29933.493170000002</v>
      </c>
      <c r="AB249" s="560">
        <v>34286.250665</v>
      </c>
      <c r="AC249" s="560">
        <v>14826.487827999999</v>
      </c>
      <c r="AD249" s="560">
        <v>6894.0527609999999</v>
      </c>
      <c r="AE249" s="560">
        <v>780.52759700000001</v>
      </c>
      <c r="AF249" s="560">
        <v>10317.734253000001</v>
      </c>
      <c r="AG249" s="560">
        <v>11919.523093</v>
      </c>
      <c r="AH249" s="560">
        <v>2989.8484880000001</v>
      </c>
      <c r="AI249" s="560">
        <v>0</v>
      </c>
      <c r="AJ249" s="560">
        <v>717.13944000000004</v>
      </c>
      <c r="AK249" s="560">
        <v>1681.6240339999999</v>
      </c>
      <c r="AL249" s="560">
        <v>200.75</v>
      </c>
      <c r="AM249" s="560">
        <v>0</v>
      </c>
      <c r="AN249" s="560">
        <v>0</v>
      </c>
      <c r="AO249" s="560">
        <v>0</v>
      </c>
      <c r="AP249" s="560">
        <v>0</v>
      </c>
      <c r="AQ249" s="560" t="s">
        <v>1823</v>
      </c>
      <c r="AR249" s="560" t="s">
        <v>1729</v>
      </c>
      <c r="AS249" s="560">
        <v>0</v>
      </c>
      <c r="AT249" s="560">
        <v>0</v>
      </c>
      <c r="AU249" s="560">
        <v>0</v>
      </c>
      <c r="AV249" s="560">
        <v>69</v>
      </c>
      <c r="AW249" s="560">
        <v>64</v>
      </c>
      <c r="AX249" s="560">
        <v>74</v>
      </c>
      <c r="AY249" s="560">
        <v>78</v>
      </c>
      <c r="AZ249" s="560">
        <v>1</v>
      </c>
      <c r="BA249" s="560">
        <v>2085</v>
      </c>
      <c r="BB249" s="560">
        <v>0</v>
      </c>
      <c r="BC249" s="560">
        <v>0.5</v>
      </c>
      <c r="BD249" s="560">
        <v>0</v>
      </c>
      <c r="BE249" s="560" t="s">
        <v>1799</v>
      </c>
      <c r="BF249" s="560">
        <v>3</v>
      </c>
      <c r="BG249" s="560">
        <v>13</v>
      </c>
      <c r="BH249" s="560">
        <v>1</v>
      </c>
      <c r="BI249" s="560">
        <v>2</v>
      </c>
      <c r="BJ249" s="560">
        <v>35</v>
      </c>
      <c r="BK249" s="560">
        <v>0</v>
      </c>
      <c r="BL249" s="560" t="s">
        <v>1716</v>
      </c>
      <c r="BM249" s="560">
        <v>0.05</v>
      </c>
      <c r="BN249" s="560">
        <v>200</v>
      </c>
      <c r="BO249" s="560">
        <v>20</v>
      </c>
      <c r="BP249" s="560" t="s">
        <v>1717</v>
      </c>
      <c r="BQ249" s="560">
        <v>0</v>
      </c>
      <c r="BR249" s="560">
        <v>0</v>
      </c>
      <c r="BS249" s="560">
        <v>555</v>
      </c>
      <c r="BT249" s="560">
        <v>1568</v>
      </c>
      <c r="BU249" s="560">
        <v>12544</v>
      </c>
      <c r="BV249" s="560">
        <v>0</v>
      </c>
      <c r="BW249" s="560">
        <v>0</v>
      </c>
      <c r="BX249" s="560">
        <v>1344</v>
      </c>
      <c r="BY249" s="560">
        <v>12.82</v>
      </c>
      <c r="BZ249" s="560">
        <v>1568</v>
      </c>
      <c r="CA249" s="560">
        <v>26.5</v>
      </c>
      <c r="CB249" s="560">
        <v>0.85</v>
      </c>
      <c r="CC249" s="560">
        <v>49</v>
      </c>
      <c r="CD249" s="560">
        <v>49</v>
      </c>
      <c r="CE249" s="560">
        <v>49</v>
      </c>
      <c r="CF249" s="560">
        <v>49</v>
      </c>
      <c r="CG249" s="560">
        <v>0.29299999999999998</v>
      </c>
      <c r="CH249" s="560">
        <v>0.3</v>
      </c>
      <c r="CI249" s="560">
        <v>0.54</v>
      </c>
      <c r="CJ249" s="560">
        <v>40</v>
      </c>
      <c r="CK249" s="560">
        <v>5</v>
      </c>
      <c r="CL249" s="560">
        <v>1</v>
      </c>
      <c r="CM249" s="562">
        <v>1568</v>
      </c>
      <c r="CN249" s="562">
        <v>168</v>
      </c>
      <c r="CO249" s="562">
        <v>20.45</v>
      </c>
      <c r="CP249" s="562">
        <v>0</v>
      </c>
      <c r="CQ249" s="562">
        <v>0</v>
      </c>
      <c r="CR249" s="562" t="s">
        <v>1718</v>
      </c>
      <c r="CS249" s="562">
        <v>0</v>
      </c>
      <c r="CT249" s="562">
        <v>0</v>
      </c>
      <c r="CU249" s="562">
        <v>0.75</v>
      </c>
      <c r="CV249" s="562">
        <v>2</v>
      </c>
      <c r="CW249" s="562">
        <v>1.75</v>
      </c>
      <c r="CX249" s="562">
        <v>1</v>
      </c>
      <c r="CY249" s="562">
        <v>0.65</v>
      </c>
      <c r="CZ249" s="560">
        <v>1463.4666669999999</v>
      </c>
      <c r="DA249" s="560">
        <v>8.5</v>
      </c>
      <c r="DB249" s="560" t="s">
        <v>1719</v>
      </c>
      <c r="DC249" s="560">
        <v>50</v>
      </c>
      <c r="DD249" s="560">
        <v>4</v>
      </c>
      <c r="DE249" s="560" t="s">
        <v>1720</v>
      </c>
      <c r="DF249" s="560">
        <v>5</v>
      </c>
      <c r="DG249" s="560">
        <v>0</v>
      </c>
      <c r="DH249" s="560">
        <v>4.5</v>
      </c>
      <c r="DI249" s="560">
        <v>4.5</v>
      </c>
      <c r="DJ249" s="560">
        <v>0</v>
      </c>
      <c r="DK249" s="560">
        <v>0</v>
      </c>
      <c r="DL249" s="560">
        <v>0</v>
      </c>
      <c r="DM249" s="560">
        <v>0</v>
      </c>
      <c r="DN249" s="560">
        <v>0</v>
      </c>
      <c r="DO249" s="560">
        <v>0</v>
      </c>
    </row>
    <row r="250" spans="1:119" hidden="1">
      <c r="A250" s="560" t="s">
        <v>1824</v>
      </c>
      <c r="B250" s="560" t="s">
        <v>1713</v>
      </c>
      <c r="C250" s="560" t="s">
        <v>779</v>
      </c>
      <c r="D250" s="560">
        <v>3</v>
      </c>
      <c r="E250" s="560">
        <v>381.22240599999998</v>
      </c>
      <c r="F250" s="560">
        <v>57.824297000000001</v>
      </c>
      <c r="G250" s="560">
        <v>6644.9655000000002</v>
      </c>
      <c r="H250" s="560">
        <v>139.9665</v>
      </c>
      <c r="I250" s="560">
        <v>0.91800700000000002</v>
      </c>
      <c r="J250" s="560">
        <v>0.29591899999999999</v>
      </c>
      <c r="K250" s="560">
        <v>0.312054</v>
      </c>
      <c r="L250" s="560">
        <v>0.453266</v>
      </c>
      <c r="M250" s="560">
        <v>11899.836222</v>
      </c>
      <c r="N250" s="560">
        <v>13321.056521</v>
      </c>
      <c r="O250" s="560">
        <v>4104.2347410000002</v>
      </c>
      <c r="P250" s="560">
        <v>25.240051000000001</v>
      </c>
      <c r="Q250" s="560">
        <v>360.91753699999998</v>
      </c>
      <c r="R250" s="560">
        <v>1577.71569</v>
      </c>
      <c r="S250" s="560">
        <v>905.31071199999997</v>
      </c>
      <c r="T250" s="560">
        <v>1158.7153350000001</v>
      </c>
      <c r="U250" s="560">
        <v>275.63416000000001</v>
      </c>
      <c r="V250" s="560">
        <v>44.974454000000001</v>
      </c>
      <c r="W250" s="560">
        <v>16.494365999999999</v>
      </c>
      <c r="X250" s="560">
        <v>0</v>
      </c>
      <c r="Y250" s="560">
        <v>26.763873</v>
      </c>
      <c r="Z250" s="560">
        <v>116.99565200000001</v>
      </c>
      <c r="AA250" s="560">
        <v>31738.843868</v>
      </c>
      <c r="AB250" s="560">
        <v>36179.141642000002</v>
      </c>
      <c r="AC250" s="560">
        <v>16696.21976</v>
      </c>
      <c r="AD250" s="560">
        <v>8763.7846919999993</v>
      </c>
      <c r="AE250" s="560">
        <v>780.52759700000001</v>
      </c>
      <c r="AF250" s="560">
        <v>10731.053873000001</v>
      </c>
      <c r="AG250" s="560">
        <v>12355.417439000001</v>
      </c>
      <c r="AH250" s="560">
        <v>3096.8505930000001</v>
      </c>
      <c r="AI250" s="560">
        <v>0</v>
      </c>
      <c r="AJ250" s="560">
        <v>802.52338199999997</v>
      </c>
      <c r="AK250" s="560">
        <v>1883.9794710000001</v>
      </c>
      <c r="AL250" s="560">
        <v>200.75</v>
      </c>
      <c r="AM250" s="560">
        <v>0</v>
      </c>
      <c r="AN250" s="560">
        <v>0</v>
      </c>
      <c r="AO250" s="560">
        <v>0</v>
      </c>
      <c r="AP250" s="560">
        <v>0</v>
      </c>
      <c r="AQ250" s="560" t="s">
        <v>1824</v>
      </c>
      <c r="AR250" s="560" t="s">
        <v>1729</v>
      </c>
      <c r="AS250" s="560">
        <v>0</v>
      </c>
      <c r="AT250" s="560">
        <v>0</v>
      </c>
      <c r="AU250" s="560">
        <v>0</v>
      </c>
      <c r="AV250" s="560">
        <v>69</v>
      </c>
      <c r="AW250" s="560">
        <v>64</v>
      </c>
      <c r="AX250" s="560">
        <v>74</v>
      </c>
      <c r="AY250" s="560">
        <v>78</v>
      </c>
      <c r="AZ250" s="560">
        <v>1</v>
      </c>
      <c r="BA250" s="560">
        <v>2085</v>
      </c>
      <c r="BB250" s="560">
        <v>0</v>
      </c>
      <c r="BC250" s="560">
        <v>0.5</v>
      </c>
      <c r="BD250" s="560">
        <v>0</v>
      </c>
      <c r="BE250" s="560" t="s">
        <v>1799</v>
      </c>
      <c r="BF250" s="560">
        <v>3</v>
      </c>
      <c r="BG250" s="560">
        <v>13</v>
      </c>
      <c r="BH250" s="560">
        <v>1</v>
      </c>
      <c r="BI250" s="560">
        <v>2</v>
      </c>
      <c r="BJ250" s="560">
        <v>35</v>
      </c>
      <c r="BK250" s="560">
        <v>0</v>
      </c>
      <c r="BL250" s="560" t="s">
        <v>1716</v>
      </c>
      <c r="BM250" s="560">
        <v>0.05</v>
      </c>
      <c r="BN250" s="560">
        <v>200</v>
      </c>
      <c r="BO250" s="560">
        <v>20</v>
      </c>
      <c r="BP250" s="560" t="s">
        <v>1717</v>
      </c>
      <c r="BQ250" s="560">
        <v>0</v>
      </c>
      <c r="BR250" s="560">
        <v>0</v>
      </c>
      <c r="BS250" s="560">
        <v>555</v>
      </c>
      <c r="BT250" s="560">
        <v>1568</v>
      </c>
      <c r="BU250" s="560">
        <v>12544</v>
      </c>
      <c r="BV250" s="560">
        <v>0</v>
      </c>
      <c r="BW250" s="560">
        <v>0</v>
      </c>
      <c r="BX250" s="560">
        <v>1344</v>
      </c>
      <c r="BY250" s="560">
        <v>10.3</v>
      </c>
      <c r="BZ250" s="560">
        <v>1568</v>
      </c>
      <c r="CA250" s="560">
        <v>26.5</v>
      </c>
      <c r="CB250" s="560">
        <v>0.85</v>
      </c>
      <c r="CC250" s="560">
        <v>49</v>
      </c>
      <c r="CD250" s="560">
        <v>49</v>
      </c>
      <c r="CE250" s="560">
        <v>49</v>
      </c>
      <c r="CF250" s="560">
        <v>49</v>
      </c>
      <c r="CG250" s="560">
        <v>0.29299999999999998</v>
      </c>
      <c r="CH250" s="560">
        <v>0.3</v>
      </c>
      <c r="CI250" s="560">
        <v>0.54</v>
      </c>
      <c r="CJ250" s="560">
        <v>40</v>
      </c>
      <c r="CK250" s="560">
        <v>5</v>
      </c>
      <c r="CL250" s="560">
        <v>1</v>
      </c>
      <c r="CM250" s="562">
        <v>1568</v>
      </c>
      <c r="CN250" s="562">
        <v>168</v>
      </c>
      <c r="CO250" s="562">
        <v>15.8</v>
      </c>
      <c r="CP250" s="562">
        <v>0</v>
      </c>
      <c r="CQ250" s="562">
        <v>0</v>
      </c>
      <c r="CR250" s="562" t="s">
        <v>1718</v>
      </c>
      <c r="CS250" s="562">
        <v>0</v>
      </c>
      <c r="CT250" s="562">
        <v>0</v>
      </c>
      <c r="CU250" s="562">
        <v>0.75</v>
      </c>
      <c r="CV250" s="562">
        <v>2</v>
      </c>
      <c r="CW250" s="562">
        <v>1.75</v>
      </c>
      <c r="CX250" s="562">
        <v>1</v>
      </c>
      <c r="CY250" s="562">
        <v>0.65</v>
      </c>
      <c r="CZ250" s="560">
        <v>1463.4666669999999</v>
      </c>
      <c r="DA250" s="560">
        <v>8.5</v>
      </c>
      <c r="DB250" s="560" t="s">
        <v>1719</v>
      </c>
      <c r="DC250" s="560">
        <v>50</v>
      </c>
      <c r="DD250" s="560">
        <v>4</v>
      </c>
      <c r="DE250" s="560" t="s">
        <v>1720</v>
      </c>
      <c r="DF250" s="560">
        <v>5</v>
      </c>
      <c r="DG250" s="560">
        <v>0</v>
      </c>
      <c r="DH250" s="560">
        <v>4.5</v>
      </c>
      <c r="DI250" s="560">
        <v>4.5</v>
      </c>
      <c r="DJ250" s="560">
        <v>0</v>
      </c>
      <c r="DK250" s="560">
        <v>0</v>
      </c>
      <c r="DL250" s="560">
        <v>0</v>
      </c>
      <c r="DM250" s="560">
        <v>0</v>
      </c>
      <c r="DN250" s="560">
        <v>0</v>
      </c>
      <c r="DO250" s="560">
        <v>0</v>
      </c>
    </row>
    <row r="251" spans="1:119" hidden="1">
      <c r="A251" s="560" t="s">
        <v>1825</v>
      </c>
      <c r="B251" s="560" t="s">
        <v>1713</v>
      </c>
      <c r="C251" s="560" t="s">
        <v>794</v>
      </c>
      <c r="D251" s="560">
        <v>3</v>
      </c>
      <c r="E251" s="560">
        <v>339.66790400000002</v>
      </c>
      <c r="F251" s="560">
        <v>56.403457000000003</v>
      </c>
      <c r="G251" s="560">
        <v>7927.5</v>
      </c>
      <c r="H251" s="560">
        <v>139.9665</v>
      </c>
      <c r="I251" s="560">
        <v>0.90101900000000001</v>
      </c>
      <c r="J251" s="560">
        <v>0.28810999999999998</v>
      </c>
      <c r="K251" s="560">
        <v>0.30612899999999998</v>
      </c>
      <c r="L251" s="560">
        <v>0.45644099999999999</v>
      </c>
      <c r="M251" s="560">
        <v>12772.652747</v>
      </c>
      <c r="N251" s="560">
        <v>14408.203379</v>
      </c>
      <c r="O251" s="560">
        <v>4437.2083650000004</v>
      </c>
      <c r="P251" s="560">
        <v>44.340110000000003</v>
      </c>
      <c r="Q251" s="560">
        <v>389.09814399999999</v>
      </c>
      <c r="R251" s="560">
        <v>1700.904456</v>
      </c>
      <c r="S251" s="560">
        <v>985.058987</v>
      </c>
      <c r="T251" s="560">
        <v>1264.2340380000001</v>
      </c>
      <c r="U251" s="560">
        <v>300.08047399999998</v>
      </c>
      <c r="V251" s="560">
        <v>49.979337999999998</v>
      </c>
      <c r="W251" s="560">
        <v>16.784133000000001</v>
      </c>
      <c r="X251" s="560">
        <v>0</v>
      </c>
      <c r="Y251" s="560">
        <v>29.158906999999999</v>
      </c>
      <c r="Z251" s="560">
        <v>127.465309</v>
      </c>
      <c r="AA251" s="560">
        <v>31907.978447000001</v>
      </c>
      <c r="AB251" s="560">
        <v>36379.869700000003</v>
      </c>
      <c r="AC251" s="560">
        <v>20174.603743</v>
      </c>
      <c r="AD251" s="560">
        <v>12386.304842</v>
      </c>
      <c r="AE251" s="560">
        <v>780.52759700000001</v>
      </c>
      <c r="AF251" s="560">
        <v>10317.734253000001</v>
      </c>
      <c r="AG251" s="560">
        <v>11919.523093</v>
      </c>
      <c r="AH251" s="560">
        <v>2989.8484880000001</v>
      </c>
      <c r="AI251" s="560">
        <v>0</v>
      </c>
      <c r="AJ251" s="560">
        <v>831.34869900000001</v>
      </c>
      <c r="AK251" s="560">
        <v>1966.462043</v>
      </c>
      <c r="AL251" s="560">
        <v>200.75</v>
      </c>
      <c r="AM251" s="560">
        <v>0</v>
      </c>
      <c r="AN251" s="560">
        <v>0</v>
      </c>
      <c r="AO251" s="560">
        <v>0</v>
      </c>
      <c r="AP251" s="560">
        <v>0</v>
      </c>
      <c r="AQ251" s="560" t="s">
        <v>1825</v>
      </c>
      <c r="AR251" s="560" t="s">
        <v>1738</v>
      </c>
      <c r="AS251" s="560">
        <v>0</v>
      </c>
      <c r="AT251" s="560">
        <v>0</v>
      </c>
      <c r="AU251" s="560">
        <v>0</v>
      </c>
      <c r="AV251" s="560">
        <v>69</v>
      </c>
      <c r="AW251" s="560">
        <v>64</v>
      </c>
      <c r="AX251" s="560">
        <v>74</v>
      </c>
      <c r="AY251" s="560">
        <v>78</v>
      </c>
      <c r="AZ251" s="560">
        <v>1</v>
      </c>
      <c r="BA251" s="560">
        <v>2085</v>
      </c>
      <c r="BB251" s="560">
        <v>0</v>
      </c>
      <c r="BC251" s="560">
        <v>0.5</v>
      </c>
      <c r="BD251" s="560">
        <v>0</v>
      </c>
      <c r="BE251" s="560" t="s">
        <v>1799</v>
      </c>
      <c r="BF251" s="560">
        <v>3</v>
      </c>
      <c r="BG251" s="560">
        <v>13</v>
      </c>
      <c r="BH251" s="560">
        <v>1</v>
      </c>
      <c r="BI251" s="560">
        <v>2</v>
      </c>
      <c r="BJ251" s="560">
        <v>35</v>
      </c>
      <c r="BK251" s="560">
        <v>0</v>
      </c>
      <c r="BL251" s="560" t="s">
        <v>1716</v>
      </c>
      <c r="BM251" s="560">
        <v>0.05</v>
      </c>
      <c r="BN251" s="560">
        <v>200</v>
      </c>
      <c r="BO251" s="560">
        <v>20</v>
      </c>
      <c r="BP251" s="560" t="s">
        <v>1717</v>
      </c>
      <c r="BQ251" s="560">
        <v>0</v>
      </c>
      <c r="BR251" s="560">
        <v>0</v>
      </c>
      <c r="BS251" s="560">
        <v>555</v>
      </c>
      <c r="BT251" s="560">
        <v>1568</v>
      </c>
      <c r="BU251" s="560">
        <v>12544</v>
      </c>
      <c r="BV251" s="560">
        <v>0</v>
      </c>
      <c r="BW251" s="560">
        <v>0</v>
      </c>
      <c r="BX251" s="560">
        <v>1344</v>
      </c>
      <c r="BY251" s="560">
        <v>12.82</v>
      </c>
      <c r="BZ251" s="560">
        <v>1568</v>
      </c>
      <c r="CA251" s="560">
        <v>26.5</v>
      </c>
      <c r="CB251" s="560">
        <v>0.85</v>
      </c>
      <c r="CC251" s="560">
        <v>49</v>
      </c>
      <c r="CD251" s="560">
        <v>49</v>
      </c>
      <c r="CE251" s="560">
        <v>49</v>
      </c>
      <c r="CF251" s="560">
        <v>49</v>
      </c>
      <c r="CG251" s="560">
        <v>0.29299999999999998</v>
      </c>
      <c r="CH251" s="560">
        <v>0.3</v>
      </c>
      <c r="CI251" s="560">
        <v>0.54</v>
      </c>
      <c r="CJ251" s="560">
        <v>40</v>
      </c>
      <c r="CK251" s="560">
        <v>5</v>
      </c>
      <c r="CL251" s="560">
        <v>1</v>
      </c>
      <c r="CM251" s="562">
        <v>1568</v>
      </c>
      <c r="CN251" s="562">
        <v>168</v>
      </c>
      <c r="CO251" s="562">
        <v>20.45</v>
      </c>
      <c r="CP251" s="562">
        <v>0</v>
      </c>
      <c r="CQ251" s="562">
        <v>0</v>
      </c>
      <c r="CR251" s="562" t="s">
        <v>1718</v>
      </c>
      <c r="CS251" s="562">
        <v>0</v>
      </c>
      <c r="CT251" s="562">
        <v>0</v>
      </c>
      <c r="CU251" s="562">
        <v>0.75</v>
      </c>
      <c r="CV251" s="562">
        <v>2</v>
      </c>
      <c r="CW251" s="562">
        <v>1.75</v>
      </c>
      <c r="CX251" s="562">
        <v>1</v>
      </c>
      <c r="CY251" s="562">
        <v>0.65</v>
      </c>
      <c r="CZ251" s="560">
        <v>1463.4666669999999</v>
      </c>
      <c r="DA251" s="560">
        <v>8.5</v>
      </c>
      <c r="DB251" s="560" t="s">
        <v>1719</v>
      </c>
      <c r="DC251" s="560">
        <v>50</v>
      </c>
      <c r="DD251" s="560">
        <v>4</v>
      </c>
      <c r="DE251" s="560" t="s">
        <v>1720</v>
      </c>
      <c r="DF251" s="560">
        <v>5</v>
      </c>
      <c r="DG251" s="560">
        <v>0</v>
      </c>
      <c r="DH251" s="560">
        <v>4.5</v>
      </c>
      <c r="DI251" s="560">
        <v>4.5</v>
      </c>
      <c r="DJ251" s="560">
        <v>0</v>
      </c>
      <c r="DK251" s="560">
        <v>0</v>
      </c>
      <c r="DL251" s="560">
        <v>0</v>
      </c>
      <c r="DM251" s="560">
        <v>0</v>
      </c>
      <c r="DN251" s="560">
        <v>0</v>
      </c>
      <c r="DO251" s="560">
        <v>0</v>
      </c>
    </row>
    <row r="252" spans="1:119" hidden="1">
      <c r="A252" s="560" t="s">
        <v>1826</v>
      </c>
      <c r="B252" s="560" t="s">
        <v>1713</v>
      </c>
      <c r="C252" s="560" t="s">
        <v>794</v>
      </c>
      <c r="D252" s="560">
        <v>3</v>
      </c>
      <c r="E252" s="560">
        <v>378.87816900000001</v>
      </c>
      <c r="F252" s="560">
        <v>57.274991999999997</v>
      </c>
      <c r="G252" s="560">
        <v>7927.5</v>
      </c>
      <c r="H252" s="560">
        <v>139.9665</v>
      </c>
      <c r="I252" s="560">
        <v>0.90101900000000001</v>
      </c>
      <c r="J252" s="560">
        <v>0.29196800000000001</v>
      </c>
      <c r="K252" s="560">
        <v>0.30699799999999999</v>
      </c>
      <c r="L252" s="560">
        <v>0.46589199999999997</v>
      </c>
      <c r="M252" s="560">
        <v>14580.248367</v>
      </c>
      <c r="N252" s="560">
        <v>16421.254239000002</v>
      </c>
      <c r="O252" s="560">
        <v>5047.34728</v>
      </c>
      <c r="P252" s="560">
        <v>77.078856999999999</v>
      </c>
      <c r="Q252" s="560">
        <v>441.91419400000001</v>
      </c>
      <c r="R252" s="560">
        <v>1931.7846480000001</v>
      </c>
      <c r="S252" s="560">
        <v>905.31071199999997</v>
      </c>
      <c r="T252" s="560">
        <v>1158.7153350000001</v>
      </c>
      <c r="U252" s="560">
        <v>275.63416000000001</v>
      </c>
      <c r="V252" s="560">
        <v>44.974454000000001</v>
      </c>
      <c r="W252" s="560">
        <v>16.494365999999999</v>
      </c>
      <c r="X252" s="560">
        <v>0</v>
      </c>
      <c r="Y252" s="560">
        <v>26.763873</v>
      </c>
      <c r="Z252" s="560">
        <v>116.99565200000001</v>
      </c>
      <c r="AA252" s="560">
        <v>33832.121091000001</v>
      </c>
      <c r="AB252" s="560">
        <v>38453.368827999999</v>
      </c>
      <c r="AC252" s="560">
        <v>22248.102871999999</v>
      </c>
      <c r="AD252" s="560">
        <v>14459.803970000001</v>
      </c>
      <c r="AE252" s="560">
        <v>780.52759700000001</v>
      </c>
      <c r="AF252" s="560">
        <v>10731.053873000001</v>
      </c>
      <c r="AG252" s="560">
        <v>12355.417439000001</v>
      </c>
      <c r="AH252" s="560">
        <v>3096.8505930000001</v>
      </c>
      <c r="AI252" s="560">
        <v>0</v>
      </c>
      <c r="AJ252" s="560">
        <v>931.97979899999996</v>
      </c>
      <c r="AK252" s="560">
        <v>2204.8261969999999</v>
      </c>
      <c r="AL252" s="560">
        <v>200.75</v>
      </c>
      <c r="AM252" s="560">
        <v>0</v>
      </c>
      <c r="AN252" s="560">
        <v>0</v>
      </c>
      <c r="AO252" s="560">
        <v>0</v>
      </c>
      <c r="AP252" s="560">
        <v>0</v>
      </c>
      <c r="AQ252" s="560" t="s">
        <v>1826</v>
      </c>
      <c r="AR252" s="560" t="s">
        <v>1738</v>
      </c>
      <c r="AS252" s="560">
        <v>0</v>
      </c>
      <c r="AT252" s="560">
        <v>0</v>
      </c>
      <c r="AU252" s="560">
        <v>0</v>
      </c>
      <c r="AV252" s="560">
        <v>69</v>
      </c>
      <c r="AW252" s="560">
        <v>64</v>
      </c>
      <c r="AX252" s="560">
        <v>74</v>
      </c>
      <c r="AY252" s="560">
        <v>78</v>
      </c>
      <c r="AZ252" s="560">
        <v>1</v>
      </c>
      <c r="BA252" s="560">
        <v>2085</v>
      </c>
      <c r="BB252" s="560">
        <v>0</v>
      </c>
      <c r="BC252" s="560">
        <v>0.5</v>
      </c>
      <c r="BD252" s="560">
        <v>0</v>
      </c>
      <c r="BE252" s="560" t="s">
        <v>1799</v>
      </c>
      <c r="BF252" s="560">
        <v>3</v>
      </c>
      <c r="BG252" s="560">
        <v>13</v>
      </c>
      <c r="BH252" s="560">
        <v>1</v>
      </c>
      <c r="BI252" s="560">
        <v>2</v>
      </c>
      <c r="BJ252" s="560">
        <v>35</v>
      </c>
      <c r="BK252" s="560">
        <v>0</v>
      </c>
      <c r="BL252" s="560" t="s">
        <v>1716</v>
      </c>
      <c r="BM252" s="560">
        <v>0.05</v>
      </c>
      <c r="BN252" s="560">
        <v>200</v>
      </c>
      <c r="BO252" s="560">
        <v>20</v>
      </c>
      <c r="BP252" s="560" t="s">
        <v>1717</v>
      </c>
      <c r="BQ252" s="560">
        <v>0</v>
      </c>
      <c r="BR252" s="560">
        <v>0</v>
      </c>
      <c r="BS252" s="560">
        <v>555</v>
      </c>
      <c r="BT252" s="560">
        <v>1568</v>
      </c>
      <c r="BU252" s="560">
        <v>12544</v>
      </c>
      <c r="BV252" s="560">
        <v>0</v>
      </c>
      <c r="BW252" s="560">
        <v>0</v>
      </c>
      <c r="BX252" s="560">
        <v>1344</v>
      </c>
      <c r="BY252" s="560">
        <v>10.3</v>
      </c>
      <c r="BZ252" s="560">
        <v>1568</v>
      </c>
      <c r="CA252" s="560">
        <v>26.5</v>
      </c>
      <c r="CB252" s="560">
        <v>0.85</v>
      </c>
      <c r="CC252" s="560">
        <v>49</v>
      </c>
      <c r="CD252" s="560">
        <v>49</v>
      </c>
      <c r="CE252" s="560">
        <v>49</v>
      </c>
      <c r="CF252" s="560">
        <v>49</v>
      </c>
      <c r="CG252" s="560">
        <v>0.29299999999999998</v>
      </c>
      <c r="CH252" s="560">
        <v>0.3</v>
      </c>
      <c r="CI252" s="560">
        <v>0.54</v>
      </c>
      <c r="CJ252" s="560">
        <v>40</v>
      </c>
      <c r="CK252" s="560">
        <v>5</v>
      </c>
      <c r="CL252" s="560">
        <v>1</v>
      </c>
      <c r="CM252" s="562">
        <v>1568</v>
      </c>
      <c r="CN252" s="562">
        <v>168</v>
      </c>
      <c r="CO252" s="562">
        <v>15.8</v>
      </c>
      <c r="CP252" s="562">
        <v>0</v>
      </c>
      <c r="CQ252" s="562">
        <v>0</v>
      </c>
      <c r="CR252" s="562" t="s">
        <v>1718</v>
      </c>
      <c r="CS252" s="562">
        <v>0</v>
      </c>
      <c r="CT252" s="562">
        <v>0</v>
      </c>
      <c r="CU252" s="562">
        <v>0.75</v>
      </c>
      <c r="CV252" s="562">
        <v>2</v>
      </c>
      <c r="CW252" s="562">
        <v>1.75</v>
      </c>
      <c r="CX252" s="562">
        <v>1</v>
      </c>
      <c r="CY252" s="562">
        <v>0.65</v>
      </c>
      <c r="CZ252" s="560">
        <v>1463.4666669999999</v>
      </c>
      <c r="DA252" s="560">
        <v>8.5</v>
      </c>
      <c r="DB252" s="560" t="s">
        <v>1719</v>
      </c>
      <c r="DC252" s="560">
        <v>50</v>
      </c>
      <c r="DD252" s="560">
        <v>4</v>
      </c>
      <c r="DE252" s="560" t="s">
        <v>1720</v>
      </c>
      <c r="DF252" s="560">
        <v>5</v>
      </c>
      <c r="DG252" s="560">
        <v>0</v>
      </c>
      <c r="DH252" s="560">
        <v>4.5</v>
      </c>
      <c r="DI252" s="560">
        <v>4.5</v>
      </c>
      <c r="DJ252" s="560">
        <v>0</v>
      </c>
      <c r="DK252" s="560">
        <v>0</v>
      </c>
      <c r="DL252" s="560">
        <v>0</v>
      </c>
      <c r="DM252" s="560">
        <v>0</v>
      </c>
      <c r="DN252" s="560">
        <v>0</v>
      </c>
      <c r="DO252" s="560">
        <v>0</v>
      </c>
    </row>
    <row r="253" spans="1:119" hidden="1">
      <c r="A253" s="560" t="s">
        <v>1827</v>
      </c>
      <c r="B253" s="560" t="s">
        <v>1713</v>
      </c>
      <c r="C253" s="560" t="s">
        <v>764</v>
      </c>
      <c r="D253" s="560">
        <v>3</v>
      </c>
      <c r="E253" s="560">
        <v>420.142653</v>
      </c>
      <c r="F253" s="560">
        <v>57.890815000000003</v>
      </c>
      <c r="G253" s="560">
        <v>4974.4274999999998</v>
      </c>
      <c r="H253" s="560">
        <v>139.9665</v>
      </c>
      <c r="I253" s="560">
        <v>0.968943</v>
      </c>
      <c r="J253" s="560">
        <v>0.28565299999999999</v>
      </c>
      <c r="K253" s="560">
        <v>0.31451800000000002</v>
      </c>
      <c r="L253" s="560">
        <v>0.46745500000000001</v>
      </c>
      <c r="M253" s="560">
        <v>8868.2493670000003</v>
      </c>
      <c r="N253" s="560">
        <v>10876.716736</v>
      </c>
      <c r="O253" s="560">
        <v>3399.2121059999999</v>
      </c>
      <c r="P253" s="560">
        <v>136.168429</v>
      </c>
      <c r="Q253" s="560">
        <v>292.27169800000001</v>
      </c>
      <c r="R253" s="560">
        <v>1277.6371220000001</v>
      </c>
      <c r="S253" s="560">
        <v>1358.0500830000001</v>
      </c>
      <c r="T253" s="560">
        <v>1748.7166999999999</v>
      </c>
      <c r="U253" s="560">
        <v>412.43655699999999</v>
      </c>
      <c r="V253" s="560">
        <v>46.021599000000002</v>
      </c>
      <c r="W253" s="560">
        <v>11.262700000000001</v>
      </c>
      <c r="X253" s="560">
        <v>0</v>
      </c>
      <c r="Y253" s="560">
        <v>40.446401000000002</v>
      </c>
      <c r="Z253" s="560">
        <v>176.80748399999999</v>
      </c>
      <c r="AA253" s="560">
        <v>37930.311825999997</v>
      </c>
      <c r="AB253" s="560">
        <v>46489.818225000003</v>
      </c>
      <c r="AC253" s="560">
        <v>28174.906455</v>
      </c>
      <c r="AD253" s="560">
        <v>20415.572383999999</v>
      </c>
      <c r="AE253" s="560">
        <v>780.52759700000001</v>
      </c>
      <c r="AF253" s="560">
        <v>14022.294556999999</v>
      </c>
      <c r="AG253" s="560">
        <v>17255.928587999999</v>
      </c>
      <c r="AH253" s="560">
        <v>4215.8040449999999</v>
      </c>
      <c r="AI253" s="560">
        <v>4.0999999999999996</v>
      </c>
      <c r="AJ253" s="560">
        <v>688.84800099999995</v>
      </c>
      <c r="AK253" s="560">
        <v>1589.3137650000001</v>
      </c>
      <c r="AL253" s="560">
        <v>200.75</v>
      </c>
      <c r="AM253" s="560">
        <v>0</v>
      </c>
      <c r="AN253" s="560">
        <v>0</v>
      </c>
      <c r="AO253" s="560">
        <v>0</v>
      </c>
      <c r="AP253" s="560">
        <v>0</v>
      </c>
      <c r="AQ253" s="560" t="s">
        <v>1827</v>
      </c>
      <c r="AR253" s="560" t="s">
        <v>1714</v>
      </c>
      <c r="AS253" s="560">
        <v>0</v>
      </c>
      <c r="AT253" s="560">
        <v>0</v>
      </c>
      <c r="AU253" s="560">
        <v>0</v>
      </c>
      <c r="AV253" s="560">
        <v>69</v>
      </c>
      <c r="AW253" s="560">
        <v>64</v>
      </c>
      <c r="AX253" s="560">
        <v>74</v>
      </c>
      <c r="AY253" s="560">
        <v>78</v>
      </c>
      <c r="AZ253" s="560">
        <v>1</v>
      </c>
      <c r="BA253" s="560">
        <v>2268</v>
      </c>
      <c r="BB253" s="560">
        <v>0</v>
      </c>
      <c r="BC253" s="560">
        <v>0.5</v>
      </c>
      <c r="BD253" s="560">
        <v>0</v>
      </c>
      <c r="BE253" s="560" t="s">
        <v>1799</v>
      </c>
      <c r="BF253" s="560">
        <v>3</v>
      </c>
      <c r="BG253" s="560">
        <v>17.399999999999999</v>
      </c>
      <c r="BH253" s="560">
        <v>1</v>
      </c>
      <c r="BI253" s="560">
        <v>2</v>
      </c>
      <c r="BJ253" s="560">
        <v>35</v>
      </c>
      <c r="BK253" s="560">
        <v>0</v>
      </c>
      <c r="BL253" s="560" t="s">
        <v>1716</v>
      </c>
      <c r="BM253" s="560">
        <v>0.06</v>
      </c>
      <c r="BN253" s="560">
        <v>300</v>
      </c>
      <c r="BO253" s="560">
        <v>6</v>
      </c>
      <c r="BP253" s="560" t="s">
        <v>1747</v>
      </c>
      <c r="BQ253" s="560">
        <v>0.03</v>
      </c>
      <c r="BR253" s="560">
        <v>80</v>
      </c>
      <c r="BS253" s="560">
        <v>6</v>
      </c>
      <c r="BT253" s="560">
        <v>2200</v>
      </c>
      <c r="BU253" s="560">
        <v>18700</v>
      </c>
      <c r="BV253" s="560">
        <v>200</v>
      </c>
      <c r="BW253" s="560">
        <v>30.609376350000002</v>
      </c>
      <c r="BX253" s="560">
        <v>2210</v>
      </c>
      <c r="BY253" s="560">
        <v>17.543859650000002</v>
      </c>
      <c r="BZ253" s="560">
        <v>1784</v>
      </c>
      <c r="CA253" s="560">
        <v>37.664196859999997</v>
      </c>
      <c r="CB253" s="560">
        <v>0.85</v>
      </c>
      <c r="CC253" s="560">
        <v>91</v>
      </c>
      <c r="CD253" s="560">
        <v>91</v>
      </c>
      <c r="CE253" s="560">
        <v>91</v>
      </c>
      <c r="CF253" s="560">
        <v>91</v>
      </c>
      <c r="CG253" s="560">
        <v>0.29299999999999998</v>
      </c>
      <c r="CH253" s="560">
        <v>0.3</v>
      </c>
      <c r="CI253" s="560">
        <v>0.54</v>
      </c>
      <c r="CJ253" s="560">
        <v>40</v>
      </c>
      <c r="CK253" s="560">
        <v>5</v>
      </c>
      <c r="CL253" s="560">
        <v>1</v>
      </c>
      <c r="CM253" s="562">
        <v>1584</v>
      </c>
      <c r="CN253" s="562">
        <v>160</v>
      </c>
      <c r="CO253" s="562">
        <v>30.609376350000002</v>
      </c>
      <c r="CP253" s="562">
        <v>0</v>
      </c>
      <c r="CQ253" s="562">
        <v>0</v>
      </c>
      <c r="CR253" s="562" t="s">
        <v>1718</v>
      </c>
      <c r="CS253" s="562">
        <v>0</v>
      </c>
      <c r="CT253" s="562">
        <v>0</v>
      </c>
      <c r="CU253" s="562">
        <v>0.75</v>
      </c>
      <c r="CV253" s="562">
        <v>1</v>
      </c>
      <c r="CW253" s="562">
        <v>1.75</v>
      </c>
      <c r="CX253" s="562">
        <v>2</v>
      </c>
      <c r="CY253" s="562">
        <v>1.5</v>
      </c>
      <c r="CZ253" s="560">
        <v>2181.666667</v>
      </c>
      <c r="DA253" s="560">
        <v>11.80555556</v>
      </c>
      <c r="DB253" s="560" t="s">
        <v>1719</v>
      </c>
      <c r="DC253" s="560">
        <v>50</v>
      </c>
      <c r="DD253" s="560">
        <v>4</v>
      </c>
      <c r="DE253" s="560" t="s">
        <v>1720</v>
      </c>
      <c r="DF253" s="560">
        <v>5</v>
      </c>
      <c r="DG253" s="560">
        <v>0</v>
      </c>
      <c r="DH253" s="560">
        <v>4.5</v>
      </c>
      <c r="DI253" s="560">
        <v>4.5</v>
      </c>
      <c r="DJ253" s="560">
        <v>0</v>
      </c>
      <c r="DK253" s="560">
        <v>0</v>
      </c>
      <c r="DL253" s="560">
        <v>0</v>
      </c>
      <c r="DM253" s="560">
        <v>0</v>
      </c>
      <c r="DN253" s="560">
        <v>0</v>
      </c>
      <c r="DO253" s="560">
        <v>0</v>
      </c>
    </row>
    <row r="254" spans="1:119" hidden="1">
      <c r="A254" s="560" t="s">
        <v>889</v>
      </c>
      <c r="B254" s="560" t="s">
        <v>1713</v>
      </c>
      <c r="C254" s="560" t="s">
        <v>764</v>
      </c>
      <c r="D254" s="560">
        <v>3</v>
      </c>
      <c r="E254" s="560">
        <v>486.02175299999999</v>
      </c>
      <c r="F254" s="560">
        <v>58.682454</v>
      </c>
      <c r="G254" s="560">
        <v>4974.4274999999998</v>
      </c>
      <c r="H254" s="560">
        <v>139.9665</v>
      </c>
      <c r="I254" s="560">
        <v>0.968943</v>
      </c>
      <c r="J254" s="560">
        <v>0.29063099999999997</v>
      </c>
      <c r="K254" s="560">
        <v>0.31418499999999999</v>
      </c>
      <c r="L254" s="560">
        <v>0.48452499999999998</v>
      </c>
      <c r="M254" s="560">
        <v>10825.391433000001</v>
      </c>
      <c r="N254" s="560">
        <v>13588.094666999999</v>
      </c>
      <c r="O254" s="560">
        <v>4255.7805559999997</v>
      </c>
      <c r="P254" s="560">
        <v>236.93008</v>
      </c>
      <c r="Q254" s="560">
        <v>362.24274000000003</v>
      </c>
      <c r="R254" s="560">
        <v>1583.5086839999999</v>
      </c>
      <c r="S254" s="560">
        <v>1310.9937030000001</v>
      </c>
      <c r="T254" s="560">
        <v>1691.044144</v>
      </c>
      <c r="U254" s="560">
        <v>398.39023700000001</v>
      </c>
      <c r="V254" s="560">
        <v>40.772373999999999</v>
      </c>
      <c r="W254" s="560">
        <v>10.377257</v>
      </c>
      <c r="X254" s="560">
        <v>0</v>
      </c>
      <c r="Y254" s="560">
        <v>39.177999</v>
      </c>
      <c r="Z254" s="560">
        <v>171.262789</v>
      </c>
      <c r="AA254" s="560">
        <v>40603.487878</v>
      </c>
      <c r="AB254" s="560">
        <v>50520.806769000003</v>
      </c>
      <c r="AC254" s="560">
        <v>32138.061321000001</v>
      </c>
      <c r="AD254" s="560">
        <v>24382.920859000002</v>
      </c>
      <c r="AE254" s="560">
        <v>780.52759700000001</v>
      </c>
      <c r="AF254" s="560">
        <v>15392.253127</v>
      </c>
      <c r="AG254" s="560">
        <v>19209.127575999999</v>
      </c>
      <c r="AH254" s="560">
        <v>4656.9775840000002</v>
      </c>
      <c r="AI254" s="560">
        <v>26.65</v>
      </c>
      <c r="AJ254" s="560">
        <v>826.77079100000003</v>
      </c>
      <c r="AK254" s="560">
        <v>1909.7454729999999</v>
      </c>
      <c r="AL254" s="560">
        <v>200.75</v>
      </c>
      <c r="AM254" s="560">
        <v>0</v>
      </c>
      <c r="AN254" s="560">
        <v>0</v>
      </c>
      <c r="AO254" s="560">
        <v>0</v>
      </c>
      <c r="AP254" s="560">
        <v>0</v>
      </c>
      <c r="AQ254" s="560" t="s">
        <v>889</v>
      </c>
      <c r="AR254" s="560" t="s">
        <v>1714</v>
      </c>
      <c r="AS254" s="560">
        <v>0</v>
      </c>
      <c r="AT254" s="560">
        <v>0</v>
      </c>
      <c r="AU254" s="560">
        <v>0</v>
      </c>
      <c r="AV254" s="560">
        <v>69</v>
      </c>
      <c r="AW254" s="560">
        <v>64</v>
      </c>
      <c r="AX254" s="560">
        <v>74</v>
      </c>
      <c r="AY254" s="560">
        <v>78</v>
      </c>
      <c r="AZ254" s="560">
        <v>1</v>
      </c>
      <c r="BA254" s="560">
        <v>2268</v>
      </c>
      <c r="BB254" s="560">
        <v>0</v>
      </c>
      <c r="BC254" s="560">
        <v>0.5</v>
      </c>
      <c r="BD254" s="560">
        <v>0</v>
      </c>
      <c r="BE254" s="560" t="s">
        <v>1799</v>
      </c>
      <c r="BF254" s="560">
        <v>3</v>
      </c>
      <c r="BG254" s="560">
        <v>17.399999999999999</v>
      </c>
      <c r="BH254" s="560">
        <v>1</v>
      </c>
      <c r="BI254" s="560">
        <v>2</v>
      </c>
      <c r="BJ254" s="560">
        <v>35</v>
      </c>
      <c r="BK254" s="560">
        <v>0</v>
      </c>
      <c r="BL254" s="560" t="s">
        <v>1716</v>
      </c>
      <c r="BM254" s="560">
        <v>0.06</v>
      </c>
      <c r="BN254" s="560">
        <v>300</v>
      </c>
      <c r="BO254" s="560">
        <v>4.5</v>
      </c>
      <c r="BP254" s="560" t="s">
        <v>1747</v>
      </c>
      <c r="BQ254" s="560">
        <v>0.03</v>
      </c>
      <c r="BR254" s="560">
        <v>80</v>
      </c>
      <c r="BS254" s="560">
        <v>4.9000000000000004</v>
      </c>
      <c r="BT254" s="560">
        <v>2200</v>
      </c>
      <c r="BU254" s="560">
        <v>18700</v>
      </c>
      <c r="BV254" s="560">
        <v>200</v>
      </c>
      <c r="BW254" s="560">
        <v>26.8</v>
      </c>
      <c r="BX254" s="560">
        <v>2210</v>
      </c>
      <c r="BY254" s="560">
        <v>11.4</v>
      </c>
      <c r="BZ254" s="560">
        <v>1784</v>
      </c>
      <c r="CA254" s="560">
        <v>35</v>
      </c>
      <c r="CB254" s="560">
        <v>0.85</v>
      </c>
      <c r="CC254" s="560">
        <v>91</v>
      </c>
      <c r="CD254" s="560">
        <v>91</v>
      </c>
      <c r="CE254" s="560">
        <v>91</v>
      </c>
      <c r="CF254" s="560">
        <v>91</v>
      </c>
      <c r="CG254" s="560">
        <v>0.29299999999999998</v>
      </c>
      <c r="CH254" s="560">
        <v>0.3</v>
      </c>
      <c r="CI254" s="560">
        <v>0.54</v>
      </c>
      <c r="CJ254" s="560">
        <v>40</v>
      </c>
      <c r="CK254" s="560">
        <v>5</v>
      </c>
      <c r="CL254" s="560">
        <v>1</v>
      </c>
      <c r="CM254" s="562">
        <v>1584</v>
      </c>
      <c r="CN254" s="562">
        <v>160</v>
      </c>
      <c r="CO254" s="562">
        <v>26.8</v>
      </c>
      <c r="CP254" s="562">
        <v>0</v>
      </c>
      <c r="CQ254" s="562">
        <v>0</v>
      </c>
      <c r="CR254" s="562" t="s">
        <v>1718</v>
      </c>
      <c r="CS254" s="562">
        <v>0</v>
      </c>
      <c r="CT254" s="562">
        <v>0</v>
      </c>
      <c r="CU254" s="562">
        <v>0.75</v>
      </c>
      <c r="CV254" s="562">
        <v>1</v>
      </c>
      <c r="CW254" s="562">
        <v>1.75</v>
      </c>
      <c r="CX254" s="562">
        <v>2</v>
      </c>
      <c r="CY254" s="562">
        <v>1.5</v>
      </c>
      <c r="CZ254" s="560">
        <v>2181.666667</v>
      </c>
      <c r="DA254" s="560">
        <v>11.80555556</v>
      </c>
      <c r="DB254" s="560" t="s">
        <v>1719</v>
      </c>
      <c r="DC254" s="560">
        <v>50</v>
      </c>
      <c r="DD254" s="560">
        <v>4</v>
      </c>
      <c r="DE254" s="560" t="s">
        <v>1720</v>
      </c>
      <c r="DF254" s="560">
        <v>5</v>
      </c>
      <c r="DG254" s="560">
        <v>0</v>
      </c>
      <c r="DH254" s="560">
        <v>4.5</v>
      </c>
      <c r="DI254" s="560">
        <v>4.5</v>
      </c>
      <c r="DJ254" s="560">
        <v>0</v>
      </c>
      <c r="DK254" s="560">
        <v>0</v>
      </c>
      <c r="DL254" s="560">
        <v>0</v>
      </c>
      <c r="DM254" s="560">
        <v>0</v>
      </c>
      <c r="DN254" s="560">
        <v>0</v>
      </c>
      <c r="DO254" s="560">
        <v>0</v>
      </c>
    </row>
    <row r="255" spans="1:119" hidden="1">
      <c r="A255" s="560" t="s">
        <v>1828</v>
      </c>
      <c r="B255" s="560" t="s">
        <v>1713</v>
      </c>
      <c r="C255" s="560" t="s">
        <v>779</v>
      </c>
      <c r="D255" s="560">
        <v>3</v>
      </c>
      <c r="E255" s="560">
        <v>427.48525799999999</v>
      </c>
      <c r="F255" s="560">
        <v>56.570435000000003</v>
      </c>
      <c r="G255" s="560">
        <v>6644.9655000000002</v>
      </c>
      <c r="H255" s="560">
        <v>139.9665</v>
      </c>
      <c r="I255" s="560">
        <v>0.91800700000000002</v>
      </c>
      <c r="J255" s="560">
        <v>0.32124799999999998</v>
      </c>
      <c r="K255" s="560">
        <v>0.35547899999999999</v>
      </c>
      <c r="L255" s="560">
        <v>0.53753099999999998</v>
      </c>
      <c r="M255" s="560">
        <v>12791.084273</v>
      </c>
      <c r="N255" s="560">
        <v>15973.355686999999</v>
      </c>
      <c r="O255" s="560">
        <v>5058.2955469999997</v>
      </c>
      <c r="P255" s="560">
        <v>394.55433099999999</v>
      </c>
      <c r="Q255" s="560">
        <v>421.898439</v>
      </c>
      <c r="R255" s="560">
        <v>1844.287734</v>
      </c>
      <c r="S255" s="560">
        <v>1358.0500830000001</v>
      </c>
      <c r="T255" s="560">
        <v>1748.7166999999999</v>
      </c>
      <c r="U255" s="560">
        <v>412.43655699999999</v>
      </c>
      <c r="V255" s="560">
        <v>46.021599000000002</v>
      </c>
      <c r="W255" s="560">
        <v>11.262700000000001</v>
      </c>
      <c r="X255" s="560">
        <v>0</v>
      </c>
      <c r="Y255" s="560">
        <v>40.446401000000002</v>
      </c>
      <c r="Z255" s="560">
        <v>176.80748399999999</v>
      </c>
      <c r="AA255" s="560">
        <v>42712.791496999998</v>
      </c>
      <c r="AB255" s="560">
        <v>52631.997454999997</v>
      </c>
      <c r="AC255" s="560">
        <v>32912.767316999998</v>
      </c>
      <c r="AD255" s="560">
        <v>25088.987879</v>
      </c>
      <c r="AE255" s="560">
        <v>780.52759700000001</v>
      </c>
      <c r="AF255" s="560">
        <v>14022.294556999999</v>
      </c>
      <c r="AG255" s="560">
        <v>17255.928587999999</v>
      </c>
      <c r="AH255" s="560">
        <v>4215.8040449999999</v>
      </c>
      <c r="AI255" s="560">
        <v>5.3</v>
      </c>
      <c r="AJ255" s="560">
        <v>965.076548</v>
      </c>
      <c r="AK255" s="560">
        <v>2226.2961190000001</v>
      </c>
      <c r="AL255" s="560">
        <v>200.75</v>
      </c>
      <c r="AM255" s="560">
        <v>0</v>
      </c>
      <c r="AN255" s="560">
        <v>0</v>
      </c>
      <c r="AO255" s="560">
        <v>0</v>
      </c>
      <c r="AP255" s="560">
        <v>0</v>
      </c>
      <c r="AQ255" s="560" t="s">
        <v>1828</v>
      </c>
      <c r="AR255" s="560" t="s">
        <v>1729</v>
      </c>
      <c r="AS255" s="560">
        <v>0</v>
      </c>
      <c r="AT255" s="560">
        <v>0</v>
      </c>
      <c r="AU255" s="560">
        <v>0</v>
      </c>
      <c r="AV255" s="560">
        <v>69</v>
      </c>
      <c r="AW255" s="560">
        <v>64</v>
      </c>
      <c r="AX255" s="560">
        <v>74</v>
      </c>
      <c r="AY255" s="560">
        <v>78</v>
      </c>
      <c r="AZ255" s="560">
        <v>1</v>
      </c>
      <c r="BA255" s="560">
        <v>2268</v>
      </c>
      <c r="BB255" s="560">
        <v>0</v>
      </c>
      <c r="BC255" s="560">
        <v>0.5</v>
      </c>
      <c r="BD255" s="560">
        <v>0</v>
      </c>
      <c r="BE255" s="560" t="s">
        <v>1799</v>
      </c>
      <c r="BF255" s="560">
        <v>3</v>
      </c>
      <c r="BG255" s="560">
        <v>17.399999999999999</v>
      </c>
      <c r="BH255" s="560">
        <v>1</v>
      </c>
      <c r="BI255" s="560">
        <v>2</v>
      </c>
      <c r="BJ255" s="560">
        <v>35</v>
      </c>
      <c r="BK255" s="560">
        <v>0</v>
      </c>
      <c r="BL255" s="560" t="s">
        <v>1716</v>
      </c>
      <c r="BM255" s="560">
        <v>0.06</v>
      </c>
      <c r="BN255" s="560">
        <v>300</v>
      </c>
      <c r="BO255" s="560">
        <v>6</v>
      </c>
      <c r="BP255" s="560" t="s">
        <v>1747</v>
      </c>
      <c r="BQ255" s="560">
        <v>0.03</v>
      </c>
      <c r="BR255" s="560">
        <v>80</v>
      </c>
      <c r="BS255" s="560">
        <v>6</v>
      </c>
      <c r="BT255" s="560">
        <v>2200</v>
      </c>
      <c r="BU255" s="560">
        <v>18700</v>
      </c>
      <c r="BV255" s="560">
        <v>200</v>
      </c>
      <c r="BW255" s="560">
        <v>30.609376350000002</v>
      </c>
      <c r="BX255" s="560">
        <v>2210</v>
      </c>
      <c r="BY255" s="560">
        <v>17.543859650000002</v>
      </c>
      <c r="BZ255" s="560">
        <v>1784</v>
      </c>
      <c r="CA255" s="560">
        <v>37.664196859999997</v>
      </c>
      <c r="CB255" s="560">
        <v>0.85</v>
      </c>
      <c r="CC255" s="560">
        <v>91</v>
      </c>
      <c r="CD255" s="560">
        <v>91</v>
      </c>
      <c r="CE255" s="560">
        <v>91</v>
      </c>
      <c r="CF255" s="560">
        <v>91</v>
      </c>
      <c r="CG255" s="560">
        <v>0.29299999999999998</v>
      </c>
      <c r="CH255" s="560">
        <v>0.3</v>
      </c>
      <c r="CI255" s="560">
        <v>0.54</v>
      </c>
      <c r="CJ255" s="560">
        <v>40</v>
      </c>
      <c r="CK255" s="560">
        <v>5</v>
      </c>
      <c r="CL255" s="560">
        <v>1</v>
      </c>
      <c r="CM255" s="562">
        <v>1584</v>
      </c>
      <c r="CN255" s="562">
        <v>160</v>
      </c>
      <c r="CO255" s="562">
        <v>30.609376350000002</v>
      </c>
      <c r="CP255" s="562">
        <v>0</v>
      </c>
      <c r="CQ255" s="562">
        <v>0</v>
      </c>
      <c r="CR255" s="562" t="s">
        <v>1718</v>
      </c>
      <c r="CS255" s="562">
        <v>0</v>
      </c>
      <c r="CT255" s="562">
        <v>0</v>
      </c>
      <c r="CU255" s="562">
        <v>0.75</v>
      </c>
      <c r="CV255" s="562">
        <v>1</v>
      </c>
      <c r="CW255" s="562">
        <v>1.75</v>
      </c>
      <c r="CX255" s="562">
        <v>2</v>
      </c>
      <c r="CY255" s="562">
        <v>1.5</v>
      </c>
      <c r="CZ255" s="560">
        <v>2181.666667</v>
      </c>
      <c r="DA255" s="560">
        <v>11.80555556</v>
      </c>
      <c r="DB255" s="560" t="s">
        <v>1719</v>
      </c>
      <c r="DC255" s="560">
        <v>50</v>
      </c>
      <c r="DD255" s="560">
        <v>4</v>
      </c>
      <c r="DE255" s="560" t="s">
        <v>1720</v>
      </c>
      <c r="DF255" s="560">
        <v>5</v>
      </c>
      <c r="DG255" s="560">
        <v>0</v>
      </c>
      <c r="DH255" s="560">
        <v>4.5</v>
      </c>
      <c r="DI255" s="560">
        <v>4.5</v>
      </c>
      <c r="DJ255" s="560">
        <v>0</v>
      </c>
      <c r="DK255" s="560">
        <v>0</v>
      </c>
      <c r="DL255" s="560">
        <v>0</v>
      </c>
      <c r="DM255" s="560">
        <v>0</v>
      </c>
      <c r="DN255" s="560">
        <v>0</v>
      </c>
      <c r="DO255" s="560">
        <v>0</v>
      </c>
    </row>
    <row r="256" spans="1:119" hidden="1">
      <c r="A256" s="560" t="s">
        <v>895</v>
      </c>
      <c r="B256" s="560" t="s">
        <v>1713</v>
      </c>
      <c r="C256" s="560" t="s">
        <v>779</v>
      </c>
      <c r="D256" s="560">
        <v>3</v>
      </c>
      <c r="E256" s="560">
        <v>493.49480499999999</v>
      </c>
      <c r="F256" s="560">
        <v>57.583308000000002</v>
      </c>
      <c r="G256" s="560">
        <v>6644.9655000000002</v>
      </c>
      <c r="H256" s="560">
        <v>139.9665</v>
      </c>
      <c r="I256" s="560">
        <v>0.91800700000000002</v>
      </c>
      <c r="J256" s="560">
        <v>0.32853599999999999</v>
      </c>
      <c r="K256" s="560">
        <v>0.35564699999999999</v>
      </c>
      <c r="L256" s="560">
        <v>0.55575399999999997</v>
      </c>
      <c r="M256" s="560">
        <v>15337.842139</v>
      </c>
      <c r="N256" s="560">
        <v>19647.446819000001</v>
      </c>
      <c r="O256" s="560">
        <v>6298.9215059999997</v>
      </c>
      <c r="P256" s="560">
        <v>679.06816100000003</v>
      </c>
      <c r="Q256" s="560">
        <v>512.01037299999996</v>
      </c>
      <c r="R256" s="560">
        <v>2238.2032370000002</v>
      </c>
      <c r="S256" s="560">
        <v>1310.9937030000001</v>
      </c>
      <c r="T256" s="560">
        <v>1691.044144</v>
      </c>
      <c r="U256" s="560">
        <v>398.39023700000001</v>
      </c>
      <c r="V256" s="560">
        <v>40.772373999999999</v>
      </c>
      <c r="W256" s="560">
        <v>10.377257</v>
      </c>
      <c r="X256" s="560">
        <v>0</v>
      </c>
      <c r="Y256" s="560">
        <v>39.177999</v>
      </c>
      <c r="Z256" s="560">
        <v>171.262789</v>
      </c>
      <c r="AA256" s="560">
        <v>45991.499432999997</v>
      </c>
      <c r="AB256" s="560">
        <v>57548.837686999999</v>
      </c>
      <c r="AC256" s="560">
        <v>37744.924422999997</v>
      </c>
      <c r="AD256" s="560">
        <v>29926.512661000001</v>
      </c>
      <c r="AE256" s="560">
        <v>780.52759700000001</v>
      </c>
      <c r="AF256" s="560">
        <v>15392.253127</v>
      </c>
      <c r="AG256" s="560">
        <v>19209.127575999999</v>
      </c>
      <c r="AH256" s="560">
        <v>4656.9775840000002</v>
      </c>
      <c r="AI256" s="560">
        <v>21.1</v>
      </c>
      <c r="AJ256" s="560">
        <v>1146.123979</v>
      </c>
      <c r="AK256" s="560">
        <v>2642.8490259999999</v>
      </c>
      <c r="AL256" s="560">
        <v>200.75</v>
      </c>
      <c r="AM256" s="560">
        <v>0</v>
      </c>
      <c r="AN256" s="560">
        <v>0</v>
      </c>
      <c r="AO256" s="560">
        <v>0</v>
      </c>
      <c r="AP256" s="560">
        <v>0</v>
      </c>
      <c r="AQ256" s="560" t="s">
        <v>895</v>
      </c>
      <c r="AR256" s="560" t="s">
        <v>1729</v>
      </c>
      <c r="AS256" s="560">
        <v>0</v>
      </c>
      <c r="AT256" s="560">
        <v>0</v>
      </c>
      <c r="AU256" s="560">
        <v>0</v>
      </c>
      <c r="AV256" s="560">
        <v>69</v>
      </c>
      <c r="AW256" s="560">
        <v>64</v>
      </c>
      <c r="AX256" s="560">
        <v>74</v>
      </c>
      <c r="AY256" s="560">
        <v>78</v>
      </c>
      <c r="AZ256" s="560">
        <v>1</v>
      </c>
      <c r="BA256" s="560">
        <v>2268</v>
      </c>
      <c r="BB256" s="560">
        <v>0</v>
      </c>
      <c r="BC256" s="560">
        <v>0.5</v>
      </c>
      <c r="BD256" s="560">
        <v>0</v>
      </c>
      <c r="BE256" s="560" t="s">
        <v>1799</v>
      </c>
      <c r="BF256" s="560">
        <v>3</v>
      </c>
      <c r="BG256" s="560">
        <v>17.399999999999999</v>
      </c>
      <c r="BH256" s="560">
        <v>1</v>
      </c>
      <c r="BI256" s="560">
        <v>2</v>
      </c>
      <c r="BJ256" s="560">
        <v>35</v>
      </c>
      <c r="BK256" s="560">
        <v>0</v>
      </c>
      <c r="BL256" s="560" t="s">
        <v>1716</v>
      </c>
      <c r="BM256" s="560">
        <v>0.06</v>
      </c>
      <c r="BN256" s="560">
        <v>300</v>
      </c>
      <c r="BO256" s="560">
        <v>4.5</v>
      </c>
      <c r="BP256" s="560" t="s">
        <v>1747</v>
      </c>
      <c r="BQ256" s="560">
        <v>0.03</v>
      </c>
      <c r="BR256" s="560">
        <v>80</v>
      </c>
      <c r="BS256" s="560">
        <v>4.9000000000000004</v>
      </c>
      <c r="BT256" s="560">
        <v>2200</v>
      </c>
      <c r="BU256" s="560">
        <v>18700</v>
      </c>
      <c r="BV256" s="560">
        <v>200</v>
      </c>
      <c r="BW256" s="560">
        <v>26.8</v>
      </c>
      <c r="BX256" s="560">
        <v>2210</v>
      </c>
      <c r="BY256" s="560">
        <v>11.4</v>
      </c>
      <c r="BZ256" s="560">
        <v>1784</v>
      </c>
      <c r="CA256" s="560">
        <v>35</v>
      </c>
      <c r="CB256" s="560">
        <v>0.85</v>
      </c>
      <c r="CC256" s="560">
        <v>91</v>
      </c>
      <c r="CD256" s="560">
        <v>91</v>
      </c>
      <c r="CE256" s="560">
        <v>91</v>
      </c>
      <c r="CF256" s="560">
        <v>91</v>
      </c>
      <c r="CG256" s="560">
        <v>0.29299999999999998</v>
      </c>
      <c r="CH256" s="560">
        <v>0.3</v>
      </c>
      <c r="CI256" s="560">
        <v>0.54</v>
      </c>
      <c r="CJ256" s="560">
        <v>40</v>
      </c>
      <c r="CK256" s="560">
        <v>5</v>
      </c>
      <c r="CL256" s="560">
        <v>1</v>
      </c>
      <c r="CM256" s="562">
        <v>1584</v>
      </c>
      <c r="CN256" s="562">
        <v>160</v>
      </c>
      <c r="CO256" s="562">
        <v>26.8</v>
      </c>
      <c r="CP256" s="562">
        <v>0</v>
      </c>
      <c r="CQ256" s="562">
        <v>0</v>
      </c>
      <c r="CR256" s="562" t="s">
        <v>1718</v>
      </c>
      <c r="CS256" s="562">
        <v>0</v>
      </c>
      <c r="CT256" s="562">
        <v>0</v>
      </c>
      <c r="CU256" s="562">
        <v>0.75</v>
      </c>
      <c r="CV256" s="562">
        <v>1</v>
      </c>
      <c r="CW256" s="562">
        <v>1.75</v>
      </c>
      <c r="CX256" s="562">
        <v>2</v>
      </c>
      <c r="CY256" s="562">
        <v>1.5</v>
      </c>
      <c r="CZ256" s="560">
        <v>2181.666667</v>
      </c>
      <c r="DA256" s="560">
        <v>11.80555556</v>
      </c>
      <c r="DB256" s="560" t="s">
        <v>1719</v>
      </c>
      <c r="DC256" s="560">
        <v>50</v>
      </c>
      <c r="DD256" s="560">
        <v>4</v>
      </c>
      <c r="DE256" s="560" t="s">
        <v>1720</v>
      </c>
      <c r="DF256" s="560">
        <v>5</v>
      </c>
      <c r="DG256" s="560">
        <v>0</v>
      </c>
      <c r="DH256" s="560">
        <v>4.5</v>
      </c>
      <c r="DI256" s="560">
        <v>4.5</v>
      </c>
      <c r="DJ256" s="560">
        <v>0</v>
      </c>
      <c r="DK256" s="560">
        <v>0</v>
      </c>
      <c r="DL256" s="560">
        <v>0</v>
      </c>
      <c r="DM256" s="560">
        <v>0</v>
      </c>
      <c r="DN256" s="560">
        <v>0</v>
      </c>
      <c r="DO256" s="560">
        <v>0</v>
      </c>
    </row>
    <row r="257" spans="1:119" hidden="1">
      <c r="A257" s="560" t="s">
        <v>1829</v>
      </c>
      <c r="B257" s="560" t="s">
        <v>1713</v>
      </c>
      <c r="C257" s="560" t="s">
        <v>794</v>
      </c>
      <c r="D257" s="560">
        <v>3</v>
      </c>
      <c r="E257" s="560">
        <v>423.989754</v>
      </c>
      <c r="F257" s="560">
        <v>56.062685999999999</v>
      </c>
      <c r="G257" s="560">
        <v>7927.5</v>
      </c>
      <c r="H257" s="560">
        <v>139.9665</v>
      </c>
      <c r="I257" s="560">
        <v>0.90101900000000001</v>
      </c>
      <c r="J257" s="560">
        <v>0.32050499999999998</v>
      </c>
      <c r="K257" s="560">
        <v>0.35087499999999999</v>
      </c>
      <c r="L257" s="560">
        <v>0.55276599999999998</v>
      </c>
      <c r="M257" s="560">
        <v>15640.507406999999</v>
      </c>
      <c r="N257" s="560">
        <v>19737.381557000001</v>
      </c>
      <c r="O257" s="560">
        <v>6361.1254310000004</v>
      </c>
      <c r="P257" s="560">
        <v>727.66126699999995</v>
      </c>
      <c r="Q257" s="560">
        <v>512.22831099999996</v>
      </c>
      <c r="R257" s="560">
        <v>2239.1559309999998</v>
      </c>
      <c r="S257" s="560">
        <v>1358.0500830000001</v>
      </c>
      <c r="T257" s="560">
        <v>1748.7166999999999</v>
      </c>
      <c r="U257" s="560">
        <v>412.43655699999999</v>
      </c>
      <c r="V257" s="560">
        <v>46.021599000000002</v>
      </c>
      <c r="W257" s="560">
        <v>11.262700000000001</v>
      </c>
      <c r="X257" s="560">
        <v>0</v>
      </c>
      <c r="Y257" s="560">
        <v>40.446401000000002</v>
      </c>
      <c r="Z257" s="560">
        <v>176.80748399999999</v>
      </c>
      <c r="AA257" s="560">
        <v>45200.338085000003</v>
      </c>
      <c r="AB257" s="560">
        <v>55664.477787999997</v>
      </c>
      <c r="AC257" s="560">
        <v>39183.925637</v>
      </c>
      <c r="AD257" s="560">
        <v>31512.020658000001</v>
      </c>
      <c r="AE257" s="560">
        <v>780.52759700000001</v>
      </c>
      <c r="AF257" s="560">
        <v>14022.294556999999</v>
      </c>
      <c r="AG257" s="560">
        <v>17255.928587999999</v>
      </c>
      <c r="AH257" s="560">
        <v>4215.8040449999999</v>
      </c>
      <c r="AI257" s="560">
        <v>4</v>
      </c>
      <c r="AJ257" s="560">
        <v>1100.59025</v>
      </c>
      <c r="AK257" s="560">
        <v>2565.1115100000002</v>
      </c>
      <c r="AL257" s="560">
        <v>200.75</v>
      </c>
      <c r="AM257" s="560">
        <v>0</v>
      </c>
      <c r="AN257" s="560">
        <v>0</v>
      </c>
      <c r="AO257" s="560">
        <v>0</v>
      </c>
      <c r="AP257" s="560">
        <v>0</v>
      </c>
      <c r="AQ257" s="560" t="s">
        <v>1829</v>
      </c>
      <c r="AR257" s="560" t="s">
        <v>1738</v>
      </c>
      <c r="AS257" s="560">
        <v>0</v>
      </c>
      <c r="AT257" s="560">
        <v>0</v>
      </c>
      <c r="AU257" s="560">
        <v>0</v>
      </c>
      <c r="AV257" s="560">
        <v>69</v>
      </c>
      <c r="AW257" s="560">
        <v>64</v>
      </c>
      <c r="AX257" s="560">
        <v>74</v>
      </c>
      <c r="AY257" s="560">
        <v>78</v>
      </c>
      <c r="AZ257" s="560">
        <v>1</v>
      </c>
      <c r="BA257" s="560">
        <v>2268</v>
      </c>
      <c r="BB257" s="560">
        <v>0</v>
      </c>
      <c r="BC257" s="560">
        <v>0.5</v>
      </c>
      <c r="BD257" s="560">
        <v>0</v>
      </c>
      <c r="BE257" s="560" t="s">
        <v>1799</v>
      </c>
      <c r="BF257" s="560">
        <v>3</v>
      </c>
      <c r="BG257" s="560">
        <v>17.399999999999999</v>
      </c>
      <c r="BH257" s="560">
        <v>1</v>
      </c>
      <c r="BI257" s="560">
        <v>2</v>
      </c>
      <c r="BJ257" s="560">
        <v>35</v>
      </c>
      <c r="BK257" s="560">
        <v>0</v>
      </c>
      <c r="BL257" s="560" t="s">
        <v>1716</v>
      </c>
      <c r="BM257" s="560">
        <v>0.06</v>
      </c>
      <c r="BN257" s="560">
        <v>300</v>
      </c>
      <c r="BO257" s="560">
        <v>6</v>
      </c>
      <c r="BP257" s="560" t="s">
        <v>1747</v>
      </c>
      <c r="BQ257" s="560">
        <v>0.03</v>
      </c>
      <c r="BR257" s="560">
        <v>80</v>
      </c>
      <c r="BS257" s="560">
        <v>6</v>
      </c>
      <c r="BT257" s="560">
        <v>2200</v>
      </c>
      <c r="BU257" s="560">
        <v>18700</v>
      </c>
      <c r="BV257" s="560">
        <v>200</v>
      </c>
      <c r="BW257" s="560">
        <v>30.609376350000002</v>
      </c>
      <c r="BX257" s="560">
        <v>2210</v>
      </c>
      <c r="BY257" s="560">
        <v>17.543859650000002</v>
      </c>
      <c r="BZ257" s="560">
        <v>1784</v>
      </c>
      <c r="CA257" s="560">
        <v>37.664196859999997</v>
      </c>
      <c r="CB257" s="560">
        <v>0.85</v>
      </c>
      <c r="CC257" s="560">
        <v>91</v>
      </c>
      <c r="CD257" s="560">
        <v>91</v>
      </c>
      <c r="CE257" s="560">
        <v>91</v>
      </c>
      <c r="CF257" s="560">
        <v>91</v>
      </c>
      <c r="CG257" s="560">
        <v>0.29299999999999998</v>
      </c>
      <c r="CH257" s="560">
        <v>0.3</v>
      </c>
      <c r="CI257" s="560">
        <v>0.54</v>
      </c>
      <c r="CJ257" s="560">
        <v>40</v>
      </c>
      <c r="CK257" s="560">
        <v>5</v>
      </c>
      <c r="CL257" s="560">
        <v>1</v>
      </c>
      <c r="CM257" s="562">
        <v>1584</v>
      </c>
      <c r="CN257" s="562">
        <v>160</v>
      </c>
      <c r="CO257" s="562">
        <v>30.609376350000002</v>
      </c>
      <c r="CP257" s="562">
        <v>0</v>
      </c>
      <c r="CQ257" s="562">
        <v>0</v>
      </c>
      <c r="CR257" s="562" t="s">
        <v>1718</v>
      </c>
      <c r="CS257" s="562">
        <v>0</v>
      </c>
      <c r="CT257" s="562">
        <v>0</v>
      </c>
      <c r="CU257" s="562">
        <v>0.75</v>
      </c>
      <c r="CV257" s="562">
        <v>1</v>
      </c>
      <c r="CW257" s="562">
        <v>1.75</v>
      </c>
      <c r="CX257" s="562">
        <v>2</v>
      </c>
      <c r="CY257" s="562">
        <v>1.5</v>
      </c>
      <c r="CZ257" s="560">
        <v>2181.666667</v>
      </c>
      <c r="DA257" s="560">
        <v>11.80555556</v>
      </c>
      <c r="DB257" s="560" t="s">
        <v>1719</v>
      </c>
      <c r="DC257" s="560">
        <v>50</v>
      </c>
      <c r="DD257" s="560">
        <v>4</v>
      </c>
      <c r="DE257" s="560" t="s">
        <v>1720</v>
      </c>
      <c r="DF257" s="560">
        <v>5</v>
      </c>
      <c r="DG257" s="560">
        <v>0</v>
      </c>
      <c r="DH257" s="560">
        <v>4.5</v>
      </c>
      <c r="DI257" s="560">
        <v>4.5</v>
      </c>
      <c r="DJ257" s="560">
        <v>0</v>
      </c>
      <c r="DK257" s="560">
        <v>0</v>
      </c>
      <c r="DL257" s="560">
        <v>0</v>
      </c>
      <c r="DM257" s="560">
        <v>0</v>
      </c>
      <c r="DN257" s="560">
        <v>0</v>
      </c>
      <c r="DO257" s="560">
        <v>0</v>
      </c>
    </row>
    <row r="258" spans="1:119" hidden="1">
      <c r="A258" s="560" t="s">
        <v>901</v>
      </c>
      <c r="B258" s="560" t="s">
        <v>1713</v>
      </c>
      <c r="C258" s="560" t="s">
        <v>794</v>
      </c>
      <c r="D258" s="560">
        <v>3</v>
      </c>
      <c r="E258" s="560">
        <v>490.40903600000001</v>
      </c>
      <c r="F258" s="560">
        <v>56.987139999999997</v>
      </c>
      <c r="G258" s="560">
        <v>7927.5</v>
      </c>
      <c r="H258" s="560">
        <v>139.9665</v>
      </c>
      <c r="I258" s="560">
        <v>0.90101900000000001</v>
      </c>
      <c r="J258" s="560">
        <v>0.32872200000000001</v>
      </c>
      <c r="K258" s="560">
        <v>0.35243600000000003</v>
      </c>
      <c r="L258" s="560">
        <v>0.57311199999999995</v>
      </c>
      <c r="M258" s="560">
        <v>18666.037435999999</v>
      </c>
      <c r="N258" s="560">
        <v>24167.475640000001</v>
      </c>
      <c r="O258" s="560">
        <v>7980.0219090000001</v>
      </c>
      <c r="P258" s="560">
        <v>1270.725868</v>
      </c>
      <c r="Q258" s="560">
        <v>614.26707199999998</v>
      </c>
      <c r="R258" s="560">
        <v>2685.2083859999998</v>
      </c>
      <c r="S258" s="560">
        <v>1310.9937030000001</v>
      </c>
      <c r="T258" s="560">
        <v>1691.044144</v>
      </c>
      <c r="U258" s="560">
        <v>398.39023700000001</v>
      </c>
      <c r="V258" s="560">
        <v>40.772373999999999</v>
      </c>
      <c r="W258" s="560">
        <v>10.377257</v>
      </c>
      <c r="X258" s="560">
        <v>0</v>
      </c>
      <c r="Y258" s="560">
        <v>39.177999</v>
      </c>
      <c r="Z258" s="560">
        <v>171.262789</v>
      </c>
      <c r="AA258" s="560">
        <v>48783.511750999998</v>
      </c>
      <c r="AB258" s="560">
        <v>61079.196623000003</v>
      </c>
      <c r="AC258" s="560">
        <v>44634.527866999997</v>
      </c>
      <c r="AD258" s="560">
        <v>36968.883093999997</v>
      </c>
      <c r="AE258" s="560">
        <v>780.52759700000001</v>
      </c>
      <c r="AF258" s="560">
        <v>15392.253127</v>
      </c>
      <c r="AG258" s="560">
        <v>19209.127575999999</v>
      </c>
      <c r="AH258" s="560">
        <v>4656.9775840000002</v>
      </c>
      <c r="AI258" s="560">
        <v>14</v>
      </c>
      <c r="AJ258" s="560">
        <v>1301.996071</v>
      </c>
      <c r="AK258" s="560">
        <v>3033.288153</v>
      </c>
      <c r="AL258" s="560">
        <v>200.75</v>
      </c>
      <c r="AM258" s="560">
        <v>0</v>
      </c>
      <c r="AN258" s="560">
        <v>0</v>
      </c>
      <c r="AO258" s="560">
        <v>0</v>
      </c>
      <c r="AP258" s="560">
        <v>0</v>
      </c>
      <c r="AQ258" s="560" t="s">
        <v>901</v>
      </c>
      <c r="AR258" s="560" t="s">
        <v>1738</v>
      </c>
      <c r="AS258" s="560">
        <v>0</v>
      </c>
      <c r="AT258" s="560">
        <v>0</v>
      </c>
      <c r="AU258" s="560">
        <v>0</v>
      </c>
      <c r="AV258" s="560">
        <v>69</v>
      </c>
      <c r="AW258" s="560">
        <v>64</v>
      </c>
      <c r="AX258" s="560">
        <v>74</v>
      </c>
      <c r="AY258" s="560">
        <v>78</v>
      </c>
      <c r="AZ258" s="560">
        <v>1</v>
      </c>
      <c r="BA258" s="560">
        <v>2268</v>
      </c>
      <c r="BB258" s="560">
        <v>0</v>
      </c>
      <c r="BC258" s="560">
        <v>0.5</v>
      </c>
      <c r="BD258" s="560">
        <v>0</v>
      </c>
      <c r="BE258" s="560" t="s">
        <v>1799</v>
      </c>
      <c r="BF258" s="560">
        <v>3</v>
      </c>
      <c r="BG258" s="560">
        <v>17.399999999999999</v>
      </c>
      <c r="BH258" s="560">
        <v>1</v>
      </c>
      <c r="BI258" s="560">
        <v>2</v>
      </c>
      <c r="BJ258" s="560">
        <v>35</v>
      </c>
      <c r="BK258" s="560">
        <v>0</v>
      </c>
      <c r="BL258" s="560" t="s">
        <v>1716</v>
      </c>
      <c r="BM258" s="560">
        <v>0.06</v>
      </c>
      <c r="BN258" s="560">
        <v>300</v>
      </c>
      <c r="BO258" s="560">
        <v>4.5</v>
      </c>
      <c r="BP258" s="560" t="s">
        <v>1747</v>
      </c>
      <c r="BQ258" s="560">
        <v>0.03</v>
      </c>
      <c r="BR258" s="560">
        <v>80</v>
      </c>
      <c r="BS258" s="560">
        <v>4.9000000000000004</v>
      </c>
      <c r="BT258" s="560">
        <v>2200</v>
      </c>
      <c r="BU258" s="560">
        <v>18700</v>
      </c>
      <c r="BV258" s="560">
        <v>200</v>
      </c>
      <c r="BW258" s="560">
        <v>26.8</v>
      </c>
      <c r="BX258" s="560">
        <v>2210</v>
      </c>
      <c r="BY258" s="560">
        <v>11.4</v>
      </c>
      <c r="BZ258" s="560">
        <v>1784</v>
      </c>
      <c r="CA258" s="560">
        <v>35</v>
      </c>
      <c r="CB258" s="560">
        <v>0.85</v>
      </c>
      <c r="CC258" s="560">
        <v>91</v>
      </c>
      <c r="CD258" s="560">
        <v>91</v>
      </c>
      <c r="CE258" s="560">
        <v>91</v>
      </c>
      <c r="CF258" s="560">
        <v>91</v>
      </c>
      <c r="CG258" s="560">
        <v>0.29299999999999998</v>
      </c>
      <c r="CH258" s="560">
        <v>0.3</v>
      </c>
      <c r="CI258" s="560">
        <v>0.54</v>
      </c>
      <c r="CJ258" s="560">
        <v>40</v>
      </c>
      <c r="CK258" s="560">
        <v>5</v>
      </c>
      <c r="CL258" s="560">
        <v>1</v>
      </c>
      <c r="CM258" s="562">
        <v>1584</v>
      </c>
      <c r="CN258" s="562">
        <v>160</v>
      </c>
      <c r="CO258" s="562">
        <v>26.8</v>
      </c>
      <c r="CP258" s="562">
        <v>0</v>
      </c>
      <c r="CQ258" s="562">
        <v>0</v>
      </c>
      <c r="CR258" s="562" t="s">
        <v>1718</v>
      </c>
      <c r="CS258" s="562">
        <v>0</v>
      </c>
      <c r="CT258" s="562">
        <v>0</v>
      </c>
      <c r="CU258" s="562">
        <v>0.75</v>
      </c>
      <c r="CV258" s="562">
        <v>1</v>
      </c>
      <c r="CW258" s="562">
        <v>1.75</v>
      </c>
      <c r="CX258" s="562">
        <v>2</v>
      </c>
      <c r="CY258" s="562">
        <v>1.5</v>
      </c>
      <c r="CZ258" s="560">
        <v>2181.666667</v>
      </c>
      <c r="DA258" s="560">
        <v>11.80555556</v>
      </c>
      <c r="DB258" s="560" t="s">
        <v>1719</v>
      </c>
      <c r="DC258" s="560">
        <v>50</v>
      </c>
      <c r="DD258" s="560">
        <v>4</v>
      </c>
      <c r="DE258" s="560" t="s">
        <v>1720</v>
      </c>
      <c r="DF258" s="560">
        <v>5</v>
      </c>
      <c r="DG258" s="560">
        <v>0</v>
      </c>
      <c r="DH258" s="560">
        <v>4.5</v>
      </c>
      <c r="DI258" s="560">
        <v>4.5</v>
      </c>
      <c r="DJ258" s="560">
        <v>0</v>
      </c>
      <c r="DK258" s="560">
        <v>0</v>
      </c>
      <c r="DL258" s="560">
        <v>0</v>
      </c>
      <c r="DM258" s="560">
        <v>0</v>
      </c>
      <c r="DN258" s="560">
        <v>0</v>
      </c>
      <c r="DO258" s="560">
        <v>0</v>
      </c>
    </row>
    <row r="259" spans="1:119" hidden="1">
      <c r="A259" s="560" t="s">
        <v>1830</v>
      </c>
      <c r="B259" s="560" t="s">
        <v>1713</v>
      </c>
      <c r="C259" s="560" t="s">
        <v>764</v>
      </c>
      <c r="D259" s="560">
        <v>3</v>
      </c>
      <c r="E259" s="560">
        <v>439.58964500000002</v>
      </c>
      <c r="F259" s="560">
        <v>58.185284000000003</v>
      </c>
      <c r="G259" s="560">
        <v>4974.4274999999998</v>
      </c>
      <c r="H259" s="560">
        <v>139.9665</v>
      </c>
      <c r="I259" s="560">
        <v>0.968943</v>
      </c>
      <c r="J259" s="560">
        <v>0.25945600000000002</v>
      </c>
      <c r="K259" s="560">
        <v>0.27802700000000002</v>
      </c>
      <c r="L259" s="560">
        <v>0.37567200000000001</v>
      </c>
      <c r="M259" s="560">
        <v>9439.6885469999997</v>
      </c>
      <c r="N259" s="560">
        <v>9581.2537260000008</v>
      </c>
      <c r="O259" s="560">
        <v>2994.8451679999998</v>
      </c>
      <c r="P259" s="560">
        <v>28.063267</v>
      </c>
      <c r="Q259" s="560">
        <v>261.93332400000003</v>
      </c>
      <c r="R259" s="560">
        <v>1145.0158899999999</v>
      </c>
      <c r="S259" s="560">
        <v>886.95625700000005</v>
      </c>
      <c r="T259" s="560">
        <v>1063.6957669999999</v>
      </c>
      <c r="U259" s="560">
        <v>257.26069200000001</v>
      </c>
      <c r="V259" s="560">
        <v>38.438374000000003</v>
      </c>
      <c r="W259" s="560">
        <v>15.048226</v>
      </c>
      <c r="X259" s="560">
        <v>0</v>
      </c>
      <c r="Y259" s="560">
        <v>24.697163</v>
      </c>
      <c r="Z259" s="560">
        <v>107.96123</v>
      </c>
      <c r="AA259" s="560">
        <v>36197.786988</v>
      </c>
      <c r="AB259" s="560">
        <v>36906.516409000003</v>
      </c>
      <c r="AC259" s="560">
        <v>18885.489991999999</v>
      </c>
      <c r="AD259" s="560">
        <v>11051.135695000001</v>
      </c>
      <c r="AE259" s="560">
        <v>780.52759700000001</v>
      </c>
      <c r="AF259" s="560">
        <v>12741.698982</v>
      </c>
      <c r="AG259" s="560">
        <v>13775.338989</v>
      </c>
      <c r="AH259" s="560">
        <v>3415.5677470000001</v>
      </c>
      <c r="AI259" s="560">
        <v>0</v>
      </c>
      <c r="AJ259" s="560">
        <v>590.95915300000001</v>
      </c>
      <c r="AK259" s="560">
        <v>1380.8976279999999</v>
      </c>
      <c r="AL259" s="560">
        <v>200.75</v>
      </c>
      <c r="AM259" s="560">
        <v>0</v>
      </c>
      <c r="AN259" s="560">
        <v>0</v>
      </c>
      <c r="AO259" s="560">
        <v>0</v>
      </c>
      <c r="AP259" s="560">
        <v>0</v>
      </c>
      <c r="AQ259" s="560" t="s">
        <v>1830</v>
      </c>
      <c r="AR259" s="560" t="s">
        <v>1714</v>
      </c>
      <c r="AS259" s="560">
        <v>0</v>
      </c>
      <c r="AT259" s="560">
        <v>0</v>
      </c>
      <c r="AU259" s="560">
        <v>0</v>
      </c>
      <c r="AV259" s="560">
        <v>69</v>
      </c>
      <c r="AW259" s="560">
        <v>64</v>
      </c>
      <c r="AX259" s="560">
        <v>74</v>
      </c>
      <c r="AY259" s="560">
        <v>78</v>
      </c>
      <c r="AZ259" s="560">
        <v>1</v>
      </c>
      <c r="BA259" s="560">
        <v>2522</v>
      </c>
      <c r="BB259" s="560">
        <v>0</v>
      </c>
      <c r="BC259" s="560">
        <v>0.5</v>
      </c>
      <c r="BD259" s="560">
        <v>0</v>
      </c>
      <c r="BE259" s="560" t="s">
        <v>1799</v>
      </c>
      <c r="BF259" s="560">
        <v>3</v>
      </c>
      <c r="BG259" s="560">
        <v>17.399999999999999</v>
      </c>
      <c r="BH259" s="560">
        <v>1</v>
      </c>
      <c r="BI259" s="560">
        <v>2</v>
      </c>
      <c r="BJ259" s="560">
        <v>35</v>
      </c>
      <c r="BK259" s="560">
        <v>0</v>
      </c>
      <c r="BL259" s="560" t="s">
        <v>1747</v>
      </c>
      <c r="BM259" s="560">
        <v>3.0000000000000001E-3</v>
      </c>
      <c r="BN259" s="560">
        <v>15</v>
      </c>
      <c r="BO259" s="560">
        <v>6</v>
      </c>
      <c r="BP259" s="560" t="s">
        <v>1747</v>
      </c>
      <c r="BQ259" s="560">
        <v>5.0000000000000001E-3</v>
      </c>
      <c r="BR259" s="560">
        <v>40</v>
      </c>
      <c r="BS259" s="560">
        <v>6</v>
      </c>
      <c r="BT259" s="560">
        <v>2688</v>
      </c>
      <c r="BU259" s="560">
        <v>22848</v>
      </c>
      <c r="BV259" s="560">
        <v>0</v>
      </c>
      <c r="BW259" s="560">
        <v>30.609376350000002</v>
      </c>
      <c r="BX259" s="560">
        <v>1480</v>
      </c>
      <c r="BY259" s="560">
        <v>17.543859650000002</v>
      </c>
      <c r="BZ259" s="560">
        <v>1344</v>
      </c>
      <c r="CA259" s="560">
        <v>37.664196859999997</v>
      </c>
      <c r="CB259" s="560">
        <v>0.85</v>
      </c>
      <c r="CC259" s="560">
        <v>94</v>
      </c>
      <c r="CD259" s="560">
        <v>94</v>
      </c>
      <c r="CE259" s="560">
        <v>94</v>
      </c>
      <c r="CF259" s="560">
        <v>94</v>
      </c>
      <c r="CG259" s="560">
        <v>0.29299999999999998</v>
      </c>
      <c r="CH259" s="560">
        <v>0.3</v>
      </c>
      <c r="CI259" s="560">
        <v>0.54</v>
      </c>
      <c r="CJ259" s="560">
        <v>40</v>
      </c>
      <c r="CK259" s="560">
        <v>5</v>
      </c>
      <c r="CL259" s="560">
        <v>4</v>
      </c>
      <c r="CM259" s="562">
        <v>1344</v>
      </c>
      <c r="CN259" s="562">
        <v>148</v>
      </c>
      <c r="CO259" s="562">
        <v>30.609376350000002</v>
      </c>
      <c r="CP259" s="562">
        <v>0</v>
      </c>
      <c r="CQ259" s="562">
        <v>0</v>
      </c>
      <c r="CR259" s="562" t="s">
        <v>1718</v>
      </c>
      <c r="CS259" s="562">
        <v>0</v>
      </c>
      <c r="CT259" s="562">
        <v>0</v>
      </c>
      <c r="CU259" s="562">
        <v>0.75</v>
      </c>
      <c r="CV259" s="562">
        <v>0.5</v>
      </c>
      <c r="CW259" s="562">
        <v>17.856999999999999</v>
      </c>
      <c r="CX259" s="562">
        <v>6.5</v>
      </c>
      <c r="CY259" s="562">
        <v>17.856999999999999</v>
      </c>
      <c r="CZ259" s="560">
        <v>2665.6</v>
      </c>
      <c r="DA259" s="560">
        <v>17</v>
      </c>
      <c r="DB259" s="560" t="s">
        <v>1719</v>
      </c>
      <c r="DC259" s="560">
        <v>50</v>
      </c>
      <c r="DD259" s="560">
        <v>4</v>
      </c>
      <c r="DE259" s="560" t="s">
        <v>1720</v>
      </c>
      <c r="DF259" s="560">
        <v>5</v>
      </c>
      <c r="DG259" s="560">
        <v>0</v>
      </c>
      <c r="DH259" s="560">
        <v>4.5</v>
      </c>
      <c r="DI259" s="560">
        <v>4.5</v>
      </c>
      <c r="DJ259" s="560">
        <v>0</v>
      </c>
      <c r="DK259" s="560">
        <v>0</v>
      </c>
      <c r="DL259" s="560">
        <v>0</v>
      </c>
      <c r="DM259" s="560">
        <v>0</v>
      </c>
      <c r="DN259" s="560">
        <v>0</v>
      </c>
      <c r="DO259" s="560">
        <v>0</v>
      </c>
    </row>
    <row r="260" spans="1:119" hidden="1">
      <c r="A260" s="560" t="s">
        <v>1831</v>
      </c>
      <c r="B260" s="560" t="s">
        <v>1713</v>
      </c>
      <c r="C260" s="560" t="s">
        <v>764</v>
      </c>
      <c r="D260" s="560">
        <v>3</v>
      </c>
      <c r="E260" s="560">
        <v>474.02617500000002</v>
      </c>
      <c r="F260" s="560">
        <v>58.539745000000003</v>
      </c>
      <c r="G260" s="560">
        <v>4974.4274999999998</v>
      </c>
      <c r="H260" s="560">
        <v>139.9665</v>
      </c>
      <c r="I260" s="560">
        <v>0.968943</v>
      </c>
      <c r="J260" s="560">
        <v>0.25908900000000001</v>
      </c>
      <c r="K260" s="560">
        <v>0.27607999999999999</v>
      </c>
      <c r="L260" s="560">
        <v>0.37619399999999997</v>
      </c>
      <c r="M260" s="560">
        <v>10539.096108</v>
      </c>
      <c r="N260" s="560">
        <v>10718.305775000001</v>
      </c>
      <c r="O260" s="560">
        <v>3340.2249740000002</v>
      </c>
      <c r="P260" s="560">
        <v>40.158928000000003</v>
      </c>
      <c r="Q260" s="560">
        <v>292.18863399999998</v>
      </c>
      <c r="R260" s="560">
        <v>1277.274017</v>
      </c>
      <c r="S260" s="560">
        <v>891.04268100000002</v>
      </c>
      <c r="T260" s="560">
        <v>1064.5040100000001</v>
      </c>
      <c r="U260" s="560">
        <v>257.05850400000003</v>
      </c>
      <c r="V260" s="560">
        <v>36.907699999999998</v>
      </c>
      <c r="W260" s="560">
        <v>14.501612</v>
      </c>
      <c r="X260" s="560">
        <v>0</v>
      </c>
      <c r="Y260" s="560">
        <v>24.735848000000001</v>
      </c>
      <c r="Z260" s="560">
        <v>108.13034</v>
      </c>
      <c r="AA260" s="560">
        <v>37732.938567999998</v>
      </c>
      <c r="AB260" s="560">
        <v>38537.710886000001</v>
      </c>
      <c r="AC260" s="560">
        <v>20479.482205</v>
      </c>
      <c r="AD260" s="560">
        <v>12646.814085</v>
      </c>
      <c r="AE260" s="560">
        <v>780.52759700000001</v>
      </c>
      <c r="AF260" s="560">
        <v>13393.428994</v>
      </c>
      <c r="AG260" s="560">
        <v>14463.377633</v>
      </c>
      <c r="AH260" s="560">
        <v>3575.604186</v>
      </c>
      <c r="AI260" s="560">
        <v>0</v>
      </c>
      <c r="AJ260" s="560">
        <v>651.68134599999996</v>
      </c>
      <c r="AK260" s="560">
        <v>1522.897318</v>
      </c>
      <c r="AL260" s="560">
        <v>200.75</v>
      </c>
      <c r="AM260" s="560">
        <v>0</v>
      </c>
      <c r="AN260" s="560">
        <v>0</v>
      </c>
      <c r="AO260" s="560">
        <v>0</v>
      </c>
      <c r="AP260" s="560">
        <v>0</v>
      </c>
      <c r="AQ260" s="560" t="s">
        <v>1831</v>
      </c>
      <c r="AR260" s="560" t="s">
        <v>1714</v>
      </c>
      <c r="AS260" s="560">
        <v>0</v>
      </c>
      <c r="AT260" s="560">
        <v>0</v>
      </c>
      <c r="AU260" s="560">
        <v>0</v>
      </c>
      <c r="AV260" s="560">
        <v>69</v>
      </c>
      <c r="AW260" s="560">
        <v>64</v>
      </c>
      <c r="AX260" s="560">
        <v>74</v>
      </c>
      <c r="AY260" s="560">
        <v>78</v>
      </c>
      <c r="AZ260" s="560">
        <v>1</v>
      </c>
      <c r="BA260" s="560">
        <v>2522</v>
      </c>
      <c r="BB260" s="560">
        <v>0</v>
      </c>
      <c r="BC260" s="560">
        <v>0.5</v>
      </c>
      <c r="BD260" s="560">
        <v>0</v>
      </c>
      <c r="BE260" s="560" t="s">
        <v>1799</v>
      </c>
      <c r="BF260" s="560">
        <v>3</v>
      </c>
      <c r="BG260" s="560">
        <v>17.399999999999999</v>
      </c>
      <c r="BH260" s="560">
        <v>1</v>
      </c>
      <c r="BI260" s="560">
        <v>2</v>
      </c>
      <c r="BJ260" s="560">
        <v>35</v>
      </c>
      <c r="BK260" s="560">
        <v>0</v>
      </c>
      <c r="BL260" s="560" t="s">
        <v>1747</v>
      </c>
      <c r="BM260" s="560">
        <v>3.0000000000000001E-3</v>
      </c>
      <c r="BN260" s="560">
        <v>15</v>
      </c>
      <c r="BO260" s="560">
        <v>4.5</v>
      </c>
      <c r="BP260" s="560" t="s">
        <v>1747</v>
      </c>
      <c r="BQ260" s="560">
        <v>5.0000000000000001E-3</v>
      </c>
      <c r="BR260" s="560">
        <v>40</v>
      </c>
      <c r="BS260" s="560">
        <v>4.9000000000000004</v>
      </c>
      <c r="BT260" s="560">
        <v>2688</v>
      </c>
      <c r="BU260" s="560">
        <v>22848</v>
      </c>
      <c r="BV260" s="560">
        <v>0</v>
      </c>
      <c r="BW260" s="560">
        <v>26.8</v>
      </c>
      <c r="BX260" s="560">
        <v>1480</v>
      </c>
      <c r="BY260" s="560">
        <v>11.4</v>
      </c>
      <c r="BZ260" s="560">
        <v>1344</v>
      </c>
      <c r="CA260" s="560">
        <v>35</v>
      </c>
      <c r="CB260" s="560">
        <v>0.85</v>
      </c>
      <c r="CC260" s="560">
        <v>94</v>
      </c>
      <c r="CD260" s="560">
        <v>94</v>
      </c>
      <c r="CE260" s="560">
        <v>94</v>
      </c>
      <c r="CF260" s="560">
        <v>94</v>
      </c>
      <c r="CG260" s="560">
        <v>0.29299999999999998</v>
      </c>
      <c r="CH260" s="560">
        <v>0.3</v>
      </c>
      <c r="CI260" s="560">
        <v>0.54</v>
      </c>
      <c r="CJ260" s="560">
        <v>40</v>
      </c>
      <c r="CK260" s="560">
        <v>5</v>
      </c>
      <c r="CL260" s="560">
        <v>4</v>
      </c>
      <c r="CM260" s="562">
        <v>1344</v>
      </c>
      <c r="CN260" s="562">
        <v>148</v>
      </c>
      <c r="CO260" s="562">
        <v>26.8</v>
      </c>
      <c r="CP260" s="562">
        <v>0</v>
      </c>
      <c r="CQ260" s="562">
        <v>0</v>
      </c>
      <c r="CR260" s="562" t="s">
        <v>1718</v>
      </c>
      <c r="CS260" s="562">
        <v>0</v>
      </c>
      <c r="CT260" s="562">
        <v>0</v>
      </c>
      <c r="CU260" s="562">
        <v>0.75</v>
      </c>
      <c r="CV260" s="562">
        <v>0.5</v>
      </c>
      <c r="CW260" s="562">
        <v>17.856999999999999</v>
      </c>
      <c r="CX260" s="562">
        <v>6.5</v>
      </c>
      <c r="CY260" s="562">
        <v>17.856999999999999</v>
      </c>
      <c r="CZ260" s="560">
        <v>2665.6</v>
      </c>
      <c r="DA260" s="560">
        <v>17</v>
      </c>
      <c r="DB260" s="560" t="s">
        <v>1719</v>
      </c>
      <c r="DC260" s="560">
        <v>50</v>
      </c>
      <c r="DD260" s="560">
        <v>4</v>
      </c>
      <c r="DE260" s="560" t="s">
        <v>1720</v>
      </c>
      <c r="DF260" s="560">
        <v>5</v>
      </c>
      <c r="DG260" s="560">
        <v>0</v>
      </c>
      <c r="DH260" s="560">
        <v>4.5</v>
      </c>
      <c r="DI260" s="560">
        <v>4.5</v>
      </c>
      <c r="DJ260" s="560">
        <v>0</v>
      </c>
      <c r="DK260" s="560">
        <v>0</v>
      </c>
      <c r="DL260" s="560">
        <v>0</v>
      </c>
      <c r="DM260" s="560">
        <v>0</v>
      </c>
      <c r="DN260" s="560">
        <v>0</v>
      </c>
      <c r="DO260" s="560">
        <v>0</v>
      </c>
    </row>
    <row r="261" spans="1:119" hidden="1">
      <c r="A261" s="560" t="s">
        <v>1832</v>
      </c>
      <c r="B261" s="560" t="s">
        <v>1713</v>
      </c>
      <c r="C261" s="560" t="s">
        <v>779</v>
      </c>
      <c r="D261" s="560">
        <v>3</v>
      </c>
      <c r="E261" s="560">
        <v>445.62443500000001</v>
      </c>
      <c r="F261" s="560">
        <v>57.064219000000001</v>
      </c>
      <c r="G261" s="560">
        <v>6644.9655000000002</v>
      </c>
      <c r="H261" s="560">
        <v>139.9665</v>
      </c>
      <c r="I261" s="560">
        <v>0.91800700000000002</v>
      </c>
      <c r="J261" s="560">
        <v>0.289213</v>
      </c>
      <c r="K261" s="560">
        <v>0.30897000000000002</v>
      </c>
      <c r="L261" s="560">
        <v>0.42741200000000001</v>
      </c>
      <c r="M261" s="560">
        <v>13974.633687</v>
      </c>
      <c r="N261" s="560">
        <v>14199.60763</v>
      </c>
      <c r="O261" s="560">
        <v>4414.7113669999999</v>
      </c>
      <c r="P261" s="560">
        <v>95.872738999999996</v>
      </c>
      <c r="Q261" s="560">
        <v>385.03843999999998</v>
      </c>
      <c r="R261" s="560">
        <v>1683.1578589999999</v>
      </c>
      <c r="S261" s="560">
        <v>886.95625700000005</v>
      </c>
      <c r="T261" s="560">
        <v>1063.6957669999999</v>
      </c>
      <c r="U261" s="560">
        <v>257.26069200000001</v>
      </c>
      <c r="V261" s="560">
        <v>38.438374000000003</v>
      </c>
      <c r="W261" s="560">
        <v>15.048226</v>
      </c>
      <c r="X261" s="560">
        <v>0</v>
      </c>
      <c r="Y261" s="560">
        <v>24.697163</v>
      </c>
      <c r="Z261" s="560">
        <v>107.96123</v>
      </c>
      <c r="AA261" s="560">
        <v>42146.368072999998</v>
      </c>
      <c r="AB261" s="560">
        <v>42889.033206</v>
      </c>
      <c r="AC261" s="560">
        <v>23482.250845999999</v>
      </c>
      <c r="AD261" s="560">
        <v>15566.232819999999</v>
      </c>
      <c r="AE261" s="560">
        <v>780.52759700000001</v>
      </c>
      <c r="AF261" s="560">
        <v>12741.698982</v>
      </c>
      <c r="AG261" s="560">
        <v>13775.338989</v>
      </c>
      <c r="AH261" s="560">
        <v>3415.5677470000001</v>
      </c>
      <c r="AI261" s="560">
        <v>0</v>
      </c>
      <c r="AJ261" s="560">
        <v>844.37711899999999</v>
      </c>
      <c r="AK261" s="560">
        <v>1968.0893369999999</v>
      </c>
      <c r="AL261" s="560">
        <v>200.75</v>
      </c>
      <c r="AM261" s="560">
        <v>0</v>
      </c>
      <c r="AN261" s="560">
        <v>0</v>
      </c>
      <c r="AO261" s="560">
        <v>0</v>
      </c>
      <c r="AP261" s="560">
        <v>0</v>
      </c>
      <c r="AQ261" s="560" t="s">
        <v>1832</v>
      </c>
      <c r="AR261" s="560" t="s">
        <v>1729</v>
      </c>
      <c r="AS261" s="560">
        <v>0</v>
      </c>
      <c r="AT261" s="560">
        <v>0</v>
      </c>
      <c r="AU261" s="560">
        <v>0</v>
      </c>
      <c r="AV261" s="560">
        <v>69</v>
      </c>
      <c r="AW261" s="560">
        <v>64</v>
      </c>
      <c r="AX261" s="560">
        <v>74</v>
      </c>
      <c r="AY261" s="560">
        <v>78</v>
      </c>
      <c r="AZ261" s="560">
        <v>1</v>
      </c>
      <c r="BA261" s="560">
        <v>2522</v>
      </c>
      <c r="BB261" s="560">
        <v>0</v>
      </c>
      <c r="BC261" s="560">
        <v>0.5</v>
      </c>
      <c r="BD261" s="560">
        <v>0</v>
      </c>
      <c r="BE261" s="560" t="s">
        <v>1799</v>
      </c>
      <c r="BF261" s="560">
        <v>3</v>
      </c>
      <c r="BG261" s="560">
        <v>17.399999999999999</v>
      </c>
      <c r="BH261" s="560">
        <v>1</v>
      </c>
      <c r="BI261" s="560">
        <v>2</v>
      </c>
      <c r="BJ261" s="560">
        <v>35</v>
      </c>
      <c r="BK261" s="560">
        <v>0</v>
      </c>
      <c r="BL261" s="560" t="s">
        <v>1747</v>
      </c>
      <c r="BM261" s="560">
        <v>3.0000000000000001E-3</v>
      </c>
      <c r="BN261" s="560">
        <v>15</v>
      </c>
      <c r="BO261" s="560">
        <v>6</v>
      </c>
      <c r="BP261" s="560" t="s">
        <v>1747</v>
      </c>
      <c r="BQ261" s="560">
        <v>5.0000000000000001E-3</v>
      </c>
      <c r="BR261" s="560">
        <v>40</v>
      </c>
      <c r="BS261" s="560">
        <v>6</v>
      </c>
      <c r="BT261" s="560">
        <v>2688</v>
      </c>
      <c r="BU261" s="560">
        <v>22848</v>
      </c>
      <c r="BV261" s="560">
        <v>0</v>
      </c>
      <c r="BW261" s="560">
        <v>30.609376350000002</v>
      </c>
      <c r="BX261" s="560">
        <v>1480</v>
      </c>
      <c r="BY261" s="560">
        <v>17.543859650000002</v>
      </c>
      <c r="BZ261" s="560">
        <v>1344</v>
      </c>
      <c r="CA261" s="560">
        <v>37.664196859999997</v>
      </c>
      <c r="CB261" s="560">
        <v>0.85</v>
      </c>
      <c r="CC261" s="560">
        <v>94</v>
      </c>
      <c r="CD261" s="560">
        <v>94</v>
      </c>
      <c r="CE261" s="560">
        <v>94</v>
      </c>
      <c r="CF261" s="560">
        <v>94</v>
      </c>
      <c r="CG261" s="560">
        <v>0.29299999999999998</v>
      </c>
      <c r="CH261" s="560">
        <v>0.3</v>
      </c>
      <c r="CI261" s="560">
        <v>0.54</v>
      </c>
      <c r="CJ261" s="560">
        <v>40</v>
      </c>
      <c r="CK261" s="560">
        <v>5</v>
      </c>
      <c r="CL261" s="560">
        <v>4</v>
      </c>
      <c r="CM261" s="562">
        <v>1344</v>
      </c>
      <c r="CN261" s="562">
        <v>148</v>
      </c>
      <c r="CO261" s="562">
        <v>30.609376350000002</v>
      </c>
      <c r="CP261" s="562">
        <v>0</v>
      </c>
      <c r="CQ261" s="562">
        <v>0</v>
      </c>
      <c r="CR261" s="562" t="s">
        <v>1718</v>
      </c>
      <c r="CS261" s="562">
        <v>0</v>
      </c>
      <c r="CT261" s="562">
        <v>0</v>
      </c>
      <c r="CU261" s="562">
        <v>0.75</v>
      </c>
      <c r="CV261" s="562">
        <v>0.5</v>
      </c>
      <c r="CW261" s="562">
        <v>17.856999999999999</v>
      </c>
      <c r="CX261" s="562">
        <v>6.5</v>
      </c>
      <c r="CY261" s="562">
        <v>17.856999999999999</v>
      </c>
      <c r="CZ261" s="560">
        <v>2665.6</v>
      </c>
      <c r="DA261" s="560">
        <v>17</v>
      </c>
      <c r="DB261" s="560" t="s">
        <v>1719</v>
      </c>
      <c r="DC261" s="560">
        <v>50</v>
      </c>
      <c r="DD261" s="560">
        <v>4</v>
      </c>
      <c r="DE261" s="560" t="s">
        <v>1720</v>
      </c>
      <c r="DF261" s="560">
        <v>5</v>
      </c>
      <c r="DG261" s="560">
        <v>0</v>
      </c>
      <c r="DH261" s="560">
        <v>4.5</v>
      </c>
      <c r="DI261" s="560">
        <v>4.5</v>
      </c>
      <c r="DJ261" s="560">
        <v>0</v>
      </c>
      <c r="DK261" s="560">
        <v>0</v>
      </c>
      <c r="DL261" s="560">
        <v>0</v>
      </c>
      <c r="DM261" s="560">
        <v>0</v>
      </c>
      <c r="DN261" s="560">
        <v>0</v>
      </c>
      <c r="DO261" s="560">
        <v>0</v>
      </c>
    </row>
    <row r="262" spans="1:119" hidden="1">
      <c r="A262" s="560" t="s">
        <v>1833</v>
      </c>
      <c r="B262" s="560" t="s">
        <v>1713</v>
      </c>
      <c r="C262" s="560" t="s">
        <v>779</v>
      </c>
      <c r="D262" s="560">
        <v>3</v>
      </c>
      <c r="E262" s="560">
        <v>480.14873699999998</v>
      </c>
      <c r="F262" s="560">
        <v>57.490020999999999</v>
      </c>
      <c r="G262" s="560">
        <v>6644.9655000000002</v>
      </c>
      <c r="H262" s="560">
        <v>139.9665</v>
      </c>
      <c r="I262" s="560">
        <v>0.91800700000000002</v>
      </c>
      <c r="J262" s="560">
        <v>0.28909200000000002</v>
      </c>
      <c r="K262" s="560">
        <v>0.30714900000000001</v>
      </c>
      <c r="L262" s="560">
        <v>0.427981</v>
      </c>
      <c r="M262" s="560">
        <v>15426.189326</v>
      </c>
      <c r="N262" s="560">
        <v>15708.528824000001</v>
      </c>
      <c r="O262" s="560">
        <v>4880.1835899999996</v>
      </c>
      <c r="P262" s="560">
        <v>136.95192</v>
      </c>
      <c r="Q262" s="560">
        <v>424.263802</v>
      </c>
      <c r="R262" s="560">
        <v>1854.6276889999999</v>
      </c>
      <c r="S262" s="560">
        <v>891.04268100000002</v>
      </c>
      <c r="T262" s="560">
        <v>1064.5040100000001</v>
      </c>
      <c r="U262" s="560">
        <v>257.05850400000003</v>
      </c>
      <c r="V262" s="560">
        <v>36.907699999999998</v>
      </c>
      <c r="W262" s="560">
        <v>14.501612</v>
      </c>
      <c r="X262" s="560">
        <v>0</v>
      </c>
      <c r="Y262" s="560">
        <v>24.735848000000001</v>
      </c>
      <c r="Z262" s="560">
        <v>108.13034</v>
      </c>
      <c r="AA262" s="560">
        <v>44026.244311000002</v>
      </c>
      <c r="AB262" s="560">
        <v>44871.222011999998</v>
      </c>
      <c r="AC262" s="560">
        <v>25439.405704000001</v>
      </c>
      <c r="AD262" s="560">
        <v>17525.336334</v>
      </c>
      <c r="AE262" s="560">
        <v>780.52759700000001</v>
      </c>
      <c r="AF262" s="560">
        <v>13393.428994</v>
      </c>
      <c r="AG262" s="560">
        <v>14463.377633</v>
      </c>
      <c r="AH262" s="560">
        <v>3575.604186</v>
      </c>
      <c r="AI262" s="560">
        <v>0</v>
      </c>
      <c r="AJ262" s="560">
        <v>924.30390699999998</v>
      </c>
      <c r="AK262" s="560">
        <v>2153.1304049999999</v>
      </c>
      <c r="AL262" s="560">
        <v>200.75</v>
      </c>
      <c r="AM262" s="560">
        <v>0</v>
      </c>
      <c r="AN262" s="560">
        <v>0</v>
      </c>
      <c r="AO262" s="560">
        <v>0</v>
      </c>
      <c r="AP262" s="560">
        <v>0</v>
      </c>
      <c r="AQ262" s="560" t="s">
        <v>1833</v>
      </c>
      <c r="AR262" s="560" t="s">
        <v>1729</v>
      </c>
      <c r="AS262" s="560">
        <v>0</v>
      </c>
      <c r="AT262" s="560">
        <v>0</v>
      </c>
      <c r="AU262" s="560">
        <v>0</v>
      </c>
      <c r="AV262" s="560">
        <v>69</v>
      </c>
      <c r="AW262" s="560">
        <v>64</v>
      </c>
      <c r="AX262" s="560">
        <v>74</v>
      </c>
      <c r="AY262" s="560">
        <v>78</v>
      </c>
      <c r="AZ262" s="560">
        <v>1</v>
      </c>
      <c r="BA262" s="560">
        <v>2522</v>
      </c>
      <c r="BB262" s="560">
        <v>0</v>
      </c>
      <c r="BC262" s="560">
        <v>0.5</v>
      </c>
      <c r="BD262" s="560">
        <v>0</v>
      </c>
      <c r="BE262" s="560" t="s">
        <v>1799</v>
      </c>
      <c r="BF262" s="560">
        <v>3</v>
      </c>
      <c r="BG262" s="560">
        <v>17.399999999999999</v>
      </c>
      <c r="BH262" s="560">
        <v>1</v>
      </c>
      <c r="BI262" s="560">
        <v>2</v>
      </c>
      <c r="BJ262" s="560">
        <v>35</v>
      </c>
      <c r="BK262" s="560">
        <v>0</v>
      </c>
      <c r="BL262" s="560" t="s">
        <v>1747</v>
      </c>
      <c r="BM262" s="560">
        <v>3.0000000000000001E-3</v>
      </c>
      <c r="BN262" s="560">
        <v>15</v>
      </c>
      <c r="BO262" s="560">
        <v>4.5</v>
      </c>
      <c r="BP262" s="560" t="s">
        <v>1747</v>
      </c>
      <c r="BQ262" s="560">
        <v>5.0000000000000001E-3</v>
      </c>
      <c r="BR262" s="560">
        <v>40</v>
      </c>
      <c r="BS262" s="560">
        <v>4.9000000000000004</v>
      </c>
      <c r="BT262" s="560">
        <v>2688</v>
      </c>
      <c r="BU262" s="560">
        <v>22848</v>
      </c>
      <c r="BV262" s="560">
        <v>0</v>
      </c>
      <c r="BW262" s="560">
        <v>26.8</v>
      </c>
      <c r="BX262" s="560">
        <v>1480</v>
      </c>
      <c r="BY262" s="560">
        <v>11.4</v>
      </c>
      <c r="BZ262" s="560">
        <v>1344</v>
      </c>
      <c r="CA262" s="560">
        <v>35</v>
      </c>
      <c r="CB262" s="560">
        <v>0.85</v>
      </c>
      <c r="CC262" s="560">
        <v>94</v>
      </c>
      <c r="CD262" s="560">
        <v>94</v>
      </c>
      <c r="CE262" s="560">
        <v>94</v>
      </c>
      <c r="CF262" s="560">
        <v>94</v>
      </c>
      <c r="CG262" s="560">
        <v>0.29299999999999998</v>
      </c>
      <c r="CH262" s="560">
        <v>0.3</v>
      </c>
      <c r="CI262" s="560">
        <v>0.54</v>
      </c>
      <c r="CJ262" s="560">
        <v>40</v>
      </c>
      <c r="CK262" s="560">
        <v>5</v>
      </c>
      <c r="CL262" s="560">
        <v>4</v>
      </c>
      <c r="CM262" s="562">
        <v>1344</v>
      </c>
      <c r="CN262" s="562">
        <v>148</v>
      </c>
      <c r="CO262" s="562">
        <v>26.8</v>
      </c>
      <c r="CP262" s="562">
        <v>0</v>
      </c>
      <c r="CQ262" s="562">
        <v>0</v>
      </c>
      <c r="CR262" s="562" t="s">
        <v>1718</v>
      </c>
      <c r="CS262" s="562">
        <v>0</v>
      </c>
      <c r="CT262" s="562">
        <v>0</v>
      </c>
      <c r="CU262" s="562">
        <v>0.75</v>
      </c>
      <c r="CV262" s="562">
        <v>0.5</v>
      </c>
      <c r="CW262" s="562">
        <v>17.856999999999999</v>
      </c>
      <c r="CX262" s="562">
        <v>6.5</v>
      </c>
      <c r="CY262" s="562">
        <v>17.856999999999999</v>
      </c>
      <c r="CZ262" s="560">
        <v>2665.6</v>
      </c>
      <c r="DA262" s="560">
        <v>17</v>
      </c>
      <c r="DB262" s="560" t="s">
        <v>1719</v>
      </c>
      <c r="DC262" s="560">
        <v>50</v>
      </c>
      <c r="DD262" s="560">
        <v>4</v>
      </c>
      <c r="DE262" s="560" t="s">
        <v>1720</v>
      </c>
      <c r="DF262" s="560">
        <v>5</v>
      </c>
      <c r="DG262" s="560">
        <v>0</v>
      </c>
      <c r="DH262" s="560">
        <v>4.5</v>
      </c>
      <c r="DI262" s="560">
        <v>4.5</v>
      </c>
      <c r="DJ262" s="560">
        <v>0</v>
      </c>
      <c r="DK262" s="560">
        <v>0</v>
      </c>
      <c r="DL262" s="560">
        <v>0</v>
      </c>
      <c r="DM262" s="560">
        <v>0</v>
      </c>
      <c r="DN262" s="560">
        <v>0</v>
      </c>
      <c r="DO262" s="560">
        <v>0</v>
      </c>
    </row>
    <row r="263" spans="1:119" hidden="1">
      <c r="A263" s="560" t="s">
        <v>1834</v>
      </c>
      <c r="B263" s="560" t="s">
        <v>1713</v>
      </c>
      <c r="C263" s="560" t="s">
        <v>794</v>
      </c>
      <c r="D263" s="560">
        <v>3</v>
      </c>
      <c r="E263" s="560">
        <v>438.672348</v>
      </c>
      <c r="F263" s="560">
        <v>56.608927999999999</v>
      </c>
      <c r="G263" s="560">
        <v>7927.5</v>
      </c>
      <c r="H263" s="560">
        <v>139.9665</v>
      </c>
      <c r="I263" s="560">
        <v>0.90101900000000001</v>
      </c>
      <c r="J263" s="560">
        <v>0.27980100000000002</v>
      </c>
      <c r="K263" s="560">
        <v>0.29611100000000001</v>
      </c>
      <c r="L263" s="560">
        <v>0.44160199999999999</v>
      </c>
      <c r="M263" s="560">
        <v>17410.807997</v>
      </c>
      <c r="N263" s="560">
        <v>17691.358050999999</v>
      </c>
      <c r="O263" s="560">
        <v>5527.5061809999997</v>
      </c>
      <c r="P263" s="560">
        <v>241.60118199999999</v>
      </c>
      <c r="Q263" s="560">
        <v>473.42191000000003</v>
      </c>
      <c r="R263" s="560">
        <v>2069.5175439999998</v>
      </c>
      <c r="S263" s="560">
        <v>886.95625700000005</v>
      </c>
      <c r="T263" s="560">
        <v>1063.6957669999999</v>
      </c>
      <c r="U263" s="560">
        <v>257.26069200000001</v>
      </c>
      <c r="V263" s="560">
        <v>38.438374000000003</v>
      </c>
      <c r="W263" s="560">
        <v>15.048226</v>
      </c>
      <c r="X263" s="560">
        <v>0</v>
      </c>
      <c r="Y263" s="560">
        <v>24.697163</v>
      </c>
      <c r="Z263" s="560">
        <v>107.96123</v>
      </c>
      <c r="AA263" s="560">
        <v>46176.236497999998</v>
      </c>
      <c r="AB263" s="560">
        <v>46986.320394000002</v>
      </c>
      <c r="AC263" s="560">
        <v>30672.083793999998</v>
      </c>
      <c r="AD263" s="560">
        <v>22898.032593</v>
      </c>
      <c r="AE263" s="560">
        <v>780.52759700000001</v>
      </c>
      <c r="AF263" s="560">
        <v>12741.698982</v>
      </c>
      <c r="AG263" s="560">
        <v>13775.338989</v>
      </c>
      <c r="AH263" s="560">
        <v>3415.5677470000001</v>
      </c>
      <c r="AI263" s="560">
        <v>0</v>
      </c>
      <c r="AJ263" s="560">
        <v>985.41912400000001</v>
      </c>
      <c r="AK263" s="560">
        <v>2317.0866070000002</v>
      </c>
      <c r="AL263" s="560">
        <v>200.75</v>
      </c>
      <c r="AM263" s="560">
        <v>0</v>
      </c>
      <c r="AN263" s="560">
        <v>0</v>
      </c>
      <c r="AO263" s="560">
        <v>0</v>
      </c>
      <c r="AP263" s="560">
        <v>0</v>
      </c>
      <c r="AQ263" s="560" t="s">
        <v>1834</v>
      </c>
      <c r="AR263" s="560" t="s">
        <v>1738</v>
      </c>
      <c r="AS263" s="560">
        <v>0</v>
      </c>
      <c r="AT263" s="560">
        <v>0</v>
      </c>
      <c r="AU263" s="560">
        <v>0</v>
      </c>
      <c r="AV263" s="560">
        <v>69</v>
      </c>
      <c r="AW263" s="560">
        <v>64</v>
      </c>
      <c r="AX263" s="560">
        <v>74</v>
      </c>
      <c r="AY263" s="560">
        <v>78</v>
      </c>
      <c r="AZ263" s="560">
        <v>1</v>
      </c>
      <c r="BA263" s="560">
        <v>2522</v>
      </c>
      <c r="BB263" s="560">
        <v>0</v>
      </c>
      <c r="BC263" s="560">
        <v>0.5</v>
      </c>
      <c r="BD263" s="560">
        <v>0</v>
      </c>
      <c r="BE263" s="560" t="s">
        <v>1799</v>
      </c>
      <c r="BF263" s="560">
        <v>3</v>
      </c>
      <c r="BG263" s="560">
        <v>17.399999999999999</v>
      </c>
      <c r="BH263" s="560">
        <v>1</v>
      </c>
      <c r="BI263" s="560">
        <v>2</v>
      </c>
      <c r="BJ263" s="560">
        <v>35</v>
      </c>
      <c r="BK263" s="560">
        <v>0</v>
      </c>
      <c r="BL263" s="560" t="s">
        <v>1747</v>
      </c>
      <c r="BM263" s="560">
        <v>3.0000000000000001E-3</v>
      </c>
      <c r="BN263" s="560">
        <v>15</v>
      </c>
      <c r="BO263" s="560">
        <v>6</v>
      </c>
      <c r="BP263" s="560" t="s">
        <v>1747</v>
      </c>
      <c r="BQ263" s="560">
        <v>5.0000000000000001E-3</v>
      </c>
      <c r="BR263" s="560">
        <v>40</v>
      </c>
      <c r="BS263" s="560">
        <v>6</v>
      </c>
      <c r="BT263" s="560">
        <v>2688</v>
      </c>
      <c r="BU263" s="560">
        <v>22848</v>
      </c>
      <c r="BV263" s="560">
        <v>0</v>
      </c>
      <c r="BW263" s="560">
        <v>30.609376350000002</v>
      </c>
      <c r="BX263" s="560">
        <v>1480</v>
      </c>
      <c r="BY263" s="560">
        <v>17.543859650000002</v>
      </c>
      <c r="BZ263" s="560">
        <v>1344</v>
      </c>
      <c r="CA263" s="560">
        <v>37.664196859999997</v>
      </c>
      <c r="CB263" s="560">
        <v>0.85</v>
      </c>
      <c r="CC263" s="560">
        <v>94</v>
      </c>
      <c r="CD263" s="560">
        <v>94</v>
      </c>
      <c r="CE263" s="560">
        <v>94</v>
      </c>
      <c r="CF263" s="560">
        <v>94</v>
      </c>
      <c r="CG263" s="560">
        <v>0.29299999999999998</v>
      </c>
      <c r="CH263" s="560">
        <v>0.3</v>
      </c>
      <c r="CI263" s="560">
        <v>0.54</v>
      </c>
      <c r="CJ263" s="560">
        <v>40</v>
      </c>
      <c r="CK263" s="560">
        <v>5</v>
      </c>
      <c r="CL263" s="560">
        <v>4</v>
      </c>
      <c r="CM263" s="562">
        <v>1344</v>
      </c>
      <c r="CN263" s="562">
        <v>148</v>
      </c>
      <c r="CO263" s="562">
        <v>30.609376350000002</v>
      </c>
      <c r="CP263" s="562">
        <v>0</v>
      </c>
      <c r="CQ263" s="562">
        <v>0</v>
      </c>
      <c r="CR263" s="562" t="s">
        <v>1718</v>
      </c>
      <c r="CS263" s="562">
        <v>0</v>
      </c>
      <c r="CT263" s="562">
        <v>0</v>
      </c>
      <c r="CU263" s="562">
        <v>0.75</v>
      </c>
      <c r="CV263" s="562">
        <v>0.5</v>
      </c>
      <c r="CW263" s="562">
        <v>17.856999999999999</v>
      </c>
      <c r="CX263" s="562">
        <v>6.5</v>
      </c>
      <c r="CY263" s="562">
        <v>17.856999999999999</v>
      </c>
      <c r="CZ263" s="560">
        <v>2665.6</v>
      </c>
      <c r="DA263" s="560">
        <v>17</v>
      </c>
      <c r="DB263" s="560" t="s">
        <v>1719</v>
      </c>
      <c r="DC263" s="560">
        <v>50</v>
      </c>
      <c r="DD263" s="560">
        <v>4</v>
      </c>
      <c r="DE263" s="560" t="s">
        <v>1720</v>
      </c>
      <c r="DF263" s="560">
        <v>5</v>
      </c>
      <c r="DG263" s="560">
        <v>0</v>
      </c>
      <c r="DH263" s="560">
        <v>4.5</v>
      </c>
      <c r="DI263" s="560">
        <v>4.5</v>
      </c>
      <c r="DJ263" s="560">
        <v>0</v>
      </c>
      <c r="DK263" s="560">
        <v>0</v>
      </c>
      <c r="DL263" s="560">
        <v>0</v>
      </c>
      <c r="DM263" s="560">
        <v>0</v>
      </c>
      <c r="DN263" s="560">
        <v>0</v>
      </c>
      <c r="DO263" s="560">
        <v>0</v>
      </c>
    </row>
    <row r="264" spans="1:119" hidden="1">
      <c r="A264" s="560" t="s">
        <v>1835</v>
      </c>
      <c r="B264" s="560" t="s">
        <v>1713</v>
      </c>
      <c r="C264" s="560" t="s">
        <v>794</v>
      </c>
      <c r="D264" s="560">
        <v>3</v>
      </c>
      <c r="E264" s="560">
        <v>472.58422200000001</v>
      </c>
      <c r="F264" s="560">
        <v>57.117170000000002</v>
      </c>
      <c r="G264" s="560">
        <v>7927.5</v>
      </c>
      <c r="H264" s="560">
        <v>139.9665</v>
      </c>
      <c r="I264" s="560">
        <v>0.90101900000000001</v>
      </c>
      <c r="J264" s="560">
        <v>0.279615</v>
      </c>
      <c r="K264" s="560">
        <v>0.29260799999999998</v>
      </c>
      <c r="L264" s="560">
        <v>0.441992</v>
      </c>
      <c r="M264" s="560">
        <v>19141.665201</v>
      </c>
      <c r="N264" s="560">
        <v>19492.460783999999</v>
      </c>
      <c r="O264" s="560">
        <v>6107.9681950000004</v>
      </c>
      <c r="P264" s="560">
        <v>338.11954900000001</v>
      </c>
      <c r="Q264" s="560">
        <v>518.46856700000001</v>
      </c>
      <c r="R264" s="560">
        <v>2266.4345960000001</v>
      </c>
      <c r="S264" s="560">
        <v>891.04268100000002</v>
      </c>
      <c r="T264" s="560">
        <v>1064.5040100000001</v>
      </c>
      <c r="U264" s="560">
        <v>257.05850400000003</v>
      </c>
      <c r="V264" s="560">
        <v>36.907699999999998</v>
      </c>
      <c r="W264" s="560">
        <v>14.501612</v>
      </c>
      <c r="X264" s="560">
        <v>0</v>
      </c>
      <c r="Y264" s="560">
        <v>24.735848000000001</v>
      </c>
      <c r="Z264" s="560">
        <v>108.13034</v>
      </c>
      <c r="AA264" s="560">
        <v>47763.104449999999</v>
      </c>
      <c r="AB264" s="560">
        <v>48682.316060999998</v>
      </c>
      <c r="AC264" s="560">
        <v>32398.674873</v>
      </c>
      <c r="AD264" s="560">
        <v>24628.893203</v>
      </c>
      <c r="AE264" s="560">
        <v>780.52759700000001</v>
      </c>
      <c r="AF264" s="560">
        <v>13393.428994</v>
      </c>
      <c r="AG264" s="560">
        <v>14463.377633</v>
      </c>
      <c r="AH264" s="560">
        <v>3575.604186</v>
      </c>
      <c r="AI264" s="560">
        <v>0</v>
      </c>
      <c r="AJ264" s="560">
        <v>1075.687113</v>
      </c>
      <c r="AK264" s="560">
        <v>2527.8197869999999</v>
      </c>
      <c r="AL264" s="560">
        <v>200.75</v>
      </c>
      <c r="AM264" s="560">
        <v>0</v>
      </c>
      <c r="AN264" s="560">
        <v>0</v>
      </c>
      <c r="AO264" s="560">
        <v>0</v>
      </c>
      <c r="AP264" s="560">
        <v>0</v>
      </c>
      <c r="AQ264" s="560" t="s">
        <v>1835</v>
      </c>
      <c r="AR264" s="560" t="s">
        <v>1738</v>
      </c>
      <c r="AS264" s="560">
        <v>0</v>
      </c>
      <c r="AT264" s="560">
        <v>0</v>
      </c>
      <c r="AU264" s="560">
        <v>0</v>
      </c>
      <c r="AV264" s="560">
        <v>69</v>
      </c>
      <c r="AW264" s="560">
        <v>64</v>
      </c>
      <c r="AX264" s="560">
        <v>74</v>
      </c>
      <c r="AY264" s="560">
        <v>78</v>
      </c>
      <c r="AZ264" s="560">
        <v>1</v>
      </c>
      <c r="BA264" s="560">
        <v>2522</v>
      </c>
      <c r="BB264" s="560">
        <v>0</v>
      </c>
      <c r="BC264" s="560">
        <v>0.5</v>
      </c>
      <c r="BD264" s="560">
        <v>0</v>
      </c>
      <c r="BE264" s="560" t="s">
        <v>1799</v>
      </c>
      <c r="BF264" s="560">
        <v>3</v>
      </c>
      <c r="BG264" s="560">
        <v>17.399999999999999</v>
      </c>
      <c r="BH264" s="560">
        <v>1</v>
      </c>
      <c r="BI264" s="560">
        <v>2</v>
      </c>
      <c r="BJ264" s="560">
        <v>35</v>
      </c>
      <c r="BK264" s="560">
        <v>0</v>
      </c>
      <c r="BL264" s="560" t="s">
        <v>1747</v>
      </c>
      <c r="BM264" s="560">
        <v>3.0000000000000001E-3</v>
      </c>
      <c r="BN264" s="560">
        <v>15</v>
      </c>
      <c r="BO264" s="560">
        <v>4.5</v>
      </c>
      <c r="BP264" s="560" t="s">
        <v>1747</v>
      </c>
      <c r="BQ264" s="560">
        <v>5.0000000000000001E-3</v>
      </c>
      <c r="BR264" s="560">
        <v>40</v>
      </c>
      <c r="BS264" s="560">
        <v>4.9000000000000004</v>
      </c>
      <c r="BT264" s="560">
        <v>2688</v>
      </c>
      <c r="BU264" s="560">
        <v>22848</v>
      </c>
      <c r="BV264" s="560">
        <v>0</v>
      </c>
      <c r="BW264" s="560">
        <v>26.8</v>
      </c>
      <c r="BX264" s="560">
        <v>1480</v>
      </c>
      <c r="BY264" s="560">
        <v>11.4</v>
      </c>
      <c r="BZ264" s="560">
        <v>1344</v>
      </c>
      <c r="CA264" s="560">
        <v>35</v>
      </c>
      <c r="CB264" s="560">
        <v>0.85</v>
      </c>
      <c r="CC264" s="560">
        <v>94</v>
      </c>
      <c r="CD264" s="560">
        <v>94</v>
      </c>
      <c r="CE264" s="560">
        <v>94</v>
      </c>
      <c r="CF264" s="560">
        <v>94</v>
      </c>
      <c r="CG264" s="560">
        <v>0.29299999999999998</v>
      </c>
      <c r="CH264" s="560">
        <v>0.3</v>
      </c>
      <c r="CI264" s="560">
        <v>0.54</v>
      </c>
      <c r="CJ264" s="560">
        <v>40</v>
      </c>
      <c r="CK264" s="560">
        <v>5</v>
      </c>
      <c r="CL264" s="560">
        <v>4</v>
      </c>
      <c r="CM264" s="562">
        <v>1344</v>
      </c>
      <c r="CN264" s="562">
        <v>148</v>
      </c>
      <c r="CO264" s="562">
        <v>26.8</v>
      </c>
      <c r="CP264" s="562">
        <v>0</v>
      </c>
      <c r="CQ264" s="562">
        <v>0</v>
      </c>
      <c r="CR264" s="562" t="s">
        <v>1718</v>
      </c>
      <c r="CS264" s="562">
        <v>0</v>
      </c>
      <c r="CT264" s="562">
        <v>0</v>
      </c>
      <c r="CU264" s="562">
        <v>0.75</v>
      </c>
      <c r="CV264" s="562">
        <v>0.5</v>
      </c>
      <c r="CW264" s="562">
        <v>17.856999999999999</v>
      </c>
      <c r="CX264" s="562">
        <v>6.5</v>
      </c>
      <c r="CY264" s="562">
        <v>17.856999999999999</v>
      </c>
      <c r="CZ264" s="560">
        <v>2665.6</v>
      </c>
      <c r="DA264" s="560">
        <v>17</v>
      </c>
      <c r="DB264" s="560" t="s">
        <v>1719</v>
      </c>
      <c r="DC264" s="560">
        <v>50</v>
      </c>
      <c r="DD264" s="560">
        <v>4</v>
      </c>
      <c r="DE264" s="560" t="s">
        <v>1720</v>
      </c>
      <c r="DF264" s="560">
        <v>5</v>
      </c>
      <c r="DG264" s="560">
        <v>0</v>
      </c>
      <c r="DH264" s="560">
        <v>4.5</v>
      </c>
      <c r="DI264" s="560">
        <v>4.5</v>
      </c>
      <c r="DJ264" s="560">
        <v>0</v>
      </c>
      <c r="DK264" s="560">
        <v>0</v>
      </c>
      <c r="DL264" s="560">
        <v>0</v>
      </c>
      <c r="DM264" s="560">
        <v>0</v>
      </c>
      <c r="DN264" s="560">
        <v>0</v>
      </c>
      <c r="DO264" s="560">
        <v>0</v>
      </c>
    </row>
    <row r="265" spans="1:119" hidden="1">
      <c r="A265" s="560" t="s">
        <v>1836</v>
      </c>
      <c r="B265" s="560" t="s">
        <v>1713</v>
      </c>
      <c r="C265" s="560" t="s">
        <v>764</v>
      </c>
      <c r="D265" s="560">
        <v>3</v>
      </c>
      <c r="E265" s="560">
        <v>764.31573300000002</v>
      </c>
      <c r="F265" s="560">
        <v>58.603974999999998</v>
      </c>
      <c r="G265" s="560">
        <v>4974.4274999999998</v>
      </c>
      <c r="H265" s="560">
        <v>139.9665</v>
      </c>
      <c r="I265" s="560">
        <v>0.968943</v>
      </c>
      <c r="J265" s="560">
        <v>0.31771899999999997</v>
      </c>
      <c r="K265" s="560">
        <v>0.34221400000000002</v>
      </c>
      <c r="L265" s="560">
        <v>0.50384700000000004</v>
      </c>
      <c r="M265" s="560">
        <v>18755.919298000001</v>
      </c>
      <c r="N265" s="560">
        <v>19484.299362999998</v>
      </c>
      <c r="O265" s="560">
        <v>6507.9062080000003</v>
      </c>
      <c r="P265" s="560">
        <v>1006.304473</v>
      </c>
      <c r="Q265" s="560">
        <v>501.37096200000002</v>
      </c>
      <c r="R265" s="560">
        <v>2191.69409</v>
      </c>
      <c r="S265" s="560">
        <v>1563.9764990000001</v>
      </c>
      <c r="T265" s="560">
        <v>1811.6755439999999</v>
      </c>
      <c r="U265" s="560">
        <v>429.98143800000003</v>
      </c>
      <c r="V265" s="560">
        <v>35.034162999999999</v>
      </c>
      <c r="W265" s="560">
        <v>8.2925599999999999</v>
      </c>
      <c r="X265" s="560">
        <v>0.1</v>
      </c>
      <c r="Y265" s="560">
        <v>42.410207</v>
      </c>
      <c r="Z265" s="560">
        <v>185.39206799999999</v>
      </c>
      <c r="AA265" s="560">
        <v>73069.988200000007</v>
      </c>
      <c r="AB265" s="560">
        <v>75653.569711000004</v>
      </c>
      <c r="AC265" s="560">
        <v>57096.981786999997</v>
      </c>
      <c r="AD265" s="560">
        <v>49266.109050999999</v>
      </c>
      <c r="AE265" s="560">
        <v>780.52759700000001</v>
      </c>
      <c r="AF265" s="560">
        <v>24296.059740000001</v>
      </c>
      <c r="AG265" s="560">
        <v>26651.635374000001</v>
      </c>
      <c r="AH265" s="560">
        <v>6322.9825129999999</v>
      </c>
      <c r="AI265" s="560">
        <v>184.1</v>
      </c>
      <c r="AJ265" s="560">
        <v>1120.0614619999999</v>
      </c>
      <c r="AK265" s="560">
        <v>2564.640292</v>
      </c>
      <c r="AL265" s="560">
        <v>200.75</v>
      </c>
      <c r="AM265" s="560">
        <v>0</v>
      </c>
      <c r="AN265" s="560">
        <v>0</v>
      </c>
      <c r="AO265" s="560">
        <v>0</v>
      </c>
      <c r="AP265" s="560">
        <v>0</v>
      </c>
      <c r="AQ265" s="560" t="s">
        <v>1836</v>
      </c>
      <c r="AR265" s="560" t="s">
        <v>1714</v>
      </c>
      <c r="AS265" s="560">
        <v>0</v>
      </c>
      <c r="AT265" s="560">
        <v>0</v>
      </c>
      <c r="AU265" s="560">
        <v>0</v>
      </c>
      <c r="AV265" s="560">
        <v>69</v>
      </c>
      <c r="AW265" s="560">
        <v>64</v>
      </c>
      <c r="AX265" s="560">
        <v>74</v>
      </c>
      <c r="AY265" s="560">
        <v>78</v>
      </c>
      <c r="AZ265" s="560">
        <v>1</v>
      </c>
      <c r="BA265" s="560">
        <v>3099</v>
      </c>
      <c r="BB265" s="560">
        <v>0</v>
      </c>
      <c r="BC265" s="560">
        <v>0.5</v>
      </c>
      <c r="BD265" s="560">
        <v>0</v>
      </c>
      <c r="BE265" s="560" t="s">
        <v>1799</v>
      </c>
      <c r="BF265" s="560">
        <v>3</v>
      </c>
      <c r="BG265" s="560">
        <v>17.399999999999999</v>
      </c>
      <c r="BH265" s="560">
        <v>1</v>
      </c>
      <c r="BI265" s="560">
        <v>2</v>
      </c>
      <c r="BJ265" s="560">
        <v>35</v>
      </c>
      <c r="BK265" s="560">
        <v>0</v>
      </c>
      <c r="BL265" s="560" t="s">
        <v>1747</v>
      </c>
      <c r="BM265" s="560">
        <v>0.02</v>
      </c>
      <c r="BN265" s="560">
        <v>0</v>
      </c>
      <c r="BO265" s="560">
        <v>6</v>
      </c>
      <c r="BP265" s="560" t="s">
        <v>1747</v>
      </c>
      <c r="BQ265" s="560">
        <v>0.03</v>
      </c>
      <c r="BR265" s="560">
        <v>60</v>
      </c>
      <c r="BS265" s="560">
        <v>6</v>
      </c>
      <c r="BT265" s="560">
        <v>5000</v>
      </c>
      <c r="BU265" s="560">
        <v>40100</v>
      </c>
      <c r="BV265" s="560">
        <v>200</v>
      </c>
      <c r="BW265" s="560">
        <v>30.609376350000002</v>
      </c>
      <c r="BX265" s="560">
        <v>2788</v>
      </c>
      <c r="BY265" s="560">
        <v>17.543859650000002</v>
      </c>
      <c r="BZ265" s="560">
        <v>1800</v>
      </c>
      <c r="CA265" s="560">
        <v>37.664196859999997</v>
      </c>
      <c r="CB265" s="560">
        <v>0.85</v>
      </c>
      <c r="CC265" s="560">
        <v>187.5</v>
      </c>
      <c r="CD265" s="560">
        <v>187.5</v>
      </c>
      <c r="CE265" s="560">
        <v>187.5</v>
      </c>
      <c r="CF265" s="560">
        <v>187.5</v>
      </c>
      <c r="CG265" s="560">
        <v>0.29299999999999998</v>
      </c>
      <c r="CH265" s="560">
        <v>0.3</v>
      </c>
      <c r="CI265" s="560">
        <v>0.54</v>
      </c>
      <c r="CJ265" s="560">
        <v>40</v>
      </c>
      <c r="CK265" s="560">
        <v>5</v>
      </c>
      <c r="CL265" s="560">
        <v>4</v>
      </c>
      <c r="CM265" s="562">
        <v>1600</v>
      </c>
      <c r="CN265" s="562">
        <v>164</v>
      </c>
      <c r="CO265" s="562">
        <v>30.609376350000002</v>
      </c>
      <c r="CP265" s="562">
        <v>0</v>
      </c>
      <c r="CQ265" s="562">
        <v>0</v>
      </c>
      <c r="CR265" s="562" t="s">
        <v>1718</v>
      </c>
      <c r="CS265" s="562">
        <v>0</v>
      </c>
      <c r="CT265" s="562">
        <v>0</v>
      </c>
      <c r="CU265" s="562">
        <v>0.75</v>
      </c>
      <c r="CV265" s="562">
        <v>0.5</v>
      </c>
      <c r="CW265" s="562">
        <v>17.856999999999999</v>
      </c>
      <c r="CX265" s="562">
        <v>6.5</v>
      </c>
      <c r="CY265" s="562">
        <v>17.856999999999999</v>
      </c>
      <c r="CZ265" s="560">
        <v>4678.3333329999996</v>
      </c>
      <c r="DA265" s="560">
        <v>26.5625</v>
      </c>
      <c r="DB265" s="560" t="s">
        <v>1719</v>
      </c>
      <c r="DC265" s="560">
        <v>50</v>
      </c>
      <c r="DD265" s="560">
        <v>4</v>
      </c>
      <c r="DE265" s="560" t="s">
        <v>1720</v>
      </c>
      <c r="DF265" s="560">
        <v>5</v>
      </c>
      <c r="DG265" s="560">
        <v>0</v>
      </c>
      <c r="DH265" s="560">
        <v>4.5</v>
      </c>
      <c r="DI265" s="560">
        <v>4.5</v>
      </c>
      <c r="DJ265" s="560">
        <v>0</v>
      </c>
      <c r="DK265" s="560">
        <v>0</v>
      </c>
      <c r="DL265" s="560">
        <v>0</v>
      </c>
      <c r="DM265" s="560">
        <v>0</v>
      </c>
      <c r="DN265" s="560">
        <v>0</v>
      </c>
      <c r="DO265" s="560">
        <v>0</v>
      </c>
    </row>
    <row r="266" spans="1:119" hidden="1">
      <c r="A266" s="560" t="s">
        <v>1837</v>
      </c>
      <c r="B266" s="560" t="s">
        <v>1713</v>
      </c>
      <c r="C266" s="560" t="s">
        <v>764</v>
      </c>
      <c r="D266" s="560">
        <v>3</v>
      </c>
      <c r="E266" s="560">
        <v>827.08346300000005</v>
      </c>
      <c r="F266" s="560">
        <v>58.981805999999999</v>
      </c>
      <c r="G266" s="560">
        <v>4974.4274999999998</v>
      </c>
      <c r="H266" s="560">
        <v>139.9665</v>
      </c>
      <c r="I266" s="560">
        <v>0.968943</v>
      </c>
      <c r="J266" s="560">
        <v>0.317859</v>
      </c>
      <c r="K266" s="560">
        <v>0.33805299999999999</v>
      </c>
      <c r="L266" s="560">
        <v>0.50515500000000002</v>
      </c>
      <c r="M266" s="560">
        <v>20817.360574999999</v>
      </c>
      <c r="N266" s="560">
        <v>21636.729241000001</v>
      </c>
      <c r="O266" s="560">
        <v>7290.2399740000001</v>
      </c>
      <c r="P266" s="560">
        <v>1257.222595</v>
      </c>
      <c r="Q266" s="560">
        <v>551.60306100000003</v>
      </c>
      <c r="R266" s="560">
        <v>2411.2787960000001</v>
      </c>
      <c r="S266" s="560">
        <v>1594.380251</v>
      </c>
      <c r="T266" s="560">
        <v>1842.0838719999999</v>
      </c>
      <c r="U266" s="560">
        <v>435.93749000000003</v>
      </c>
      <c r="V266" s="560">
        <v>33.695905000000003</v>
      </c>
      <c r="W266" s="560">
        <v>7.8959840000000003</v>
      </c>
      <c r="X266" s="560">
        <v>0.2</v>
      </c>
      <c r="Y266" s="560">
        <v>43.140546000000001</v>
      </c>
      <c r="Z266" s="560">
        <v>188.584676</v>
      </c>
      <c r="AA266" s="560">
        <v>75977.521540000002</v>
      </c>
      <c r="AB266" s="560">
        <v>78647.222234999994</v>
      </c>
      <c r="AC266" s="560">
        <v>60027.868875</v>
      </c>
      <c r="AD266" s="560">
        <v>52196.158171000003</v>
      </c>
      <c r="AE266" s="560">
        <v>780.52759700000001</v>
      </c>
      <c r="AF266" s="560">
        <v>25479.24654</v>
      </c>
      <c r="AG266" s="560">
        <v>27956.402942000001</v>
      </c>
      <c r="AH266" s="560">
        <v>6604.8415750000004</v>
      </c>
      <c r="AI266" s="560">
        <v>244.6</v>
      </c>
      <c r="AJ266" s="560">
        <v>1222.3373309999999</v>
      </c>
      <c r="AK266" s="560">
        <v>2799.1415480000001</v>
      </c>
      <c r="AL266" s="560">
        <v>200.75</v>
      </c>
      <c r="AM266" s="560">
        <v>0</v>
      </c>
      <c r="AN266" s="560">
        <v>0</v>
      </c>
      <c r="AO266" s="560">
        <v>0</v>
      </c>
      <c r="AP266" s="560">
        <v>0</v>
      </c>
      <c r="AQ266" s="560" t="s">
        <v>1837</v>
      </c>
      <c r="AR266" s="560" t="s">
        <v>1714</v>
      </c>
      <c r="AS266" s="560">
        <v>0</v>
      </c>
      <c r="AT266" s="560">
        <v>0</v>
      </c>
      <c r="AU266" s="560">
        <v>0</v>
      </c>
      <c r="AV266" s="560">
        <v>69</v>
      </c>
      <c r="AW266" s="560">
        <v>64</v>
      </c>
      <c r="AX266" s="560">
        <v>74</v>
      </c>
      <c r="AY266" s="560">
        <v>78</v>
      </c>
      <c r="AZ266" s="560">
        <v>1</v>
      </c>
      <c r="BA266" s="560">
        <v>3099</v>
      </c>
      <c r="BB266" s="560">
        <v>0</v>
      </c>
      <c r="BC266" s="560">
        <v>0.5</v>
      </c>
      <c r="BD266" s="560">
        <v>0</v>
      </c>
      <c r="BE266" s="560" t="s">
        <v>1799</v>
      </c>
      <c r="BF266" s="560">
        <v>3</v>
      </c>
      <c r="BG266" s="560">
        <v>17.399999999999999</v>
      </c>
      <c r="BH266" s="560">
        <v>1</v>
      </c>
      <c r="BI266" s="560">
        <v>2</v>
      </c>
      <c r="BJ266" s="560">
        <v>35</v>
      </c>
      <c r="BK266" s="560">
        <v>0</v>
      </c>
      <c r="BL266" s="560" t="s">
        <v>1747</v>
      </c>
      <c r="BM266" s="560">
        <v>0.02</v>
      </c>
      <c r="BN266" s="560">
        <v>0</v>
      </c>
      <c r="BO266" s="560">
        <v>4.5</v>
      </c>
      <c r="BP266" s="560" t="s">
        <v>1747</v>
      </c>
      <c r="BQ266" s="560">
        <v>0.03</v>
      </c>
      <c r="BR266" s="560">
        <v>60</v>
      </c>
      <c r="BS266" s="560">
        <v>4.9000000000000004</v>
      </c>
      <c r="BT266" s="560">
        <v>5000</v>
      </c>
      <c r="BU266" s="560">
        <v>40100</v>
      </c>
      <c r="BV266" s="560">
        <v>200</v>
      </c>
      <c r="BW266" s="560">
        <v>26.8</v>
      </c>
      <c r="BX266" s="560">
        <v>2788</v>
      </c>
      <c r="BY266" s="560">
        <v>11.4</v>
      </c>
      <c r="BZ266" s="560">
        <v>1800</v>
      </c>
      <c r="CA266" s="560">
        <v>35</v>
      </c>
      <c r="CB266" s="560">
        <v>0.85</v>
      </c>
      <c r="CC266" s="560">
        <v>187.5</v>
      </c>
      <c r="CD266" s="560">
        <v>187.5</v>
      </c>
      <c r="CE266" s="560">
        <v>187.5</v>
      </c>
      <c r="CF266" s="560">
        <v>187.5</v>
      </c>
      <c r="CG266" s="560">
        <v>0.29299999999999998</v>
      </c>
      <c r="CH266" s="560">
        <v>0.3</v>
      </c>
      <c r="CI266" s="560">
        <v>0.54</v>
      </c>
      <c r="CJ266" s="560">
        <v>40</v>
      </c>
      <c r="CK266" s="560">
        <v>5</v>
      </c>
      <c r="CL266" s="560">
        <v>4</v>
      </c>
      <c r="CM266" s="562">
        <v>1600</v>
      </c>
      <c r="CN266" s="562">
        <v>164</v>
      </c>
      <c r="CO266" s="562">
        <v>26.8</v>
      </c>
      <c r="CP266" s="562">
        <v>0</v>
      </c>
      <c r="CQ266" s="562">
        <v>0</v>
      </c>
      <c r="CR266" s="562" t="s">
        <v>1718</v>
      </c>
      <c r="CS266" s="562">
        <v>0</v>
      </c>
      <c r="CT266" s="562">
        <v>0</v>
      </c>
      <c r="CU266" s="562">
        <v>0.75</v>
      </c>
      <c r="CV266" s="562">
        <v>0.5</v>
      </c>
      <c r="CW266" s="562">
        <v>17.856999999999999</v>
      </c>
      <c r="CX266" s="562">
        <v>6.5</v>
      </c>
      <c r="CY266" s="562">
        <v>17.856999999999999</v>
      </c>
      <c r="CZ266" s="560">
        <v>4678.3333329999996</v>
      </c>
      <c r="DA266" s="560">
        <v>26.5625</v>
      </c>
      <c r="DB266" s="560" t="s">
        <v>1719</v>
      </c>
      <c r="DC266" s="560">
        <v>50</v>
      </c>
      <c r="DD266" s="560">
        <v>4</v>
      </c>
      <c r="DE266" s="560" t="s">
        <v>1720</v>
      </c>
      <c r="DF266" s="560">
        <v>5</v>
      </c>
      <c r="DG266" s="560">
        <v>0</v>
      </c>
      <c r="DH266" s="560">
        <v>4.5</v>
      </c>
      <c r="DI266" s="560">
        <v>4.5</v>
      </c>
      <c r="DJ266" s="560">
        <v>0</v>
      </c>
      <c r="DK266" s="560">
        <v>0</v>
      </c>
      <c r="DL266" s="560">
        <v>0</v>
      </c>
      <c r="DM266" s="560">
        <v>0</v>
      </c>
      <c r="DN266" s="560">
        <v>0</v>
      </c>
      <c r="DO266" s="560">
        <v>0</v>
      </c>
    </row>
    <row r="267" spans="1:119" hidden="1">
      <c r="A267" s="560" t="s">
        <v>1838</v>
      </c>
      <c r="B267" s="560" t="s">
        <v>1713</v>
      </c>
      <c r="C267" s="560" t="s">
        <v>779</v>
      </c>
      <c r="D267" s="560">
        <v>3</v>
      </c>
      <c r="E267" s="560">
        <v>781.06231700000001</v>
      </c>
      <c r="F267" s="560">
        <v>57.389180000000003</v>
      </c>
      <c r="G267" s="560">
        <v>6644.9655000000002</v>
      </c>
      <c r="H267" s="560">
        <v>139.9665</v>
      </c>
      <c r="I267" s="560">
        <v>0.91800700000000002</v>
      </c>
      <c r="J267" s="560">
        <v>0.358761</v>
      </c>
      <c r="K267" s="560">
        <v>0.38575700000000002</v>
      </c>
      <c r="L267" s="560">
        <v>0.57644700000000004</v>
      </c>
      <c r="M267" s="560">
        <v>27277.406279999999</v>
      </c>
      <c r="N267" s="560">
        <v>28314.133850999999</v>
      </c>
      <c r="O267" s="560">
        <v>10381.494525</v>
      </c>
      <c r="P267" s="560">
        <v>2949.1545390000001</v>
      </c>
      <c r="Q267" s="560">
        <v>683.28868499999999</v>
      </c>
      <c r="R267" s="560">
        <v>2986.9296119999999</v>
      </c>
      <c r="S267" s="560">
        <v>1563.9764990000001</v>
      </c>
      <c r="T267" s="560">
        <v>1811.6755439999999</v>
      </c>
      <c r="U267" s="560">
        <v>429.98143800000003</v>
      </c>
      <c r="V267" s="560">
        <v>35.034162999999999</v>
      </c>
      <c r="W267" s="560">
        <v>8.2925599999999999</v>
      </c>
      <c r="X267" s="560">
        <v>0.1</v>
      </c>
      <c r="Y267" s="560">
        <v>42.410207</v>
      </c>
      <c r="Z267" s="560">
        <v>185.39206799999999</v>
      </c>
      <c r="AA267" s="560">
        <v>85279.519631000003</v>
      </c>
      <c r="AB267" s="560">
        <v>87907.077178000007</v>
      </c>
      <c r="AC267" s="560">
        <v>68279.092432000005</v>
      </c>
      <c r="AD267" s="560">
        <v>60333.291978000001</v>
      </c>
      <c r="AE267" s="560">
        <v>780.52759700000001</v>
      </c>
      <c r="AF267" s="560">
        <v>24296.059740000001</v>
      </c>
      <c r="AG267" s="560">
        <v>26651.635374000001</v>
      </c>
      <c r="AH267" s="560">
        <v>6322.9825129999999</v>
      </c>
      <c r="AI267" s="560">
        <v>128.65</v>
      </c>
      <c r="AJ267" s="560">
        <v>1507.5385920000001</v>
      </c>
      <c r="AK267" s="560">
        <v>3448.9500830000002</v>
      </c>
      <c r="AL267" s="560">
        <v>200.75</v>
      </c>
      <c r="AM267" s="560">
        <v>0</v>
      </c>
      <c r="AN267" s="560">
        <v>0</v>
      </c>
      <c r="AO267" s="560">
        <v>0</v>
      </c>
      <c r="AP267" s="560">
        <v>0</v>
      </c>
      <c r="AQ267" s="560" t="s">
        <v>1838</v>
      </c>
      <c r="AR267" s="560" t="s">
        <v>1729</v>
      </c>
      <c r="AS267" s="560">
        <v>0</v>
      </c>
      <c r="AT267" s="560">
        <v>0</v>
      </c>
      <c r="AU267" s="560">
        <v>0</v>
      </c>
      <c r="AV267" s="560">
        <v>69</v>
      </c>
      <c r="AW267" s="560">
        <v>64</v>
      </c>
      <c r="AX267" s="560">
        <v>74</v>
      </c>
      <c r="AY267" s="560">
        <v>78</v>
      </c>
      <c r="AZ267" s="560">
        <v>1</v>
      </c>
      <c r="BA267" s="560">
        <v>3099</v>
      </c>
      <c r="BB267" s="560">
        <v>0</v>
      </c>
      <c r="BC267" s="560">
        <v>0.5</v>
      </c>
      <c r="BD267" s="560">
        <v>0</v>
      </c>
      <c r="BE267" s="560" t="s">
        <v>1799</v>
      </c>
      <c r="BF267" s="560">
        <v>3</v>
      </c>
      <c r="BG267" s="560">
        <v>17.399999999999999</v>
      </c>
      <c r="BH267" s="560">
        <v>1</v>
      </c>
      <c r="BI267" s="560">
        <v>2</v>
      </c>
      <c r="BJ267" s="560">
        <v>35</v>
      </c>
      <c r="BK267" s="560">
        <v>0</v>
      </c>
      <c r="BL267" s="560" t="s">
        <v>1747</v>
      </c>
      <c r="BM267" s="560">
        <v>0.02</v>
      </c>
      <c r="BN267" s="560">
        <v>0</v>
      </c>
      <c r="BO267" s="560">
        <v>6</v>
      </c>
      <c r="BP267" s="560" t="s">
        <v>1747</v>
      </c>
      <c r="BQ267" s="560">
        <v>0.03</v>
      </c>
      <c r="BR267" s="560">
        <v>60</v>
      </c>
      <c r="BS267" s="560">
        <v>6</v>
      </c>
      <c r="BT267" s="560">
        <v>5000</v>
      </c>
      <c r="BU267" s="560">
        <v>40100</v>
      </c>
      <c r="BV267" s="560">
        <v>200</v>
      </c>
      <c r="BW267" s="560">
        <v>30.609376350000002</v>
      </c>
      <c r="BX267" s="560">
        <v>2788</v>
      </c>
      <c r="BY267" s="560">
        <v>17.543859650000002</v>
      </c>
      <c r="BZ267" s="560">
        <v>1800</v>
      </c>
      <c r="CA267" s="560">
        <v>37.664196859999997</v>
      </c>
      <c r="CB267" s="560">
        <v>0.85</v>
      </c>
      <c r="CC267" s="560">
        <v>187.5</v>
      </c>
      <c r="CD267" s="560">
        <v>187.5</v>
      </c>
      <c r="CE267" s="560">
        <v>187.5</v>
      </c>
      <c r="CF267" s="560">
        <v>187.5</v>
      </c>
      <c r="CG267" s="560">
        <v>0.29299999999999998</v>
      </c>
      <c r="CH267" s="560">
        <v>0.3</v>
      </c>
      <c r="CI267" s="560">
        <v>0.54</v>
      </c>
      <c r="CJ267" s="560">
        <v>40</v>
      </c>
      <c r="CK267" s="560">
        <v>5</v>
      </c>
      <c r="CL267" s="560">
        <v>4</v>
      </c>
      <c r="CM267" s="562">
        <v>1600</v>
      </c>
      <c r="CN267" s="562">
        <v>164</v>
      </c>
      <c r="CO267" s="562">
        <v>30.609376350000002</v>
      </c>
      <c r="CP267" s="562">
        <v>0</v>
      </c>
      <c r="CQ267" s="562">
        <v>0</v>
      </c>
      <c r="CR267" s="562" t="s">
        <v>1718</v>
      </c>
      <c r="CS267" s="562">
        <v>0</v>
      </c>
      <c r="CT267" s="562">
        <v>0</v>
      </c>
      <c r="CU267" s="562">
        <v>0.75</v>
      </c>
      <c r="CV267" s="562">
        <v>0.5</v>
      </c>
      <c r="CW267" s="562">
        <v>17.856999999999999</v>
      </c>
      <c r="CX267" s="562">
        <v>6.5</v>
      </c>
      <c r="CY267" s="562">
        <v>17.856999999999999</v>
      </c>
      <c r="CZ267" s="560">
        <v>4678.3333329999996</v>
      </c>
      <c r="DA267" s="560">
        <v>26.5625</v>
      </c>
      <c r="DB267" s="560" t="s">
        <v>1719</v>
      </c>
      <c r="DC267" s="560">
        <v>50</v>
      </c>
      <c r="DD267" s="560">
        <v>4</v>
      </c>
      <c r="DE267" s="560" t="s">
        <v>1720</v>
      </c>
      <c r="DF267" s="560">
        <v>5</v>
      </c>
      <c r="DG267" s="560">
        <v>0</v>
      </c>
      <c r="DH267" s="560">
        <v>4.5</v>
      </c>
      <c r="DI267" s="560">
        <v>4.5</v>
      </c>
      <c r="DJ267" s="560">
        <v>0</v>
      </c>
      <c r="DK267" s="560">
        <v>0</v>
      </c>
      <c r="DL267" s="560">
        <v>0</v>
      </c>
      <c r="DM267" s="560">
        <v>0</v>
      </c>
      <c r="DN267" s="560">
        <v>0</v>
      </c>
      <c r="DO267" s="560">
        <v>0</v>
      </c>
    </row>
    <row r="268" spans="1:119" hidden="1">
      <c r="A268" s="560" t="s">
        <v>1839</v>
      </c>
      <c r="B268" s="560" t="s">
        <v>1713</v>
      </c>
      <c r="C268" s="560" t="s">
        <v>779</v>
      </c>
      <c r="D268" s="560">
        <v>3</v>
      </c>
      <c r="E268" s="560">
        <v>844.37566200000003</v>
      </c>
      <c r="F268" s="560">
        <v>57.792534000000003</v>
      </c>
      <c r="G268" s="560">
        <v>6644.9655000000002</v>
      </c>
      <c r="H268" s="560">
        <v>139.9665</v>
      </c>
      <c r="I268" s="560">
        <v>0.91800700000000002</v>
      </c>
      <c r="J268" s="560">
        <v>0.35935800000000001</v>
      </c>
      <c r="K268" s="560">
        <v>0.38217200000000001</v>
      </c>
      <c r="L268" s="560">
        <v>0.57681899999999997</v>
      </c>
      <c r="M268" s="560">
        <v>30011.380057999999</v>
      </c>
      <c r="N268" s="560">
        <v>31162.622323</v>
      </c>
      <c r="O268" s="560">
        <v>11726.181877999999</v>
      </c>
      <c r="P268" s="560">
        <v>3735.2640919999999</v>
      </c>
      <c r="Q268" s="560">
        <v>736.65693699999997</v>
      </c>
      <c r="R268" s="560">
        <v>3220.2237019999998</v>
      </c>
      <c r="S268" s="560">
        <v>1594.380251</v>
      </c>
      <c r="T268" s="560">
        <v>1842.0838719999999</v>
      </c>
      <c r="U268" s="560">
        <v>435.93749000000003</v>
      </c>
      <c r="V268" s="560">
        <v>33.695905000000003</v>
      </c>
      <c r="W268" s="560">
        <v>7.8959840000000003</v>
      </c>
      <c r="X268" s="560">
        <v>0.2</v>
      </c>
      <c r="Y268" s="560">
        <v>43.140546000000001</v>
      </c>
      <c r="Z268" s="560">
        <v>188.584676</v>
      </c>
      <c r="AA268" s="560">
        <v>88888.089424999998</v>
      </c>
      <c r="AB268" s="560">
        <v>91603.823541000005</v>
      </c>
      <c r="AC268" s="560">
        <v>71971.897670000006</v>
      </c>
      <c r="AD268" s="560">
        <v>64025.390568000003</v>
      </c>
      <c r="AE268" s="560">
        <v>780.52759700000001</v>
      </c>
      <c r="AF268" s="560">
        <v>25479.24654</v>
      </c>
      <c r="AG268" s="560">
        <v>27956.402942000001</v>
      </c>
      <c r="AH268" s="560">
        <v>6604.8415750000004</v>
      </c>
      <c r="AI268" s="560">
        <v>173.45</v>
      </c>
      <c r="AJ268" s="560">
        <v>1618.662419</v>
      </c>
      <c r="AK268" s="560">
        <v>3705.3525989999998</v>
      </c>
      <c r="AL268" s="560">
        <v>200.75</v>
      </c>
      <c r="AM268" s="560">
        <v>0</v>
      </c>
      <c r="AN268" s="560">
        <v>0</v>
      </c>
      <c r="AO268" s="560">
        <v>0</v>
      </c>
      <c r="AP268" s="560">
        <v>0</v>
      </c>
      <c r="AQ268" s="560" t="s">
        <v>1839</v>
      </c>
      <c r="AR268" s="560" t="s">
        <v>1729</v>
      </c>
      <c r="AS268" s="560">
        <v>0</v>
      </c>
      <c r="AT268" s="560">
        <v>0</v>
      </c>
      <c r="AU268" s="560">
        <v>0</v>
      </c>
      <c r="AV268" s="560">
        <v>69</v>
      </c>
      <c r="AW268" s="560">
        <v>64</v>
      </c>
      <c r="AX268" s="560">
        <v>74</v>
      </c>
      <c r="AY268" s="560">
        <v>78</v>
      </c>
      <c r="AZ268" s="560">
        <v>1</v>
      </c>
      <c r="BA268" s="560">
        <v>3099</v>
      </c>
      <c r="BB268" s="560">
        <v>0</v>
      </c>
      <c r="BC268" s="560">
        <v>0.5</v>
      </c>
      <c r="BD268" s="560">
        <v>0</v>
      </c>
      <c r="BE268" s="560" t="s">
        <v>1799</v>
      </c>
      <c r="BF268" s="560">
        <v>3</v>
      </c>
      <c r="BG268" s="560">
        <v>17.399999999999999</v>
      </c>
      <c r="BH268" s="560">
        <v>1</v>
      </c>
      <c r="BI268" s="560">
        <v>2</v>
      </c>
      <c r="BJ268" s="560">
        <v>35</v>
      </c>
      <c r="BK268" s="560">
        <v>0</v>
      </c>
      <c r="BL268" s="560" t="s">
        <v>1747</v>
      </c>
      <c r="BM268" s="560">
        <v>0.02</v>
      </c>
      <c r="BN268" s="560">
        <v>0</v>
      </c>
      <c r="BO268" s="560">
        <v>4.5</v>
      </c>
      <c r="BP268" s="560" t="s">
        <v>1747</v>
      </c>
      <c r="BQ268" s="560">
        <v>0.03</v>
      </c>
      <c r="BR268" s="560">
        <v>60</v>
      </c>
      <c r="BS268" s="560">
        <v>4.9000000000000004</v>
      </c>
      <c r="BT268" s="560">
        <v>5000</v>
      </c>
      <c r="BU268" s="560">
        <v>40100</v>
      </c>
      <c r="BV268" s="560">
        <v>200</v>
      </c>
      <c r="BW268" s="560">
        <v>26.8</v>
      </c>
      <c r="BX268" s="560">
        <v>2788</v>
      </c>
      <c r="BY268" s="560">
        <v>11.4</v>
      </c>
      <c r="BZ268" s="560">
        <v>1800</v>
      </c>
      <c r="CA268" s="560">
        <v>35</v>
      </c>
      <c r="CB268" s="560">
        <v>0.85</v>
      </c>
      <c r="CC268" s="560">
        <v>187.5</v>
      </c>
      <c r="CD268" s="560">
        <v>187.5</v>
      </c>
      <c r="CE268" s="560">
        <v>187.5</v>
      </c>
      <c r="CF268" s="560">
        <v>187.5</v>
      </c>
      <c r="CG268" s="560">
        <v>0.29299999999999998</v>
      </c>
      <c r="CH268" s="560">
        <v>0.3</v>
      </c>
      <c r="CI268" s="560">
        <v>0.54</v>
      </c>
      <c r="CJ268" s="560">
        <v>40</v>
      </c>
      <c r="CK268" s="560">
        <v>5</v>
      </c>
      <c r="CL268" s="560">
        <v>4</v>
      </c>
      <c r="CM268" s="562">
        <v>1600</v>
      </c>
      <c r="CN268" s="562">
        <v>164</v>
      </c>
      <c r="CO268" s="562">
        <v>26.8</v>
      </c>
      <c r="CP268" s="562">
        <v>0</v>
      </c>
      <c r="CQ268" s="562">
        <v>0</v>
      </c>
      <c r="CR268" s="562" t="s">
        <v>1718</v>
      </c>
      <c r="CS268" s="562">
        <v>0</v>
      </c>
      <c r="CT268" s="562">
        <v>0</v>
      </c>
      <c r="CU268" s="562">
        <v>0.75</v>
      </c>
      <c r="CV268" s="562">
        <v>0.5</v>
      </c>
      <c r="CW268" s="562">
        <v>17.856999999999999</v>
      </c>
      <c r="CX268" s="562">
        <v>6.5</v>
      </c>
      <c r="CY268" s="562">
        <v>17.856999999999999</v>
      </c>
      <c r="CZ268" s="560">
        <v>4678.3333329999996</v>
      </c>
      <c r="DA268" s="560">
        <v>26.5625</v>
      </c>
      <c r="DB268" s="560" t="s">
        <v>1719</v>
      </c>
      <c r="DC268" s="560">
        <v>50</v>
      </c>
      <c r="DD268" s="560">
        <v>4</v>
      </c>
      <c r="DE268" s="560" t="s">
        <v>1720</v>
      </c>
      <c r="DF268" s="560">
        <v>5</v>
      </c>
      <c r="DG268" s="560">
        <v>0</v>
      </c>
      <c r="DH268" s="560">
        <v>4.5</v>
      </c>
      <c r="DI268" s="560">
        <v>4.5</v>
      </c>
      <c r="DJ268" s="560">
        <v>0</v>
      </c>
      <c r="DK268" s="560">
        <v>0</v>
      </c>
      <c r="DL268" s="560">
        <v>0</v>
      </c>
      <c r="DM268" s="560">
        <v>0</v>
      </c>
      <c r="DN268" s="560">
        <v>0</v>
      </c>
      <c r="DO268" s="560">
        <v>0</v>
      </c>
    </row>
    <row r="269" spans="1:119" hidden="1">
      <c r="A269" s="560" t="s">
        <v>1840</v>
      </c>
      <c r="B269" s="560" t="s">
        <v>1713</v>
      </c>
      <c r="C269" s="560" t="s">
        <v>794</v>
      </c>
      <c r="D269" s="560">
        <v>3</v>
      </c>
      <c r="E269" s="560">
        <v>770.17948200000001</v>
      </c>
      <c r="F269" s="560">
        <v>56.627515000000002</v>
      </c>
      <c r="G269" s="560">
        <v>7927.5</v>
      </c>
      <c r="H269" s="560">
        <v>139.9665</v>
      </c>
      <c r="I269" s="560">
        <v>0.90101900000000001</v>
      </c>
      <c r="J269" s="560">
        <v>0.35519099999999998</v>
      </c>
      <c r="K269" s="560">
        <v>0.37637900000000002</v>
      </c>
      <c r="L269" s="560">
        <v>0.59669099999999997</v>
      </c>
      <c r="M269" s="560">
        <v>33741.852786000003</v>
      </c>
      <c r="N269" s="560">
        <v>34937.217205000001</v>
      </c>
      <c r="O269" s="560">
        <v>13856.020925999999</v>
      </c>
      <c r="P269" s="560">
        <v>5245.174602</v>
      </c>
      <c r="Q269" s="560">
        <v>792.60100499999999</v>
      </c>
      <c r="R269" s="560">
        <v>3464.7777219999998</v>
      </c>
      <c r="S269" s="560">
        <v>1563.9764990000001</v>
      </c>
      <c r="T269" s="560">
        <v>1811.6755439999999</v>
      </c>
      <c r="U269" s="560">
        <v>429.98143800000003</v>
      </c>
      <c r="V269" s="560">
        <v>35.034162999999999</v>
      </c>
      <c r="W269" s="560">
        <v>8.2925599999999999</v>
      </c>
      <c r="X269" s="560">
        <v>0.1</v>
      </c>
      <c r="Y269" s="560">
        <v>42.410207</v>
      </c>
      <c r="Z269" s="560">
        <v>185.39206799999999</v>
      </c>
      <c r="AA269" s="560">
        <v>92518.128138999993</v>
      </c>
      <c r="AB269" s="560">
        <v>95233.821058999994</v>
      </c>
      <c r="AC269" s="560">
        <v>79021.356104000006</v>
      </c>
      <c r="AD269" s="560">
        <v>71236.768389000004</v>
      </c>
      <c r="AE269" s="560">
        <v>780.52759700000001</v>
      </c>
      <c r="AF269" s="560">
        <v>24296.059740000001</v>
      </c>
      <c r="AG269" s="560">
        <v>26651.635374000001</v>
      </c>
      <c r="AH269" s="560">
        <v>6322.9825129999999</v>
      </c>
      <c r="AI269" s="560">
        <v>78</v>
      </c>
      <c r="AJ269" s="560">
        <v>1661.6263019999999</v>
      </c>
      <c r="AK269" s="560">
        <v>3857.846235</v>
      </c>
      <c r="AL269" s="560">
        <v>200.75</v>
      </c>
      <c r="AM269" s="560">
        <v>0</v>
      </c>
      <c r="AN269" s="560">
        <v>0</v>
      </c>
      <c r="AO269" s="560">
        <v>0</v>
      </c>
      <c r="AP269" s="560">
        <v>0</v>
      </c>
      <c r="AQ269" s="560" t="s">
        <v>1840</v>
      </c>
      <c r="AR269" s="560" t="s">
        <v>1738</v>
      </c>
      <c r="AS269" s="560">
        <v>0</v>
      </c>
      <c r="AT269" s="560">
        <v>0</v>
      </c>
      <c r="AU269" s="560">
        <v>0</v>
      </c>
      <c r="AV269" s="560">
        <v>69</v>
      </c>
      <c r="AW269" s="560">
        <v>64</v>
      </c>
      <c r="AX269" s="560">
        <v>74</v>
      </c>
      <c r="AY269" s="560">
        <v>78</v>
      </c>
      <c r="AZ269" s="560">
        <v>1</v>
      </c>
      <c r="BA269" s="560">
        <v>3099</v>
      </c>
      <c r="BB269" s="560">
        <v>0</v>
      </c>
      <c r="BC269" s="560">
        <v>0.5</v>
      </c>
      <c r="BD269" s="560">
        <v>0</v>
      </c>
      <c r="BE269" s="560" t="s">
        <v>1799</v>
      </c>
      <c r="BF269" s="560">
        <v>3</v>
      </c>
      <c r="BG269" s="560">
        <v>17.399999999999999</v>
      </c>
      <c r="BH269" s="560">
        <v>1</v>
      </c>
      <c r="BI269" s="560">
        <v>2</v>
      </c>
      <c r="BJ269" s="560">
        <v>35</v>
      </c>
      <c r="BK269" s="560">
        <v>0</v>
      </c>
      <c r="BL269" s="560" t="s">
        <v>1747</v>
      </c>
      <c r="BM269" s="560">
        <v>0.02</v>
      </c>
      <c r="BN269" s="560">
        <v>0</v>
      </c>
      <c r="BO269" s="560">
        <v>6</v>
      </c>
      <c r="BP269" s="560" t="s">
        <v>1747</v>
      </c>
      <c r="BQ269" s="560">
        <v>0.03</v>
      </c>
      <c r="BR269" s="560">
        <v>60</v>
      </c>
      <c r="BS269" s="560">
        <v>6</v>
      </c>
      <c r="BT269" s="560">
        <v>5000</v>
      </c>
      <c r="BU269" s="560">
        <v>40100</v>
      </c>
      <c r="BV269" s="560">
        <v>200</v>
      </c>
      <c r="BW269" s="560">
        <v>30.609376350000002</v>
      </c>
      <c r="BX269" s="560">
        <v>2788</v>
      </c>
      <c r="BY269" s="560">
        <v>17.543859650000002</v>
      </c>
      <c r="BZ269" s="560">
        <v>1800</v>
      </c>
      <c r="CA269" s="560">
        <v>37.664196859999997</v>
      </c>
      <c r="CB269" s="560">
        <v>0.85</v>
      </c>
      <c r="CC269" s="560">
        <v>187.5</v>
      </c>
      <c r="CD269" s="560">
        <v>187.5</v>
      </c>
      <c r="CE269" s="560">
        <v>187.5</v>
      </c>
      <c r="CF269" s="560">
        <v>187.5</v>
      </c>
      <c r="CG269" s="560">
        <v>0.29299999999999998</v>
      </c>
      <c r="CH269" s="560">
        <v>0.3</v>
      </c>
      <c r="CI269" s="560">
        <v>0.54</v>
      </c>
      <c r="CJ269" s="560">
        <v>40</v>
      </c>
      <c r="CK269" s="560">
        <v>5</v>
      </c>
      <c r="CL269" s="560">
        <v>4</v>
      </c>
      <c r="CM269" s="562">
        <v>1600</v>
      </c>
      <c r="CN269" s="562">
        <v>164</v>
      </c>
      <c r="CO269" s="562">
        <v>30.609376350000002</v>
      </c>
      <c r="CP269" s="562">
        <v>0</v>
      </c>
      <c r="CQ269" s="562">
        <v>0</v>
      </c>
      <c r="CR269" s="562" t="s">
        <v>1718</v>
      </c>
      <c r="CS269" s="562">
        <v>0</v>
      </c>
      <c r="CT269" s="562">
        <v>0</v>
      </c>
      <c r="CU269" s="562">
        <v>0.75</v>
      </c>
      <c r="CV269" s="562">
        <v>0.5</v>
      </c>
      <c r="CW269" s="562">
        <v>17.856999999999999</v>
      </c>
      <c r="CX269" s="562">
        <v>6.5</v>
      </c>
      <c r="CY269" s="562">
        <v>17.856999999999999</v>
      </c>
      <c r="CZ269" s="560">
        <v>4678.3333329999996</v>
      </c>
      <c r="DA269" s="560">
        <v>26.5625</v>
      </c>
      <c r="DB269" s="560" t="s">
        <v>1719</v>
      </c>
      <c r="DC269" s="560">
        <v>50</v>
      </c>
      <c r="DD269" s="560">
        <v>4</v>
      </c>
      <c r="DE269" s="560" t="s">
        <v>1720</v>
      </c>
      <c r="DF269" s="560">
        <v>5</v>
      </c>
      <c r="DG269" s="560">
        <v>0</v>
      </c>
      <c r="DH269" s="560">
        <v>4.5</v>
      </c>
      <c r="DI269" s="560">
        <v>4.5</v>
      </c>
      <c r="DJ269" s="560">
        <v>0</v>
      </c>
      <c r="DK269" s="560">
        <v>0</v>
      </c>
      <c r="DL269" s="560">
        <v>0</v>
      </c>
      <c r="DM269" s="560">
        <v>0</v>
      </c>
      <c r="DN269" s="560">
        <v>0</v>
      </c>
      <c r="DO269" s="560">
        <v>0</v>
      </c>
    </row>
    <row r="270" spans="1:119" hidden="1">
      <c r="A270" s="560" t="s">
        <v>1841</v>
      </c>
      <c r="B270" s="560" t="s">
        <v>1713</v>
      </c>
      <c r="C270" s="560" t="s">
        <v>794</v>
      </c>
      <c r="D270" s="560">
        <v>3</v>
      </c>
      <c r="E270" s="560">
        <v>831.85139700000002</v>
      </c>
      <c r="F270" s="560">
        <v>57.192903999999999</v>
      </c>
      <c r="G270" s="560">
        <v>7927.5</v>
      </c>
      <c r="H270" s="560">
        <v>139.9665</v>
      </c>
      <c r="I270" s="560">
        <v>0.90101900000000001</v>
      </c>
      <c r="J270" s="560">
        <v>0.35580000000000001</v>
      </c>
      <c r="K270" s="560">
        <v>0.37020500000000001</v>
      </c>
      <c r="L270" s="560">
        <v>0.59705299999999994</v>
      </c>
      <c r="M270" s="560">
        <v>37031.959375999999</v>
      </c>
      <c r="N270" s="560">
        <v>38352.294672000004</v>
      </c>
      <c r="O270" s="560">
        <v>15726.211187000001</v>
      </c>
      <c r="P270" s="560">
        <v>6554.5229339999996</v>
      </c>
      <c r="Q270" s="560">
        <v>845.95712900000001</v>
      </c>
      <c r="R270" s="560">
        <v>3698.0187959999998</v>
      </c>
      <c r="S270" s="560">
        <v>1594.380251</v>
      </c>
      <c r="T270" s="560">
        <v>1842.0838719999999</v>
      </c>
      <c r="U270" s="560">
        <v>435.93749000000003</v>
      </c>
      <c r="V270" s="560">
        <v>33.695905000000003</v>
      </c>
      <c r="W270" s="560">
        <v>7.8959840000000003</v>
      </c>
      <c r="X270" s="560">
        <v>0.2</v>
      </c>
      <c r="Y270" s="560">
        <v>43.140546000000001</v>
      </c>
      <c r="Z270" s="560">
        <v>188.584676</v>
      </c>
      <c r="AA270" s="560">
        <v>96522.949974999996</v>
      </c>
      <c r="AB270" s="560">
        <v>99317.705721000006</v>
      </c>
      <c r="AC270" s="560">
        <v>83094.810442999995</v>
      </c>
      <c r="AD270" s="560">
        <v>75310.260190999994</v>
      </c>
      <c r="AE270" s="560">
        <v>780.52759700000001</v>
      </c>
      <c r="AF270" s="560">
        <v>25479.24654</v>
      </c>
      <c r="AG270" s="560">
        <v>27956.402942000001</v>
      </c>
      <c r="AH270" s="560">
        <v>6604.8415750000004</v>
      </c>
      <c r="AI270" s="560">
        <v>98</v>
      </c>
      <c r="AJ270" s="560">
        <v>1770.8724400000001</v>
      </c>
      <c r="AK270" s="560">
        <v>4117.085478</v>
      </c>
      <c r="AL270" s="560">
        <v>200.75</v>
      </c>
      <c r="AM270" s="560">
        <v>0</v>
      </c>
      <c r="AN270" s="560">
        <v>0</v>
      </c>
      <c r="AO270" s="560">
        <v>0</v>
      </c>
      <c r="AP270" s="560">
        <v>0</v>
      </c>
      <c r="AQ270" s="560" t="s">
        <v>1841</v>
      </c>
      <c r="AR270" s="560" t="s">
        <v>1738</v>
      </c>
      <c r="AS270" s="560">
        <v>0</v>
      </c>
      <c r="AT270" s="560">
        <v>0</v>
      </c>
      <c r="AU270" s="560">
        <v>0</v>
      </c>
      <c r="AV270" s="560">
        <v>69</v>
      </c>
      <c r="AW270" s="560">
        <v>64</v>
      </c>
      <c r="AX270" s="560">
        <v>74</v>
      </c>
      <c r="AY270" s="560">
        <v>78</v>
      </c>
      <c r="AZ270" s="560">
        <v>1</v>
      </c>
      <c r="BA270" s="560">
        <v>3099</v>
      </c>
      <c r="BB270" s="560">
        <v>0</v>
      </c>
      <c r="BC270" s="560">
        <v>0.5</v>
      </c>
      <c r="BD270" s="560">
        <v>0</v>
      </c>
      <c r="BE270" s="560" t="s">
        <v>1799</v>
      </c>
      <c r="BF270" s="560">
        <v>3</v>
      </c>
      <c r="BG270" s="560">
        <v>17.399999999999999</v>
      </c>
      <c r="BH270" s="560">
        <v>1</v>
      </c>
      <c r="BI270" s="560">
        <v>2</v>
      </c>
      <c r="BJ270" s="560">
        <v>35</v>
      </c>
      <c r="BK270" s="560">
        <v>0</v>
      </c>
      <c r="BL270" s="560" t="s">
        <v>1747</v>
      </c>
      <c r="BM270" s="560">
        <v>0.02</v>
      </c>
      <c r="BN270" s="560">
        <v>0</v>
      </c>
      <c r="BO270" s="560">
        <v>4.5</v>
      </c>
      <c r="BP270" s="560" t="s">
        <v>1747</v>
      </c>
      <c r="BQ270" s="560">
        <v>0.03</v>
      </c>
      <c r="BR270" s="560">
        <v>60</v>
      </c>
      <c r="BS270" s="560">
        <v>4.9000000000000004</v>
      </c>
      <c r="BT270" s="560">
        <v>5000</v>
      </c>
      <c r="BU270" s="560">
        <v>40100</v>
      </c>
      <c r="BV270" s="560">
        <v>200</v>
      </c>
      <c r="BW270" s="560">
        <v>26.8</v>
      </c>
      <c r="BX270" s="560">
        <v>2788</v>
      </c>
      <c r="BY270" s="560">
        <v>11.4</v>
      </c>
      <c r="BZ270" s="560">
        <v>1800</v>
      </c>
      <c r="CA270" s="560">
        <v>35</v>
      </c>
      <c r="CB270" s="560">
        <v>0.85</v>
      </c>
      <c r="CC270" s="560">
        <v>187.5</v>
      </c>
      <c r="CD270" s="560">
        <v>187.5</v>
      </c>
      <c r="CE270" s="560">
        <v>187.5</v>
      </c>
      <c r="CF270" s="560">
        <v>187.5</v>
      </c>
      <c r="CG270" s="560">
        <v>0.29299999999999998</v>
      </c>
      <c r="CH270" s="560">
        <v>0.3</v>
      </c>
      <c r="CI270" s="560">
        <v>0.54</v>
      </c>
      <c r="CJ270" s="560">
        <v>40</v>
      </c>
      <c r="CK270" s="560">
        <v>5</v>
      </c>
      <c r="CL270" s="560">
        <v>4</v>
      </c>
      <c r="CM270" s="562">
        <v>1600</v>
      </c>
      <c r="CN270" s="562">
        <v>164</v>
      </c>
      <c r="CO270" s="562">
        <v>26.8</v>
      </c>
      <c r="CP270" s="562">
        <v>0</v>
      </c>
      <c r="CQ270" s="562">
        <v>0</v>
      </c>
      <c r="CR270" s="562" t="s">
        <v>1718</v>
      </c>
      <c r="CS270" s="562">
        <v>0</v>
      </c>
      <c r="CT270" s="562">
        <v>0</v>
      </c>
      <c r="CU270" s="562">
        <v>0.75</v>
      </c>
      <c r="CV270" s="562">
        <v>0.5</v>
      </c>
      <c r="CW270" s="562">
        <v>17.856999999999999</v>
      </c>
      <c r="CX270" s="562">
        <v>6.5</v>
      </c>
      <c r="CY270" s="562">
        <v>17.856999999999999</v>
      </c>
      <c r="CZ270" s="560">
        <v>4678.3333329999996</v>
      </c>
      <c r="DA270" s="560">
        <v>26.5625</v>
      </c>
      <c r="DB270" s="560" t="s">
        <v>1719</v>
      </c>
      <c r="DC270" s="560">
        <v>50</v>
      </c>
      <c r="DD270" s="560">
        <v>4</v>
      </c>
      <c r="DE270" s="560" t="s">
        <v>1720</v>
      </c>
      <c r="DF270" s="560">
        <v>5</v>
      </c>
      <c r="DG270" s="560">
        <v>0</v>
      </c>
      <c r="DH270" s="560">
        <v>4.5</v>
      </c>
      <c r="DI270" s="560">
        <v>4.5</v>
      </c>
      <c r="DJ270" s="560">
        <v>0</v>
      </c>
      <c r="DK270" s="560">
        <v>0</v>
      </c>
      <c r="DL270" s="560">
        <v>0</v>
      </c>
      <c r="DM270" s="560">
        <v>0</v>
      </c>
      <c r="DN270" s="560">
        <v>0</v>
      </c>
      <c r="DO270" s="560">
        <v>0</v>
      </c>
    </row>
    <row r="271" spans="1:119">
      <c r="CM271" s="562"/>
      <c r="CN271" s="562"/>
      <c r="CO271" s="562"/>
      <c r="CP271" s="562"/>
      <c r="CQ271" s="562"/>
      <c r="CR271" s="562"/>
      <c r="CS271" s="562"/>
      <c r="CT271" s="562"/>
      <c r="CU271" s="562"/>
      <c r="CV271" s="562"/>
      <c r="CW271" s="562"/>
      <c r="CX271" s="562"/>
      <c r="CY271" s="562"/>
    </row>
    <row r="273" spans="91:103">
      <c r="CM273" s="562"/>
      <c r="CN273" s="562"/>
      <c r="CO273" s="562"/>
      <c r="CP273" s="562"/>
      <c r="CQ273" s="562"/>
      <c r="CR273" s="562"/>
      <c r="CS273" s="562"/>
      <c r="CT273" s="562"/>
      <c r="CU273" s="562"/>
      <c r="CV273" s="562"/>
      <c r="CW273" s="562"/>
      <c r="CX273" s="562"/>
      <c r="CY273" s="562"/>
    </row>
    <row r="274" spans="91:103">
      <c r="CM274" s="562"/>
      <c r="CN274" s="562"/>
      <c r="CO274" s="562"/>
      <c r="CP274" s="562"/>
      <c r="CQ274" s="562"/>
      <c r="CR274" s="562"/>
      <c r="CS274" s="562"/>
      <c r="CT274" s="562"/>
      <c r="CU274" s="562"/>
      <c r="CV274" s="562"/>
      <c r="CW274" s="562"/>
      <c r="CX274" s="562"/>
      <c r="CY274" s="562"/>
    </row>
    <row r="275" spans="91:103">
      <c r="CM275" s="562"/>
      <c r="CN275" s="562"/>
      <c r="CO275" s="562"/>
      <c r="CP275" s="562"/>
      <c r="CQ275" s="562"/>
      <c r="CR275" s="562"/>
      <c r="CS275" s="562"/>
      <c r="CT275" s="562"/>
      <c r="CU275" s="562"/>
      <c r="CV275" s="562"/>
      <c r="CW275" s="562"/>
      <c r="CX275" s="562"/>
      <c r="CY275" s="562"/>
    </row>
    <row r="276" spans="91:103">
      <c r="CM276" s="562"/>
      <c r="CN276" s="562"/>
      <c r="CO276" s="562"/>
      <c r="CP276" s="562"/>
      <c r="CQ276" s="562"/>
      <c r="CR276" s="562"/>
      <c r="CS276" s="562"/>
      <c r="CT276" s="562"/>
      <c r="CU276" s="562"/>
      <c r="CV276" s="562"/>
      <c r="CW276" s="562"/>
      <c r="CX276" s="562"/>
      <c r="CY276" s="562"/>
    </row>
    <row r="277" spans="91:103">
      <c r="CM277" s="562"/>
      <c r="CN277" s="562"/>
      <c r="CO277" s="562"/>
      <c r="CP277" s="562"/>
      <c r="CQ277" s="562"/>
      <c r="CR277" s="562"/>
      <c r="CS277" s="562"/>
      <c r="CT277" s="562"/>
      <c r="CU277" s="562"/>
      <c r="CV277" s="562"/>
      <c r="CW277" s="562"/>
      <c r="CX277" s="562"/>
      <c r="CY277" s="562"/>
    </row>
    <row r="278" spans="91:103">
      <c r="CM278" s="562"/>
      <c r="CN278" s="562"/>
      <c r="CO278" s="562"/>
      <c r="CP278" s="562"/>
      <c r="CQ278" s="562"/>
      <c r="CR278" s="562"/>
      <c r="CS278" s="562"/>
      <c r="CT278" s="562"/>
      <c r="CU278" s="562"/>
      <c r="CV278" s="562"/>
      <c r="CW278" s="562"/>
      <c r="CX278" s="562"/>
      <c r="CY278" s="562"/>
    </row>
    <row r="279" spans="91:103">
      <c r="CM279" s="562"/>
      <c r="CN279" s="562"/>
      <c r="CO279" s="562"/>
      <c r="CP279" s="562"/>
      <c r="CQ279" s="562"/>
      <c r="CR279" s="562"/>
      <c r="CS279" s="562"/>
      <c r="CT279" s="562"/>
      <c r="CU279" s="562"/>
      <c r="CV279" s="562"/>
      <c r="CW279" s="562"/>
      <c r="CX279" s="562"/>
      <c r="CY279" s="562"/>
    </row>
    <row r="280" spans="91:103">
      <c r="CM280" s="562"/>
      <c r="CN280" s="562"/>
      <c r="CO280" s="562"/>
      <c r="CP280" s="562"/>
      <c r="CQ280" s="562"/>
      <c r="CR280" s="562"/>
      <c r="CS280" s="562"/>
      <c r="CT280" s="562"/>
      <c r="CU280" s="562"/>
      <c r="CV280" s="562"/>
      <c r="CW280" s="562"/>
      <c r="CX280" s="562"/>
      <c r="CY280" s="562"/>
    </row>
    <row r="281" spans="91:103">
      <c r="CM281" s="562"/>
      <c r="CN281" s="562"/>
      <c r="CO281" s="562"/>
      <c r="CP281" s="562"/>
      <c r="CQ281" s="562"/>
      <c r="CR281" s="562"/>
      <c r="CS281" s="562"/>
      <c r="CT281" s="562"/>
      <c r="CU281" s="562"/>
      <c r="CV281" s="562"/>
      <c r="CW281" s="562"/>
      <c r="CX281" s="562"/>
      <c r="CY281" s="562"/>
    </row>
    <row r="282" spans="91:103">
      <c r="CM282" s="562"/>
      <c r="CN282" s="562"/>
      <c r="CO282" s="562"/>
      <c r="CP282" s="562"/>
      <c r="CQ282" s="562"/>
      <c r="CR282" s="562"/>
      <c r="CS282" s="562"/>
      <c r="CT282" s="562"/>
      <c r="CU282" s="562"/>
      <c r="CV282" s="562"/>
      <c r="CW282" s="562"/>
      <c r="CX282" s="562"/>
      <c r="CY282" s="562"/>
    </row>
    <row r="283" spans="91:103">
      <c r="CM283" s="562"/>
      <c r="CN283" s="562"/>
      <c r="CO283" s="562"/>
      <c r="CP283" s="562"/>
      <c r="CQ283" s="562"/>
      <c r="CR283" s="562"/>
      <c r="CS283" s="562"/>
      <c r="CT283" s="562"/>
      <c r="CU283" s="562"/>
      <c r="CV283" s="562"/>
      <c r="CW283" s="562"/>
      <c r="CX283" s="562"/>
      <c r="CY283" s="562"/>
    </row>
    <row r="284" spans="91:103">
      <c r="CM284" s="562"/>
      <c r="CN284" s="562"/>
      <c r="CO284" s="562"/>
      <c r="CP284" s="562"/>
      <c r="CQ284" s="562"/>
      <c r="CR284" s="562"/>
      <c r="CS284" s="562"/>
      <c r="CT284" s="562"/>
      <c r="CU284" s="562"/>
      <c r="CV284" s="562"/>
      <c r="CW284" s="562"/>
      <c r="CX284" s="562"/>
      <c r="CY284" s="562"/>
    </row>
    <row r="285" spans="91:103">
      <c r="CM285" s="562"/>
      <c r="CN285" s="562"/>
      <c r="CO285" s="562"/>
      <c r="CP285" s="562"/>
      <c r="CQ285" s="562"/>
      <c r="CR285" s="562"/>
      <c r="CS285" s="562"/>
      <c r="CT285" s="562"/>
      <c r="CU285" s="562"/>
      <c r="CV285" s="562"/>
      <c r="CW285" s="562"/>
      <c r="CX285" s="562"/>
      <c r="CY285" s="562"/>
    </row>
    <row r="286" spans="91:103">
      <c r="CM286" s="562"/>
      <c r="CN286" s="562"/>
      <c r="CO286" s="562"/>
      <c r="CP286" s="562"/>
      <c r="CQ286" s="562"/>
      <c r="CR286" s="562"/>
      <c r="CS286" s="562"/>
      <c r="CT286" s="562"/>
      <c r="CU286" s="562"/>
      <c r="CV286" s="562"/>
      <c r="CW286" s="562"/>
      <c r="CX286" s="562"/>
      <c r="CY286" s="562"/>
    </row>
    <row r="287" spans="91:103">
      <c r="CM287" s="562"/>
      <c r="CN287" s="562"/>
      <c r="CO287" s="562"/>
      <c r="CP287" s="562"/>
      <c r="CQ287" s="562"/>
      <c r="CR287" s="562"/>
      <c r="CS287" s="562"/>
      <c r="CT287" s="562"/>
      <c r="CU287" s="562"/>
      <c r="CV287" s="562"/>
      <c r="CW287" s="562"/>
      <c r="CX287" s="562"/>
      <c r="CY287" s="562"/>
    </row>
    <row r="288" spans="91:103">
      <c r="CM288" s="562"/>
      <c r="CN288" s="562"/>
      <c r="CO288" s="562"/>
      <c r="CP288" s="562"/>
      <c r="CQ288" s="562"/>
      <c r="CR288" s="562"/>
      <c r="CS288" s="562"/>
      <c r="CT288" s="562"/>
      <c r="CU288" s="562"/>
      <c r="CV288" s="562"/>
      <c r="CW288" s="562"/>
      <c r="CX288" s="562"/>
      <c r="CY288" s="562"/>
    </row>
    <row r="289" spans="91:103">
      <c r="CM289" s="562"/>
      <c r="CN289" s="562"/>
      <c r="CO289" s="562"/>
      <c r="CP289" s="562"/>
      <c r="CQ289" s="562"/>
      <c r="CR289" s="562"/>
      <c r="CS289" s="562"/>
      <c r="CT289" s="562"/>
      <c r="CU289" s="562"/>
      <c r="CV289" s="562"/>
      <c r="CW289" s="562"/>
      <c r="CX289" s="562"/>
      <c r="CY289" s="562"/>
    </row>
    <row r="290" spans="91:103">
      <c r="CM290" s="562"/>
      <c r="CN290" s="562"/>
      <c r="CO290" s="562"/>
      <c r="CP290" s="562"/>
      <c r="CQ290" s="562"/>
      <c r="CR290" s="562"/>
      <c r="CS290" s="562"/>
      <c r="CT290" s="562"/>
      <c r="CU290" s="562"/>
      <c r="CV290" s="562"/>
      <c r="CW290" s="562"/>
      <c r="CX290" s="562"/>
      <c r="CY290" s="562"/>
    </row>
    <row r="291" spans="91:103">
      <c r="CM291" s="562"/>
      <c r="CN291" s="562"/>
      <c r="CO291" s="562"/>
      <c r="CP291" s="562"/>
      <c r="CQ291" s="562"/>
      <c r="CR291" s="562"/>
      <c r="CS291" s="562"/>
      <c r="CT291" s="562"/>
      <c r="CU291" s="562"/>
      <c r="CV291" s="562"/>
      <c r="CW291" s="562"/>
      <c r="CX291" s="562"/>
      <c r="CY291" s="562"/>
    </row>
    <row r="292" spans="91:103">
      <c r="CM292" s="562"/>
      <c r="CN292" s="562"/>
      <c r="CO292" s="562"/>
      <c r="CP292" s="562"/>
      <c r="CQ292" s="562"/>
      <c r="CR292" s="562"/>
      <c r="CS292" s="562"/>
      <c r="CT292" s="562"/>
      <c r="CU292" s="562"/>
      <c r="CV292" s="562"/>
      <c r="CW292" s="562"/>
      <c r="CX292" s="562"/>
      <c r="CY292" s="562"/>
    </row>
    <row r="293" spans="91:103">
      <c r="CM293" s="562"/>
      <c r="CN293" s="562"/>
      <c r="CO293" s="562"/>
      <c r="CP293" s="562"/>
      <c r="CQ293" s="562"/>
      <c r="CR293" s="562"/>
      <c r="CS293" s="562"/>
      <c r="CT293" s="562"/>
      <c r="CU293" s="562"/>
      <c r="CV293" s="562"/>
      <c r="CW293" s="562"/>
      <c r="CX293" s="562"/>
      <c r="CY293" s="562"/>
    </row>
    <row r="294" spans="91:103">
      <c r="CM294" s="562"/>
      <c r="CN294" s="562"/>
      <c r="CO294" s="562"/>
      <c r="CP294" s="562"/>
      <c r="CQ294" s="562"/>
      <c r="CR294" s="562"/>
      <c r="CS294" s="562"/>
      <c r="CT294" s="562"/>
      <c r="CU294" s="562"/>
      <c r="CV294" s="562"/>
      <c r="CW294" s="562"/>
      <c r="CX294" s="562"/>
      <c r="CY294" s="562"/>
    </row>
    <row r="295" spans="91:103">
      <c r="CM295" s="562"/>
      <c r="CN295" s="562"/>
      <c r="CO295" s="562"/>
      <c r="CP295" s="562"/>
      <c r="CQ295" s="562"/>
      <c r="CR295" s="562"/>
      <c r="CS295" s="562"/>
      <c r="CT295" s="562"/>
      <c r="CU295" s="562"/>
      <c r="CV295" s="562"/>
      <c r="CW295" s="562"/>
      <c r="CX295" s="562"/>
      <c r="CY295" s="562"/>
    </row>
    <row r="296" spans="91:103">
      <c r="CM296" s="562"/>
      <c r="CN296" s="562"/>
      <c r="CO296" s="562"/>
      <c r="CP296" s="562"/>
      <c r="CQ296" s="562"/>
      <c r="CR296" s="562"/>
      <c r="CS296" s="562"/>
      <c r="CT296" s="562"/>
      <c r="CU296" s="562"/>
      <c r="CV296" s="562"/>
      <c r="CW296" s="562"/>
      <c r="CX296" s="562"/>
      <c r="CY296" s="562"/>
    </row>
    <row r="297" spans="91:103">
      <c r="CM297" s="562"/>
      <c r="CN297" s="562"/>
      <c r="CO297" s="562"/>
      <c r="CP297" s="562"/>
      <c r="CQ297" s="562"/>
      <c r="CR297" s="562"/>
      <c r="CS297" s="562"/>
      <c r="CT297" s="562"/>
      <c r="CU297" s="562"/>
      <c r="CV297" s="562"/>
      <c r="CW297" s="562"/>
      <c r="CX297" s="562"/>
      <c r="CY297" s="562"/>
    </row>
    <row r="298" spans="91:103">
      <c r="CM298" s="562"/>
      <c r="CN298" s="562"/>
      <c r="CO298" s="562"/>
      <c r="CP298" s="562"/>
      <c r="CQ298" s="562"/>
      <c r="CR298" s="562"/>
      <c r="CS298" s="562"/>
      <c r="CT298" s="562"/>
      <c r="CU298" s="562"/>
      <c r="CV298" s="562"/>
      <c r="CW298" s="562"/>
      <c r="CX298" s="562"/>
      <c r="CY298" s="562"/>
    </row>
    <row r="299" spans="91:103">
      <c r="CM299" s="562"/>
      <c r="CN299" s="562"/>
      <c r="CO299" s="562"/>
      <c r="CP299" s="562"/>
      <c r="CQ299" s="562"/>
      <c r="CR299" s="562"/>
      <c r="CS299" s="562"/>
      <c r="CT299" s="562"/>
      <c r="CU299" s="562"/>
      <c r="CV299" s="562"/>
      <c r="CW299" s="562"/>
      <c r="CX299" s="562"/>
      <c r="CY299" s="562"/>
    </row>
    <row r="300" spans="91:103">
      <c r="CM300" s="562"/>
      <c r="CN300" s="562"/>
      <c r="CO300" s="562"/>
      <c r="CP300" s="562"/>
      <c r="CQ300" s="562"/>
      <c r="CR300" s="562"/>
      <c r="CS300" s="562"/>
      <c r="CT300" s="562"/>
      <c r="CU300" s="562"/>
      <c r="CV300" s="562"/>
      <c r="CW300" s="562"/>
      <c r="CX300" s="562"/>
      <c r="CY300" s="562"/>
    </row>
    <row r="301" spans="91:103">
      <c r="CM301" s="562"/>
      <c r="CN301" s="562"/>
      <c r="CO301" s="562"/>
      <c r="CP301" s="562"/>
      <c r="CQ301" s="562"/>
      <c r="CR301" s="562"/>
      <c r="CS301" s="562"/>
      <c r="CT301" s="562"/>
      <c r="CU301" s="562"/>
      <c r="CV301" s="562"/>
      <c r="CW301" s="562"/>
      <c r="CX301" s="562"/>
      <c r="CY301" s="562"/>
    </row>
    <row r="302" spans="91:103">
      <c r="CM302" s="562"/>
      <c r="CN302" s="562"/>
      <c r="CO302" s="562"/>
      <c r="CP302" s="562"/>
      <c r="CQ302" s="562"/>
      <c r="CR302" s="562"/>
      <c r="CS302" s="562"/>
      <c r="CT302" s="562"/>
      <c r="CU302" s="562"/>
      <c r="CV302" s="562"/>
      <c r="CW302" s="562"/>
      <c r="CX302" s="562"/>
      <c r="CY302" s="562"/>
    </row>
    <row r="303" spans="91:103">
      <c r="CM303" s="562"/>
      <c r="CN303" s="562"/>
      <c r="CO303" s="562"/>
      <c r="CP303" s="562"/>
      <c r="CQ303" s="562"/>
      <c r="CR303" s="562"/>
      <c r="CS303" s="562"/>
      <c r="CT303" s="562"/>
      <c r="CU303" s="562"/>
      <c r="CV303" s="562"/>
      <c r="CW303" s="562"/>
      <c r="CX303" s="562"/>
      <c r="CY303" s="562"/>
    </row>
    <row r="304" spans="91:103">
      <c r="CM304" s="562"/>
      <c r="CN304" s="562"/>
      <c r="CO304" s="562"/>
      <c r="CP304" s="562"/>
      <c r="CQ304" s="562"/>
      <c r="CR304" s="562"/>
      <c r="CS304" s="562"/>
      <c r="CT304" s="562"/>
      <c r="CU304" s="562"/>
      <c r="CV304" s="562"/>
      <c r="CW304" s="562"/>
      <c r="CX304" s="562"/>
      <c r="CY304" s="562"/>
    </row>
    <row r="305" spans="91:103">
      <c r="CM305" s="562"/>
      <c r="CN305" s="562"/>
      <c r="CO305" s="562"/>
      <c r="CP305" s="562"/>
      <c r="CQ305" s="562"/>
      <c r="CR305" s="562"/>
      <c r="CS305" s="562"/>
      <c r="CT305" s="562"/>
      <c r="CU305" s="562"/>
      <c r="CV305" s="562"/>
      <c r="CW305" s="562"/>
      <c r="CX305" s="562"/>
      <c r="CY305" s="562"/>
    </row>
    <row r="306" spans="91:103">
      <c r="CM306" s="562"/>
      <c r="CN306" s="562"/>
      <c r="CO306" s="562"/>
      <c r="CP306" s="562"/>
      <c r="CQ306" s="562"/>
      <c r="CR306" s="562"/>
      <c r="CS306" s="562"/>
      <c r="CT306" s="562"/>
      <c r="CU306" s="562"/>
      <c r="CV306" s="562"/>
      <c r="CW306" s="562"/>
      <c r="CX306" s="562"/>
      <c r="CY306" s="562"/>
    </row>
    <row r="307" spans="91:103">
      <c r="CM307" s="562"/>
      <c r="CN307" s="562"/>
      <c r="CO307" s="562"/>
      <c r="CP307" s="562"/>
      <c r="CQ307" s="562"/>
      <c r="CR307" s="562"/>
      <c r="CS307" s="562"/>
      <c r="CT307" s="562"/>
      <c r="CU307" s="562"/>
      <c r="CV307" s="562"/>
      <c r="CW307" s="562"/>
      <c r="CX307" s="562"/>
      <c r="CY307" s="562"/>
    </row>
    <row r="308" spans="91:103">
      <c r="CM308" s="562"/>
      <c r="CN308" s="562"/>
      <c r="CO308" s="562"/>
      <c r="CP308" s="562"/>
      <c r="CQ308" s="562"/>
      <c r="CR308" s="562"/>
      <c r="CS308" s="562"/>
      <c r="CT308" s="562"/>
      <c r="CU308" s="562"/>
      <c r="CV308" s="562"/>
      <c r="CW308" s="562"/>
      <c r="CX308" s="562"/>
      <c r="CY308" s="562"/>
    </row>
    <row r="309" spans="91:103">
      <c r="CM309" s="562"/>
      <c r="CN309" s="562"/>
      <c r="CO309" s="562"/>
      <c r="CP309" s="562"/>
      <c r="CQ309" s="562"/>
      <c r="CR309" s="562"/>
      <c r="CS309" s="562"/>
      <c r="CT309" s="562"/>
      <c r="CU309" s="562"/>
      <c r="CV309" s="562"/>
      <c r="CW309" s="562"/>
      <c r="CX309" s="562"/>
      <c r="CY309" s="562"/>
    </row>
    <row r="310" spans="91:103">
      <c r="CM310" s="562"/>
      <c r="CN310" s="562"/>
      <c r="CO310" s="562"/>
      <c r="CP310" s="562"/>
      <c r="CQ310" s="562"/>
      <c r="CR310" s="562"/>
      <c r="CS310" s="562"/>
      <c r="CT310" s="562"/>
      <c r="CU310" s="562"/>
      <c r="CV310" s="562"/>
      <c r="CW310" s="562"/>
      <c r="CX310" s="562"/>
      <c r="CY310" s="562"/>
    </row>
    <row r="311" spans="91:103">
      <c r="CM311" s="562"/>
      <c r="CN311" s="562"/>
      <c r="CO311" s="562"/>
      <c r="CP311" s="562"/>
      <c r="CQ311" s="562"/>
      <c r="CR311" s="562"/>
      <c r="CS311" s="562"/>
      <c r="CT311" s="562"/>
      <c r="CU311" s="562"/>
      <c r="CV311" s="562"/>
      <c r="CW311" s="562"/>
      <c r="CX311" s="562"/>
      <c r="CY311" s="562"/>
    </row>
    <row r="312" spans="91:103">
      <c r="CM312" s="562"/>
      <c r="CN312" s="562"/>
      <c r="CO312" s="562"/>
      <c r="CP312" s="562"/>
      <c r="CQ312" s="562"/>
      <c r="CR312" s="562"/>
      <c r="CS312" s="562"/>
      <c r="CT312" s="562"/>
      <c r="CU312" s="562"/>
      <c r="CV312" s="562"/>
      <c r="CW312" s="562"/>
      <c r="CX312" s="562"/>
      <c r="CY312" s="562"/>
    </row>
    <row r="313" spans="91:103">
      <c r="CM313" s="562"/>
      <c r="CN313" s="562"/>
      <c r="CO313" s="562"/>
      <c r="CP313" s="562"/>
      <c r="CQ313" s="562"/>
      <c r="CR313" s="562"/>
      <c r="CS313" s="562"/>
      <c r="CT313" s="562"/>
      <c r="CU313" s="562"/>
      <c r="CV313" s="562"/>
      <c r="CW313" s="562"/>
      <c r="CX313" s="562"/>
      <c r="CY313" s="562"/>
    </row>
    <row r="314" spans="91:103">
      <c r="CM314" s="562"/>
      <c r="CN314" s="562"/>
      <c r="CO314" s="562"/>
      <c r="CP314" s="562"/>
      <c r="CQ314" s="562"/>
      <c r="CR314" s="562"/>
      <c r="CS314" s="562"/>
      <c r="CT314" s="562"/>
      <c r="CU314" s="562"/>
      <c r="CV314" s="562"/>
      <c r="CW314" s="562"/>
      <c r="CX314" s="562"/>
      <c r="CY314" s="562"/>
    </row>
    <row r="315" spans="91:103">
      <c r="CM315" s="562"/>
      <c r="CN315" s="562"/>
      <c r="CO315" s="562"/>
      <c r="CP315" s="562"/>
      <c r="CQ315" s="562"/>
      <c r="CR315" s="562"/>
      <c r="CS315" s="562"/>
      <c r="CT315" s="562"/>
      <c r="CU315" s="562"/>
      <c r="CV315" s="562"/>
      <c r="CW315" s="562"/>
      <c r="CX315" s="562"/>
      <c r="CY315" s="562"/>
    </row>
    <row r="316" spans="91:103">
      <c r="CM316" s="562"/>
      <c r="CN316" s="562"/>
      <c r="CO316" s="562"/>
      <c r="CP316" s="562"/>
      <c r="CQ316" s="562"/>
      <c r="CR316" s="562"/>
      <c r="CS316" s="562"/>
      <c r="CT316" s="562"/>
      <c r="CU316" s="562"/>
      <c r="CV316" s="562"/>
      <c r="CW316" s="562"/>
      <c r="CX316" s="562"/>
      <c r="CY316" s="562"/>
    </row>
    <row r="317" spans="91:103">
      <c r="CM317" s="562"/>
      <c r="CN317" s="562"/>
      <c r="CO317" s="562"/>
      <c r="CP317" s="562"/>
      <c r="CQ317" s="562"/>
      <c r="CR317" s="562"/>
      <c r="CS317" s="562"/>
      <c r="CT317" s="562"/>
      <c r="CU317" s="562"/>
      <c r="CV317" s="562"/>
      <c r="CW317" s="562"/>
      <c r="CX317" s="562"/>
      <c r="CY317" s="562"/>
    </row>
    <row r="318" spans="91:103">
      <c r="CM318" s="562"/>
      <c r="CN318" s="562"/>
      <c r="CO318" s="562"/>
      <c r="CP318" s="562"/>
      <c r="CQ318" s="562"/>
      <c r="CR318" s="562"/>
      <c r="CS318" s="562"/>
      <c r="CT318" s="562"/>
      <c r="CU318" s="562"/>
      <c r="CV318" s="562"/>
      <c r="CW318" s="562"/>
      <c r="CX318" s="562"/>
      <c r="CY318" s="562"/>
    </row>
    <row r="319" spans="91:103">
      <c r="CM319" s="562"/>
      <c r="CN319" s="562"/>
      <c r="CO319" s="562"/>
      <c r="CP319" s="562"/>
      <c r="CQ319" s="562"/>
      <c r="CR319" s="562"/>
      <c r="CS319" s="562"/>
      <c r="CT319" s="562"/>
      <c r="CU319" s="562"/>
      <c r="CV319" s="562"/>
      <c r="CW319" s="562"/>
      <c r="CX319" s="562"/>
      <c r="CY319" s="562"/>
    </row>
    <row r="320" spans="91:103">
      <c r="CM320" s="562"/>
      <c r="CN320" s="562"/>
      <c r="CO320" s="562"/>
      <c r="CP320" s="562"/>
      <c r="CQ320" s="562"/>
      <c r="CR320" s="562"/>
      <c r="CS320" s="562"/>
      <c r="CT320" s="562"/>
      <c r="CU320" s="562"/>
      <c r="CV320" s="562"/>
      <c r="CW320" s="562"/>
      <c r="CX320" s="562"/>
      <c r="CY320" s="562"/>
    </row>
    <row r="321" spans="91:103">
      <c r="CM321" s="562"/>
      <c r="CN321" s="562"/>
      <c r="CO321" s="562"/>
      <c r="CP321" s="562"/>
      <c r="CQ321" s="562"/>
      <c r="CR321" s="562"/>
      <c r="CS321" s="562"/>
      <c r="CT321" s="562"/>
      <c r="CU321" s="562"/>
      <c r="CV321" s="562"/>
      <c r="CW321" s="562"/>
      <c r="CX321" s="562"/>
      <c r="CY321" s="562"/>
    </row>
    <row r="322" spans="91:103">
      <c r="CM322" s="562"/>
      <c r="CN322" s="562"/>
      <c r="CO322" s="562"/>
      <c r="CP322" s="562"/>
      <c r="CQ322" s="562"/>
      <c r="CR322" s="562"/>
      <c r="CS322" s="562"/>
      <c r="CT322" s="562"/>
      <c r="CU322" s="562"/>
      <c r="CV322" s="562"/>
      <c r="CW322" s="562"/>
      <c r="CX322" s="562"/>
      <c r="CY322" s="562"/>
    </row>
    <row r="323" spans="91:103">
      <c r="CM323" s="562"/>
      <c r="CN323" s="562"/>
      <c r="CO323" s="562"/>
      <c r="CP323" s="562"/>
      <c r="CQ323" s="562"/>
      <c r="CR323" s="562"/>
      <c r="CS323" s="562"/>
      <c r="CT323" s="562"/>
      <c r="CU323" s="562"/>
      <c r="CV323" s="562"/>
      <c r="CW323" s="562"/>
      <c r="CX323" s="562"/>
      <c r="CY323" s="562"/>
    </row>
    <row r="324" spans="91:103">
      <c r="CM324" s="562"/>
      <c r="CN324" s="562"/>
      <c r="CO324" s="562"/>
      <c r="CP324" s="562"/>
      <c r="CQ324" s="562"/>
      <c r="CR324" s="562"/>
      <c r="CS324" s="562"/>
      <c r="CT324" s="562"/>
      <c r="CU324" s="562"/>
      <c r="CV324" s="562"/>
      <c r="CW324" s="562"/>
      <c r="CX324" s="562"/>
      <c r="CY324" s="562"/>
    </row>
    <row r="325" spans="91:103">
      <c r="CM325" s="562"/>
      <c r="CN325" s="562"/>
      <c r="CO325" s="562"/>
      <c r="CP325" s="562"/>
      <c r="CQ325" s="562"/>
      <c r="CR325" s="562"/>
      <c r="CS325" s="562"/>
      <c r="CT325" s="562"/>
      <c r="CU325" s="562"/>
      <c r="CV325" s="562"/>
      <c r="CW325" s="562"/>
      <c r="CX325" s="562"/>
      <c r="CY325" s="562"/>
    </row>
    <row r="326" spans="91:103">
      <c r="CM326" s="562"/>
      <c r="CN326" s="562"/>
      <c r="CO326" s="562"/>
      <c r="CP326" s="562"/>
      <c r="CQ326" s="562"/>
      <c r="CR326" s="562"/>
      <c r="CS326" s="562"/>
      <c r="CT326" s="562"/>
      <c r="CU326" s="562"/>
      <c r="CV326" s="562"/>
      <c r="CW326" s="562"/>
      <c r="CX326" s="562"/>
      <c r="CY326" s="562"/>
    </row>
    <row r="327" spans="91:103">
      <c r="CM327" s="562"/>
      <c r="CN327" s="562"/>
      <c r="CO327" s="562"/>
      <c r="CP327" s="562"/>
      <c r="CQ327" s="562"/>
      <c r="CR327" s="562"/>
      <c r="CS327" s="562"/>
      <c r="CT327" s="562"/>
      <c r="CU327" s="562"/>
      <c r="CV327" s="562"/>
      <c r="CW327" s="562"/>
      <c r="CX327" s="562"/>
      <c r="CY327" s="562"/>
    </row>
    <row r="328" spans="91:103">
      <c r="CM328" s="562"/>
      <c r="CN328" s="562"/>
      <c r="CO328" s="562"/>
      <c r="CP328" s="562"/>
      <c r="CQ328" s="562"/>
      <c r="CR328" s="562"/>
      <c r="CS328" s="562"/>
      <c r="CT328" s="562"/>
      <c r="CU328" s="562"/>
      <c r="CV328" s="562"/>
      <c r="CW328" s="562"/>
      <c r="CX328" s="562"/>
      <c r="CY328" s="562"/>
    </row>
    <row r="329" spans="91:103">
      <c r="CM329" s="562"/>
      <c r="CN329" s="562"/>
      <c r="CO329" s="562"/>
      <c r="CP329" s="562"/>
      <c r="CQ329" s="562"/>
      <c r="CR329" s="562"/>
      <c r="CS329" s="562"/>
      <c r="CT329" s="562"/>
      <c r="CU329" s="562"/>
      <c r="CV329" s="562"/>
      <c r="CW329" s="562"/>
      <c r="CX329" s="562"/>
      <c r="CY329" s="562"/>
    </row>
    <row r="330" spans="91:103">
      <c r="CM330" s="562"/>
      <c r="CN330" s="562"/>
      <c r="CO330" s="562"/>
      <c r="CP330" s="562"/>
      <c r="CQ330" s="562"/>
      <c r="CR330" s="562"/>
      <c r="CS330" s="562"/>
      <c r="CT330" s="562"/>
      <c r="CU330" s="562"/>
      <c r="CV330" s="562"/>
      <c r="CW330" s="562"/>
      <c r="CX330" s="562"/>
      <c r="CY330" s="562"/>
    </row>
    <row r="331" spans="91:103">
      <c r="CM331" s="562"/>
      <c r="CN331" s="562"/>
      <c r="CO331" s="562"/>
      <c r="CP331" s="562"/>
      <c r="CQ331" s="562"/>
      <c r="CR331" s="562"/>
      <c r="CS331" s="562"/>
      <c r="CT331" s="562"/>
      <c r="CU331" s="562"/>
      <c r="CV331" s="562"/>
      <c r="CW331" s="562"/>
      <c r="CX331" s="562"/>
      <c r="CY331" s="562"/>
    </row>
    <row r="332" spans="91:103">
      <c r="CM332" s="562"/>
      <c r="CN332" s="562"/>
      <c r="CO332" s="562"/>
      <c r="CP332" s="562"/>
      <c r="CQ332" s="562"/>
      <c r="CR332" s="562"/>
      <c r="CS332" s="562"/>
      <c r="CT332" s="562"/>
      <c r="CU332" s="562"/>
      <c r="CV332" s="562"/>
      <c r="CW332" s="562"/>
      <c r="CX332" s="562"/>
      <c r="CY332" s="562"/>
    </row>
    <row r="333" spans="91:103">
      <c r="CM333" s="562"/>
      <c r="CN333" s="562"/>
      <c r="CO333" s="562"/>
      <c r="CP333" s="562"/>
      <c r="CQ333" s="562"/>
      <c r="CR333" s="562"/>
      <c r="CS333" s="562"/>
      <c r="CT333" s="562"/>
      <c r="CU333" s="562"/>
      <c r="CV333" s="562"/>
      <c r="CW333" s="562"/>
      <c r="CX333" s="562"/>
      <c r="CY333" s="562"/>
    </row>
    <row r="334" spans="91:103">
      <c r="CM334" s="562"/>
      <c r="CN334" s="562"/>
      <c r="CO334" s="562"/>
      <c r="CP334" s="562"/>
      <c r="CQ334" s="562"/>
      <c r="CR334" s="562"/>
      <c r="CS334" s="562"/>
      <c r="CT334" s="562"/>
      <c r="CU334" s="562"/>
      <c r="CV334" s="562"/>
      <c r="CW334" s="562"/>
      <c r="CX334" s="562"/>
      <c r="CY334" s="562"/>
    </row>
    <row r="335" spans="91:103">
      <c r="CM335" s="562"/>
      <c r="CN335" s="562"/>
      <c r="CO335" s="562"/>
      <c r="CP335" s="562"/>
      <c r="CQ335" s="562"/>
      <c r="CR335" s="562"/>
      <c r="CS335" s="562"/>
      <c r="CT335" s="562"/>
      <c r="CU335" s="562"/>
      <c r="CV335" s="562"/>
      <c r="CW335" s="562"/>
      <c r="CX335" s="562"/>
      <c r="CY335" s="562"/>
    </row>
    <row r="336" spans="91:103">
      <c r="CM336" s="562"/>
      <c r="CN336" s="562"/>
      <c r="CO336" s="562"/>
      <c r="CP336" s="562"/>
      <c r="CQ336" s="562"/>
      <c r="CR336" s="562"/>
      <c r="CS336" s="562"/>
      <c r="CT336" s="562"/>
      <c r="CU336" s="562"/>
      <c r="CV336" s="562"/>
      <c r="CW336" s="562"/>
      <c r="CX336" s="562"/>
      <c r="CY336" s="562"/>
    </row>
    <row r="337" spans="91:103">
      <c r="CM337" s="562"/>
      <c r="CN337" s="562"/>
      <c r="CO337" s="562"/>
      <c r="CP337" s="562"/>
      <c r="CQ337" s="562"/>
      <c r="CR337" s="562"/>
      <c r="CS337" s="562"/>
      <c r="CT337" s="562"/>
      <c r="CU337" s="562"/>
      <c r="CV337" s="562"/>
      <c r="CW337" s="562"/>
      <c r="CX337" s="562"/>
      <c r="CY337" s="562"/>
    </row>
    <row r="338" spans="91:103">
      <c r="CM338" s="562"/>
      <c r="CN338" s="562"/>
      <c r="CO338" s="562"/>
      <c r="CP338" s="562"/>
      <c r="CQ338" s="562"/>
      <c r="CR338" s="562"/>
      <c r="CS338" s="562"/>
      <c r="CT338" s="562"/>
      <c r="CU338" s="562"/>
      <c r="CV338" s="562"/>
      <c r="CW338" s="562"/>
      <c r="CX338" s="562"/>
      <c r="CY338" s="562"/>
    </row>
    <row r="339" spans="91:103">
      <c r="CM339" s="562"/>
      <c r="CN339" s="562"/>
      <c r="CO339" s="562"/>
      <c r="CP339" s="562"/>
      <c r="CQ339" s="562"/>
      <c r="CR339" s="562"/>
      <c r="CS339" s="562"/>
      <c r="CT339" s="562"/>
      <c r="CU339" s="562"/>
      <c r="CV339" s="562"/>
      <c r="CW339" s="562"/>
      <c r="CX339" s="562"/>
      <c r="CY339" s="562"/>
    </row>
    <row r="340" spans="91:103">
      <c r="CM340" s="562"/>
      <c r="CN340" s="562"/>
      <c r="CO340" s="562"/>
      <c r="CP340" s="562"/>
      <c r="CQ340" s="562"/>
      <c r="CR340" s="562"/>
      <c r="CS340" s="562"/>
      <c r="CT340" s="562"/>
      <c r="CU340" s="562"/>
      <c r="CV340" s="562"/>
      <c r="CW340" s="562"/>
      <c r="CX340" s="562"/>
      <c r="CY340" s="562"/>
    </row>
    <row r="341" spans="91:103">
      <c r="CM341" s="562"/>
      <c r="CN341" s="562"/>
      <c r="CO341" s="562"/>
      <c r="CP341" s="562"/>
      <c r="CQ341" s="562"/>
      <c r="CR341" s="562"/>
      <c r="CS341" s="562"/>
      <c r="CT341" s="562"/>
      <c r="CU341" s="562"/>
      <c r="CV341" s="562"/>
      <c r="CW341" s="562"/>
      <c r="CX341" s="562"/>
      <c r="CY341" s="562"/>
    </row>
    <row r="342" spans="91:103">
      <c r="CM342" s="562"/>
      <c r="CN342" s="562"/>
      <c r="CO342" s="562"/>
      <c r="CP342" s="562"/>
      <c r="CQ342" s="562"/>
      <c r="CR342" s="562"/>
      <c r="CS342" s="562"/>
      <c r="CT342" s="562"/>
      <c r="CU342" s="562"/>
      <c r="CV342" s="562"/>
      <c r="CW342" s="562"/>
      <c r="CX342" s="562"/>
      <c r="CY342" s="562"/>
    </row>
    <row r="343" spans="91:103">
      <c r="CM343" s="562"/>
      <c r="CN343" s="562"/>
      <c r="CO343" s="562"/>
      <c r="CP343" s="562"/>
      <c r="CQ343" s="562"/>
      <c r="CR343" s="562"/>
      <c r="CS343" s="562"/>
      <c r="CT343" s="562"/>
      <c r="CU343" s="562"/>
      <c r="CV343" s="562"/>
      <c r="CW343" s="562"/>
      <c r="CX343" s="562"/>
      <c r="CY343" s="562"/>
    </row>
    <row r="344" spans="91:103">
      <c r="CM344" s="562"/>
      <c r="CN344" s="562"/>
      <c r="CO344" s="562"/>
      <c r="CP344" s="562"/>
      <c r="CQ344" s="562"/>
      <c r="CR344" s="562"/>
      <c r="CS344" s="562"/>
      <c r="CT344" s="562"/>
      <c r="CU344" s="562"/>
      <c r="CV344" s="562"/>
      <c r="CW344" s="562"/>
      <c r="CX344" s="562"/>
      <c r="CY344" s="562"/>
    </row>
    <row r="345" spans="91:103">
      <c r="CM345" s="562"/>
      <c r="CN345" s="562"/>
      <c r="CO345" s="562"/>
      <c r="CP345" s="562"/>
      <c r="CQ345" s="562"/>
      <c r="CR345" s="562"/>
      <c r="CS345" s="562"/>
      <c r="CT345" s="562"/>
      <c r="CU345" s="562"/>
      <c r="CV345" s="562"/>
      <c r="CW345" s="562"/>
      <c r="CX345" s="562"/>
      <c r="CY345" s="562"/>
    </row>
    <row r="346" spans="91:103">
      <c r="CM346" s="562"/>
      <c r="CN346" s="562"/>
      <c r="CO346" s="562"/>
      <c r="CP346" s="562"/>
      <c r="CQ346" s="562"/>
      <c r="CR346" s="562"/>
      <c r="CS346" s="562"/>
      <c r="CT346" s="562"/>
      <c r="CU346" s="562"/>
      <c r="CV346" s="562"/>
      <c r="CW346" s="562"/>
      <c r="CX346" s="562"/>
      <c r="CY346" s="562"/>
    </row>
    <row r="347" spans="91:103">
      <c r="CM347" s="562"/>
      <c r="CN347" s="562"/>
      <c r="CO347" s="562"/>
      <c r="CP347" s="562"/>
      <c r="CQ347" s="562"/>
      <c r="CR347" s="562"/>
      <c r="CS347" s="562"/>
      <c r="CT347" s="562"/>
      <c r="CU347" s="562"/>
      <c r="CV347" s="562"/>
      <c r="CW347" s="562"/>
      <c r="CX347" s="562"/>
      <c r="CY347" s="562"/>
    </row>
    <row r="348" spans="91:103">
      <c r="CM348" s="562"/>
      <c r="CN348" s="562"/>
      <c r="CO348" s="562"/>
      <c r="CP348" s="562"/>
      <c r="CQ348" s="562"/>
      <c r="CR348" s="562"/>
      <c r="CS348" s="562"/>
      <c r="CT348" s="562"/>
      <c r="CU348" s="562"/>
      <c r="CV348" s="562"/>
      <c r="CW348" s="562"/>
      <c r="CX348" s="562"/>
      <c r="CY348" s="562"/>
    </row>
    <row r="349" spans="91:103">
      <c r="CM349" s="562"/>
      <c r="CN349" s="562"/>
      <c r="CO349" s="562"/>
      <c r="CP349" s="562"/>
      <c r="CQ349" s="562"/>
      <c r="CR349" s="562"/>
      <c r="CS349" s="562"/>
      <c r="CT349" s="562"/>
      <c r="CU349" s="562"/>
      <c r="CV349" s="562"/>
      <c r="CW349" s="562"/>
      <c r="CX349" s="562"/>
      <c r="CY349" s="562"/>
    </row>
    <row r="350" spans="91:103">
      <c r="CM350" s="562"/>
      <c r="CN350" s="562"/>
      <c r="CO350" s="562"/>
      <c r="CP350" s="562"/>
      <c r="CQ350" s="562"/>
      <c r="CR350" s="562"/>
      <c r="CS350" s="562"/>
      <c r="CT350" s="562"/>
      <c r="CU350" s="562"/>
      <c r="CV350" s="562"/>
      <c r="CW350" s="562"/>
      <c r="CX350" s="562"/>
      <c r="CY350" s="562"/>
    </row>
    <row r="351" spans="91:103">
      <c r="CM351" s="562"/>
      <c r="CN351" s="562"/>
      <c r="CO351" s="562"/>
      <c r="CP351" s="562"/>
      <c r="CQ351" s="562"/>
      <c r="CR351" s="562"/>
      <c r="CS351" s="562"/>
      <c r="CT351" s="562"/>
      <c r="CU351" s="562"/>
      <c r="CV351" s="562"/>
      <c r="CW351" s="562"/>
      <c r="CX351" s="562"/>
      <c r="CY351" s="562"/>
    </row>
    <row r="352" spans="91:103">
      <c r="CM352" s="562"/>
      <c r="CN352" s="562"/>
      <c r="CO352" s="562"/>
      <c r="CP352" s="562"/>
      <c r="CQ352" s="562"/>
      <c r="CR352" s="562"/>
      <c r="CS352" s="562"/>
      <c r="CT352" s="562"/>
      <c r="CU352" s="562"/>
      <c r="CV352" s="562"/>
      <c r="CW352" s="562"/>
      <c r="CX352" s="562"/>
      <c r="CY352" s="562"/>
    </row>
    <row r="353" spans="91:103">
      <c r="CM353" s="562"/>
      <c r="CN353" s="562"/>
      <c r="CO353" s="562"/>
      <c r="CP353" s="562"/>
      <c r="CQ353" s="562"/>
      <c r="CR353" s="562"/>
      <c r="CS353" s="562"/>
      <c r="CT353" s="562"/>
      <c r="CU353" s="562"/>
      <c r="CV353" s="562"/>
      <c r="CW353" s="562"/>
      <c r="CX353" s="562"/>
      <c r="CY353" s="562"/>
    </row>
    <row r="354" spans="91:103">
      <c r="CM354" s="562"/>
      <c r="CN354" s="562"/>
      <c r="CO354" s="562"/>
      <c r="CP354" s="562"/>
      <c r="CQ354" s="562"/>
      <c r="CR354" s="562"/>
      <c r="CS354" s="562"/>
      <c r="CT354" s="562"/>
      <c r="CU354" s="562"/>
      <c r="CV354" s="562"/>
      <c r="CW354" s="562"/>
      <c r="CX354" s="562"/>
      <c r="CY354" s="562"/>
    </row>
    <row r="355" spans="91:103">
      <c r="CM355" s="562"/>
      <c r="CN355" s="562"/>
      <c r="CO355" s="562"/>
      <c r="CP355" s="562"/>
      <c r="CQ355" s="562"/>
      <c r="CR355" s="562"/>
      <c r="CS355" s="562"/>
      <c r="CT355" s="562"/>
      <c r="CU355" s="562"/>
      <c r="CV355" s="562"/>
      <c r="CW355" s="562"/>
      <c r="CX355" s="562"/>
      <c r="CY355" s="562"/>
    </row>
    <row r="356" spans="91:103">
      <c r="CM356" s="562"/>
      <c r="CN356" s="562"/>
      <c r="CO356" s="562"/>
      <c r="CP356" s="562"/>
      <c r="CQ356" s="562"/>
      <c r="CR356" s="562"/>
      <c r="CS356" s="562"/>
      <c r="CT356" s="562"/>
      <c r="CU356" s="562"/>
      <c r="CV356" s="562"/>
      <c r="CW356" s="562"/>
      <c r="CX356" s="562"/>
      <c r="CY356" s="562"/>
    </row>
    <row r="357" spans="91:103">
      <c r="CM357" s="562"/>
      <c r="CN357" s="562"/>
      <c r="CO357" s="562"/>
      <c r="CP357" s="562"/>
      <c r="CQ357" s="562"/>
      <c r="CR357" s="562"/>
      <c r="CS357" s="562"/>
      <c r="CT357" s="562"/>
      <c r="CU357" s="562"/>
      <c r="CV357" s="562"/>
      <c r="CW357" s="562"/>
      <c r="CX357" s="562"/>
      <c r="CY357" s="562"/>
    </row>
    <row r="358" spans="91:103">
      <c r="CM358" s="562"/>
      <c r="CN358" s="562"/>
      <c r="CO358" s="562"/>
      <c r="CP358" s="562"/>
      <c r="CQ358" s="562"/>
      <c r="CR358" s="562"/>
      <c r="CS358" s="562"/>
      <c r="CT358" s="562"/>
      <c r="CU358" s="562"/>
      <c r="CV358" s="562"/>
      <c r="CW358" s="562"/>
      <c r="CX358" s="562"/>
      <c r="CY358" s="562"/>
    </row>
    <row r="359" spans="91:103">
      <c r="CM359" s="562"/>
      <c r="CN359" s="562"/>
      <c r="CO359" s="562"/>
      <c r="CP359" s="562"/>
      <c r="CQ359" s="562"/>
      <c r="CR359" s="562"/>
      <c r="CS359" s="562"/>
      <c r="CT359" s="562"/>
      <c r="CU359" s="562"/>
      <c r="CV359" s="562"/>
      <c r="CW359" s="562"/>
      <c r="CX359" s="562"/>
      <c r="CY359" s="562"/>
    </row>
    <row r="360" spans="91:103">
      <c r="CM360" s="562"/>
      <c r="CN360" s="562"/>
      <c r="CO360" s="562"/>
      <c r="CP360" s="562"/>
      <c r="CQ360" s="562"/>
      <c r="CR360" s="562"/>
      <c r="CS360" s="562"/>
      <c r="CT360" s="562"/>
      <c r="CU360" s="562"/>
      <c r="CV360" s="562"/>
      <c r="CW360" s="562"/>
      <c r="CX360" s="562"/>
      <c r="CY360" s="562"/>
    </row>
    <row r="361" spans="91:103">
      <c r="CM361" s="562"/>
      <c r="CN361" s="562"/>
      <c r="CO361" s="562"/>
      <c r="CP361" s="562"/>
      <c r="CQ361" s="562"/>
      <c r="CR361" s="562"/>
      <c r="CS361" s="562"/>
      <c r="CT361" s="562"/>
      <c r="CU361" s="562"/>
      <c r="CV361" s="562"/>
      <c r="CW361" s="562"/>
      <c r="CX361" s="562"/>
      <c r="CY361" s="562"/>
    </row>
    <row r="362" spans="91:103">
      <c r="CM362" s="562"/>
      <c r="CN362" s="562"/>
      <c r="CO362" s="562"/>
      <c r="CP362" s="562"/>
      <c r="CQ362" s="562"/>
      <c r="CR362" s="562"/>
      <c r="CS362" s="562"/>
      <c r="CT362" s="562"/>
      <c r="CU362" s="562"/>
      <c r="CV362" s="562"/>
      <c r="CW362" s="562"/>
      <c r="CX362" s="562"/>
      <c r="CY362" s="562"/>
    </row>
    <row r="363" spans="91:103">
      <c r="CM363" s="562"/>
      <c r="CN363" s="562"/>
      <c r="CO363" s="562"/>
      <c r="CP363" s="562"/>
      <c r="CQ363" s="562"/>
      <c r="CR363" s="562"/>
      <c r="CS363" s="562"/>
      <c r="CT363" s="562"/>
      <c r="CU363" s="562"/>
      <c r="CV363" s="562"/>
      <c r="CW363" s="562"/>
      <c r="CX363" s="562"/>
      <c r="CY363" s="562"/>
    </row>
    <row r="364" spans="91:103">
      <c r="CM364" s="562"/>
      <c r="CN364" s="562"/>
      <c r="CO364" s="562"/>
      <c r="CP364" s="562"/>
      <c r="CQ364" s="562"/>
      <c r="CR364" s="562"/>
      <c r="CS364" s="562"/>
      <c r="CT364" s="562"/>
      <c r="CU364" s="562"/>
      <c r="CV364" s="562"/>
      <c r="CW364" s="562"/>
      <c r="CX364" s="562"/>
      <c r="CY364" s="562"/>
    </row>
    <row r="365" spans="91:103">
      <c r="CM365" s="562"/>
      <c r="CN365" s="562"/>
      <c r="CO365" s="562"/>
      <c r="CP365" s="562"/>
      <c r="CQ365" s="562"/>
      <c r="CR365" s="562"/>
      <c r="CS365" s="562"/>
      <c r="CT365" s="562"/>
      <c r="CU365" s="562"/>
      <c r="CV365" s="562"/>
      <c r="CW365" s="562"/>
      <c r="CX365" s="562"/>
      <c r="CY365" s="562"/>
    </row>
    <row r="366" spans="91:103">
      <c r="CM366" s="562"/>
      <c r="CN366" s="562"/>
      <c r="CO366" s="562"/>
      <c r="CP366" s="562"/>
      <c r="CQ366" s="562"/>
      <c r="CR366" s="562"/>
      <c r="CS366" s="562"/>
      <c r="CT366" s="562"/>
      <c r="CU366" s="562"/>
      <c r="CV366" s="562"/>
      <c r="CW366" s="562"/>
      <c r="CX366" s="562"/>
      <c r="CY366" s="562"/>
    </row>
    <row r="367" spans="91:103">
      <c r="CM367" s="562"/>
      <c r="CN367" s="562"/>
      <c r="CO367" s="562"/>
      <c r="CP367" s="562"/>
      <c r="CQ367" s="562"/>
      <c r="CR367" s="562"/>
      <c r="CS367" s="562"/>
      <c r="CT367" s="562"/>
      <c r="CU367" s="562"/>
      <c r="CV367" s="562"/>
      <c r="CW367" s="562"/>
      <c r="CX367" s="562"/>
      <c r="CY367" s="562"/>
    </row>
    <row r="368" spans="91:103">
      <c r="CM368" s="562"/>
      <c r="CN368" s="562"/>
      <c r="CO368" s="562"/>
      <c r="CP368" s="562"/>
      <c r="CQ368" s="562"/>
      <c r="CR368" s="562"/>
      <c r="CS368" s="562"/>
      <c r="CT368" s="562"/>
      <c r="CU368" s="562"/>
      <c r="CV368" s="562"/>
      <c r="CW368" s="562"/>
      <c r="CX368" s="562"/>
      <c r="CY368" s="562"/>
    </row>
    <row r="369" spans="91:103">
      <c r="CM369" s="562"/>
      <c r="CN369" s="562"/>
      <c r="CO369" s="562"/>
      <c r="CP369" s="562"/>
      <c r="CQ369" s="562"/>
      <c r="CR369" s="562"/>
      <c r="CS369" s="562"/>
      <c r="CT369" s="562"/>
      <c r="CU369" s="562"/>
      <c r="CV369" s="562"/>
      <c r="CW369" s="562"/>
      <c r="CX369" s="562"/>
      <c r="CY369" s="562"/>
    </row>
    <row r="370" spans="91:103">
      <c r="CM370" s="562"/>
      <c r="CN370" s="562"/>
      <c r="CO370" s="562"/>
      <c r="CP370" s="562"/>
      <c r="CQ370" s="562"/>
      <c r="CR370" s="562"/>
      <c r="CS370" s="562"/>
      <c r="CT370" s="562"/>
      <c r="CU370" s="562"/>
      <c r="CV370" s="562"/>
      <c r="CW370" s="562"/>
      <c r="CX370" s="562"/>
      <c r="CY370" s="562"/>
    </row>
    <row r="371" spans="91:103">
      <c r="CM371" s="562"/>
      <c r="CN371" s="562"/>
      <c r="CO371" s="562"/>
      <c r="CP371" s="562"/>
      <c r="CQ371" s="562"/>
      <c r="CR371" s="562"/>
      <c r="CS371" s="562"/>
      <c r="CT371" s="562"/>
      <c r="CU371" s="562"/>
      <c r="CV371" s="562"/>
      <c r="CW371" s="562"/>
      <c r="CX371" s="562"/>
      <c r="CY371" s="562"/>
    </row>
    <row r="372" spans="91:103">
      <c r="CM372" s="562"/>
      <c r="CN372" s="562"/>
      <c r="CO372" s="562"/>
      <c r="CP372" s="562"/>
      <c r="CQ372" s="562"/>
      <c r="CR372" s="562"/>
      <c r="CS372" s="562"/>
      <c r="CT372" s="562"/>
      <c r="CU372" s="562"/>
      <c r="CV372" s="562"/>
      <c r="CW372" s="562"/>
      <c r="CX372" s="562"/>
      <c r="CY372" s="562"/>
    </row>
    <row r="373" spans="91:103">
      <c r="CM373" s="562"/>
      <c r="CN373" s="562"/>
      <c r="CO373" s="562"/>
      <c r="CP373" s="562"/>
      <c r="CQ373" s="562"/>
      <c r="CR373" s="562"/>
      <c r="CS373" s="562"/>
      <c r="CT373" s="562"/>
      <c r="CU373" s="562"/>
      <c r="CV373" s="562"/>
      <c r="CW373" s="562"/>
      <c r="CX373" s="562"/>
      <c r="CY373" s="562"/>
    </row>
    <row r="374" spans="91:103">
      <c r="CM374" s="562"/>
      <c r="CN374" s="562"/>
      <c r="CO374" s="562"/>
      <c r="CP374" s="562"/>
      <c r="CQ374" s="562"/>
      <c r="CR374" s="562"/>
      <c r="CS374" s="562"/>
      <c r="CT374" s="562"/>
      <c r="CU374" s="562"/>
      <c r="CV374" s="562"/>
      <c r="CW374" s="562"/>
      <c r="CX374" s="562"/>
      <c r="CY374" s="562"/>
    </row>
    <row r="375" spans="91:103">
      <c r="CM375" s="562"/>
      <c r="CN375" s="562"/>
      <c r="CO375" s="562"/>
      <c r="CP375" s="562"/>
      <c r="CQ375" s="562"/>
      <c r="CR375" s="562"/>
      <c r="CS375" s="562"/>
      <c r="CT375" s="562"/>
      <c r="CU375" s="562"/>
      <c r="CV375" s="562"/>
      <c r="CW375" s="562"/>
      <c r="CX375" s="562"/>
      <c r="CY375" s="562"/>
    </row>
    <row r="376" spans="91:103">
      <c r="CM376" s="562"/>
      <c r="CN376" s="562"/>
      <c r="CO376" s="562"/>
      <c r="CP376" s="562"/>
      <c r="CQ376" s="562"/>
      <c r="CR376" s="562"/>
      <c r="CS376" s="562"/>
      <c r="CT376" s="562"/>
      <c r="CU376" s="562"/>
      <c r="CV376" s="562"/>
      <c r="CW376" s="562"/>
      <c r="CX376" s="562"/>
      <c r="CY376" s="562"/>
    </row>
    <row r="377" spans="91:103">
      <c r="CM377" s="562"/>
      <c r="CN377" s="562"/>
      <c r="CO377" s="562"/>
      <c r="CP377" s="562"/>
      <c r="CQ377" s="562"/>
      <c r="CR377" s="562"/>
      <c r="CS377" s="562"/>
      <c r="CT377" s="562"/>
      <c r="CU377" s="562"/>
      <c r="CV377" s="562"/>
      <c r="CW377" s="562"/>
      <c r="CX377" s="562"/>
      <c r="CY377" s="562"/>
    </row>
    <row r="378" spans="91:103">
      <c r="CM378" s="562"/>
      <c r="CN378" s="562"/>
      <c r="CO378" s="562"/>
      <c r="CP378" s="562"/>
      <c r="CQ378" s="562"/>
      <c r="CR378" s="562"/>
      <c r="CS378" s="562"/>
      <c r="CT378" s="562"/>
      <c r="CU378" s="562"/>
      <c r="CV378" s="562"/>
      <c r="CW378" s="562"/>
      <c r="CX378" s="562"/>
      <c r="CY378" s="562"/>
    </row>
    <row r="379" spans="91:103">
      <c r="CM379" s="562"/>
      <c r="CN379" s="562"/>
      <c r="CO379" s="562"/>
      <c r="CP379" s="562"/>
      <c r="CQ379" s="562"/>
      <c r="CR379" s="562"/>
      <c r="CS379" s="562"/>
      <c r="CT379" s="562"/>
      <c r="CU379" s="562"/>
      <c r="CV379" s="562"/>
      <c r="CW379" s="562"/>
      <c r="CX379" s="562"/>
      <c r="CY379" s="562"/>
    </row>
    <row r="380" spans="91:103">
      <c r="CM380" s="562"/>
      <c r="CN380" s="562"/>
      <c r="CO380" s="562"/>
      <c r="CP380" s="562"/>
      <c r="CQ380" s="562"/>
      <c r="CR380" s="562"/>
      <c r="CS380" s="562"/>
      <c r="CT380" s="562"/>
      <c r="CU380" s="562"/>
      <c r="CV380" s="562"/>
      <c r="CW380" s="562"/>
      <c r="CX380" s="562"/>
      <c r="CY380" s="562"/>
    </row>
    <row r="381" spans="91:103">
      <c r="CM381" s="562"/>
      <c r="CN381" s="562"/>
      <c r="CO381" s="562"/>
      <c r="CP381" s="562"/>
      <c r="CQ381" s="562"/>
      <c r="CR381" s="562"/>
      <c r="CS381" s="562"/>
      <c r="CT381" s="562"/>
      <c r="CU381" s="562"/>
      <c r="CV381" s="562"/>
      <c r="CW381" s="562"/>
      <c r="CX381" s="562"/>
      <c r="CY381" s="562"/>
    </row>
    <row r="382" spans="91:103">
      <c r="CM382" s="562"/>
      <c r="CN382" s="562"/>
      <c r="CO382" s="562"/>
      <c r="CP382" s="562"/>
      <c r="CQ382" s="562"/>
      <c r="CR382" s="562"/>
      <c r="CS382" s="562"/>
      <c r="CT382" s="562"/>
      <c r="CU382" s="562"/>
      <c r="CV382" s="562"/>
      <c r="CW382" s="562"/>
      <c r="CX382" s="562"/>
      <c r="CY382" s="562"/>
    </row>
    <row r="383" spans="91:103">
      <c r="CM383" s="562"/>
      <c r="CN383" s="562"/>
      <c r="CO383" s="562"/>
      <c r="CP383" s="562"/>
      <c r="CQ383" s="562"/>
      <c r="CR383" s="562"/>
      <c r="CS383" s="562"/>
      <c r="CT383" s="562"/>
      <c r="CU383" s="562"/>
      <c r="CV383" s="562"/>
      <c r="CW383" s="562"/>
      <c r="CX383" s="562"/>
      <c r="CY383" s="562"/>
    </row>
    <row r="384" spans="91:103">
      <c r="CM384" s="562"/>
      <c r="CN384" s="562"/>
      <c r="CO384" s="562"/>
      <c r="CP384" s="562"/>
      <c r="CQ384" s="562"/>
      <c r="CR384" s="562"/>
      <c r="CS384" s="562"/>
      <c r="CT384" s="562"/>
      <c r="CU384" s="562"/>
      <c r="CV384" s="562"/>
      <c r="CW384" s="562"/>
      <c r="CX384" s="562"/>
      <c r="CY384" s="562"/>
    </row>
    <row r="385" spans="91:103">
      <c r="CM385" s="562"/>
      <c r="CN385" s="562"/>
      <c r="CO385" s="562"/>
      <c r="CP385" s="562"/>
      <c r="CQ385" s="562"/>
      <c r="CR385" s="562"/>
      <c r="CS385" s="562"/>
      <c r="CT385" s="562"/>
      <c r="CU385" s="562"/>
      <c r="CV385" s="562"/>
      <c r="CW385" s="562"/>
      <c r="CX385" s="562"/>
      <c r="CY385" s="562"/>
    </row>
    <row r="386" spans="91:103">
      <c r="CM386" s="562"/>
      <c r="CN386" s="562"/>
      <c r="CO386" s="562"/>
      <c r="CP386" s="562"/>
      <c r="CQ386" s="562"/>
      <c r="CR386" s="562"/>
      <c r="CS386" s="562"/>
      <c r="CT386" s="562"/>
      <c r="CU386" s="562"/>
      <c r="CV386" s="562"/>
      <c r="CW386" s="562"/>
      <c r="CX386" s="562"/>
      <c r="CY386" s="562"/>
    </row>
    <row r="387" spans="91:103">
      <c r="CM387" s="562"/>
      <c r="CN387" s="562"/>
      <c r="CO387" s="562"/>
      <c r="CP387" s="562"/>
      <c r="CQ387" s="562"/>
      <c r="CR387" s="562"/>
      <c r="CS387" s="562"/>
      <c r="CT387" s="562"/>
      <c r="CU387" s="562"/>
      <c r="CV387" s="562"/>
      <c r="CW387" s="562"/>
      <c r="CX387" s="562"/>
      <c r="CY387" s="562"/>
    </row>
    <row r="388" spans="91:103">
      <c r="CM388" s="562"/>
      <c r="CN388" s="562"/>
      <c r="CO388" s="562"/>
      <c r="CP388" s="562"/>
      <c r="CQ388" s="562"/>
      <c r="CR388" s="562"/>
      <c r="CS388" s="562"/>
      <c r="CT388" s="562"/>
      <c r="CU388" s="562"/>
      <c r="CV388" s="562"/>
      <c r="CW388" s="562"/>
      <c r="CX388" s="562"/>
      <c r="CY388" s="562"/>
    </row>
    <row r="389" spans="91:103">
      <c r="CM389" s="562"/>
      <c r="CN389" s="562"/>
      <c r="CO389" s="562"/>
      <c r="CP389" s="562"/>
      <c r="CQ389" s="562"/>
      <c r="CR389" s="562"/>
      <c r="CS389" s="562"/>
      <c r="CT389" s="562"/>
      <c r="CU389" s="562"/>
      <c r="CV389" s="562"/>
      <c r="CW389" s="562"/>
      <c r="CX389" s="562"/>
      <c r="CY389" s="562"/>
    </row>
    <row r="390" spans="91:103">
      <c r="CM390" s="562"/>
      <c r="CN390" s="562"/>
      <c r="CO390" s="562"/>
      <c r="CP390" s="562"/>
      <c r="CQ390" s="562"/>
      <c r="CR390" s="562"/>
      <c r="CS390" s="562"/>
      <c r="CT390" s="562"/>
      <c r="CU390" s="562"/>
      <c r="CV390" s="562"/>
      <c r="CW390" s="562"/>
      <c r="CX390" s="562"/>
      <c r="CY390" s="562"/>
    </row>
    <row r="391" spans="91:103">
      <c r="CM391" s="562"/>
      <c r="CN391" s="562"/>
      <c r="CO391" s="562"/>
      <c r="CP391" s="562"/>
      <c r="CQ391" s="562"/>
      <c r="CR391" s="562"/>
      <c r="CS391" s="562"/>
      <c r="CT391" s="562"/>
      <c r="CU391" s="562"/>
      <c r="CV391" s="562"/>
      <c r="CW391" s="562"/>
      <c r="CX391" s="562"/>
      <c r="CY391" s="562"/>
    </row>
    <row r="392" spans="91:103">
      <c r="CM392" s="562"/>
      <c r="CN392" s="562"/>
      <c r="CO392" s="562"/>
      <c r="CP392" s="562"/>
      <c r="CQ392" s="562"/>
      <c r="CR392" s="562"/>
      <c r="CS392" s="562"/>
      <c r="CT392" s="562"/>
      <c r="CU392" s="562"/>
      <c r="CV392" s="562"/>
      <c r="CW392" s="562"/>
      <c r="CX392" s="562"/>
      <c r="CY392" s="562"/>
    </row>
    <row r="393" spans="91:103">
      <c r="CM393" s="562"/>
      <c r="CN393" s="562"/>
      <c r="CO393" s="562"/>
      <c r="CP393" s="562"/>
      <c r="CQ393" s="562"/>
      <c r="CR393" s="562"/>
      <c r="CS393" s="562"/>
      <c r="CT393" s="562"/>
      <c r="CU393" s="562"/>
      <c r="CV393" s="562"/>
      <c r="CW393" s="562"/>
      <c r="CX393" s="562"/>
      <c r="CY393" s="562"/>
    </row>
    <row r="394" spans="91:103">
      <c r="CM394" s="562"/>
      <c r="CN394" s="562"/>
      <c r="CO394" s="562"/>
      <c r="CP394" s="562"/>
      <c r="CQ394" s="562"/>
      <c r="CR394" s="562"/>
      <c r="CS394" s="562"/>
      <c r="CT394" s="562"/>
      <c r="CU394" s="562"/>
      <c r="CV394" s="562"/>
      <c r="CW394" s="562"/>
      <c r="CX394" s="562"/>
      <c r="CY394" s="562"/>
    </row>
    <row r="395" spans="91:103">
      <c r="CM395" s="562"/>
      <c r="CN395" s="562"/>
      <c r="CO395" s="562"/>
      <c r="CP395" s="562"/>
      <c r="CQ395" s="562"/>
      <c r="CR395" s="562"/>
      <c r="CS395" s="562"/>
      <c r="CT395" s="562"/>
      <c r="CU395" s="562"/>
      <c r="CV395" s="562"/>
      <c r="CW395" s="562"/>
      <c r="CX395" s="562"/>
      <c r="CY395" s="562"/>
    </row>
    <row r="396" spans="91:103">
      <c r="CM396" s="562"/>
      <c r="CN396" s="562"/>
      <c r="CO396" s="562"/>
      <c r="CP396" s="562"/>
      <c r="CQ396" s="562"/>
      <c r="CR396" s="562"/>
      <c r="CS396" s="562"/>
      <c r="CT396" s="562"/>
      <c r="CU396" s="562"/>
      <c r="CV396" s="562"/>
      <c r="CW396" s="562"/>
      <c r="CX396" s="562"/>
      <c r="CY396" s="562"/>
    </row>
    <row r="397" spans="91:103">
      <c r="CM397" s="562"/>
      <c r="CN397" s="562"/>
      <c r="CO397" s="562"/>
      <c r="CP397" s="562"/>
      <c r="CQ397" s="562"/>
      <c r="CR397" s="562"/>
      <c r="CS397" s="562"/>
      <c r="CT397" s="562"/>
      <c r="CU397" s="562"/>
      <c r="CV397" s="562"/>
      <c r="CW397" s="562"/>
      <c r="CX397" s="562"/>
      <c r="CY397" s="562"/>
    </row>
  </sheetData>
  <conditionalFormatting sqref="A272:XFD272">
    <cfRule type="cellIs" dxfId="0" priority="1" operator="equal">
      <formula>FALSE</formula>
    </cfRule>
  </conditionalFormatting>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sheetPr codeName="Sheet7"/>
  <dimension ref="A1:Z361"/>
  <sheetViews>
    <sheetView workbookViewId="0">
      <selection activeCell="A2" sqref="A2"/>
    </sheetView>
  </sheetViews>
  <sheetFormatPr defaultRowHeight="12.75"/>
  <cols>
    <col min="1" max="1" width="9.140625" style="9"/>
    <col min="2" max="2" width="19" style="9" customWidth="1"/>
    <col min="3" max="3" width="17.85546875" style="9" customWidth="1"/>
    <col min="4" max="4" width="9.140625" style="9"/>
    <col min="5" max="5" width="12" style="9" customWidth="1"/>
    <col min="6" max="6" width="11.7109375" style="9" customWidth="1"/>
    <col min="7" max="7" width="9.140625" style="9"/>
    <col min="8" max="8" width="10.42578125" style="9" customWidth="1"/>
    <col min="9" max="9" width="9.85546875" style="9" customWidth="1"/>
    <col min="10" max="10" width="11" style="9" customWidth="1"/>
    <col min="11" max="16384" width="9.140625" style="9"/>
  </cols>
  <sheetData>
    <row r="1" spans="1:21">
      <c r="A1" s="94" t="s">
        <v>230</v>
      </c>
      <c r="B1" s="94"/>
      <c r="C1" s="94"/>
      <c r="D1" s="94"/>
      <c r="E1" s="94"/>
      <c r="F1" s="94"/>
      <c r="G1" s="94"/>
      <c r="H1" s="94"/>
      <c r="I1" s="94"/>
      <c r="J1" s="94"/>
      <c r="K1" s="94"/>
      <c r="L1" s="94"/>
      <c r="M1" s="94"/>
      <c r="N1" s="94"/>
      <c r="O1" s="94"/>
      <c r="P1" s="94"/>
      <c r="Q1" s="94"/>
      <c r="R1" s="94"/>
      <c r="S1" s="94"/>
      <c r="T1" s="94"/>
      <c r="U1" s="94"/>
    </row>
    <row r="2" spans="1:21">
      <c r="A2" s="312" t="s">
        <v>1170</v>
      </c>
    </row>
    <row r="3" spans="1:21">
      <c r="A3" s="9" t="s">
        <v>231</v>
      </c>
    </row>
    <row r="4" spans="1:21">
      <c r="A4" s="94"/>
      <c r="B4" s="94"/>
      <c r="C4" s="94"/>
      <c r="D4" s="94"/>
      <c r="E4" s="94"/>
      <c r="F4" s="94"/>
      <c r="G4" s="94"/>
      <c r="H4" s="94"/>
      <c r="I4" s="94"/>
      <c r="J4" s="94"/>
      <c r="K4" s="94"/>
      <c r="L4" s="94"/>
      <c r="M4" s="94"/>
      <c r="N4" s="94"/>
      <c r="O4" s="94"/>
      <c r="P4" s="94"/>
      <c r="Q4" s="94"/>
      <c r="R4" s="94"/>
      <c r="S4" s="94"/>
      <c r="T4" s="94"/>
      <c r="U4" s="94"/>
    </row>
    <row r="5" spans="1:21" ht="51">
      <c r="A5" s="94" t="s">
        <v>232</v>
      </c>
      <c r="B5" s="95" t="s">
        <v>233</v>
      </c>
      <c r="C5" s="96" t="s">
        <v>220</v>
      </c>
      <c r="D5" s="96" t="s">
        <v>234</v>
      </c>
      <c r="E5" s="96" t="s">
        <v>235</v>
      </c>
      <c r="F5" s="97"/>
      <c r="G5" s="94"/>
      <c r="H5" s="98"/>
      <c r="I5" s="99"/>
      <c r="J5" s="98"/>
      <c r="K5" s="100"/>
      <c r="L5" s="97"/>
      <c r="M5" s="97"/>
      <c r="N5" s="98"/>
      <c r="O5" s="94"/>
      <c r="P5" s="94"/>
      <c r="Q5" s="94"/>
      <c r="R5" s="94"/>
      <c r="S5" s="94"/>
      <c r="T5" s="94"/>
      <c r="U5" s="94"/>
    </row>
    <row r="6" spans="1:21">
      <c r="A6" s="94">
        <v>0.9</v>
      </c>
      <c r="B6" s="95">
        <v>2</v>
      </c>
      <c r="C6" s="101">
        <v>5089</v>
      </c>
      <c r="D6" s="101">
        <v>1543.5</v>
      </c>
      <c r="E6" s="101">
        <f>D6+C6</f>
        <v>6632.5</v>
      </c>
      <c r="F6" s="102"/>
      <c r="G6" s="94"/>
      <c r="H6" s="98"/>
      <c r="I6" s="103"/>
      <c r="J6" s="98"/>
      <c r="K6" s="100"/>
      <c r="L6" s="104"/>
      <c r="M6" s="104"/>
      <c r="N6" s="98"/>
      <c r="O6" s="94"/>
      <c r="P6" s="94"/>
      <c r="Q6" s="94"/>
      <c r="R6" s="94"/>
      <c r="S6" s="94"/>
      <c r="T6" s="94"/>
      <c r="U6" s="94"/>
    </row>
    <row r="7" spans="1:21">
      <c r="A7" s="94">
        <v>1</v>
      </c>
      <c r="B7" s="95">
        <v>3</v>
      </c>
      <c r="C7" s="101">
        <v>5604</v>
      </c>
      <c r="D7" s="101">
        <v>1715</v>
      </c>
      <c r="E7" s="101">
        <f t="shared" ref="E7:E10" si="0">D7+C7</f>
        <v>7319</v>
      </c>
      <c r="F7" s="102"/>
      <c r="G7" s="94"/>
      <c r="H7" s="98"/>
      <c r="I7" s="103"/>
      <c r="J7" s="98"/>
      <c r="K7" s="100"/>
      <c r="L7" s="104"/>
      <c r="M7" s="104"/>
      <c r="N7" s="98"/>
      <c r="O7" s="94"/>
      <c r="P7" s="94"/>
      <c r="Q7" s="94"/>
      <c r="R7" s="94"/>
      <c r="S7" s="94"/>
      <c r="T7" s="94"/>
      <c r="U7" s="94"/>
    </row>
    <row r="8" spans="1:21">
      <c r="A8" s="94">
        <v>1.1000000000000001</v>
      </c>
      <c r="B8" s="95">
        <v>4</v>
      </c>
      <c r="C8" s="101">
        <v>6689</v>
      </c>
      <c r="D8" s="101">
        <v>1886.5000000000002</v>
      </c>
      <c r="E8" s="101">
        <f t="shared" si="0"/>
        <v>8575.5</v>
      </c>
      <c r="F8" s="102"/>
      <c r="G8" s="94"/>
      <c r="H8" s="98"/>
      <c r="I8" s="103"/>
      <c r="J8" s="98"/>
      <c r="K8" s="100"/>
      <c r="L8" s="104"/>
      <c r="M8" s="104"/>
      <c r="N8" s="98"/>
      <c r="O8" s="94"/>
      <c r="P8" s="94"/>
      <c r="Q8" s="94"/>
      <c r="R8" s="94"/>
      <c r="S8" s="94"/>
      <c r="T8" s="94"/>
      <c r="U8" s="94"/>
    </row>
    <row r="9" spans="1:21">
      <c r="A9" s="94">
        <v>1.2</v>
      </c>
      <c r="B9" s="95">
        <v>5</v>
      </c>
      <c r="C9" s="101">
        <v>7498</v>
      </c>
      <c r="D9" s="101">
        <v>2058</v>
      </c>
      <c r="E9" s="101">
        <f t="shared" si="0"/>
        <v>9556</v>
      </c>
      <c r="F9" s="102"/>
      <c r="G9" s="94"/>
      <c r="H9" s="98"/>
      <c r="I9" s="103"/>
      <c r="J9" s="98"/>
      <c r="K9" s="100"/>
      <c r="L9" s="104"/>
      <c r="M9" s="104"/>
      <c r="N9" s="98"/>
      <c r="O9" s="94"/>
      <c r="P9" s="94"/>
      <c r="Q9" s="94"/>
      <c r="R9" s="94"/>
      <c r="S9" s="94"/>
      <c r="T9" s="94"/>
      <c r="U9" s="94"/>
    </row>
    <row r="10" spans="1:21">
      <c r="A10" s="94">
        <v>1.3</v>
      </c>
      <c r="B10" s="95">
        <v>6</v>
      </c>
      <c r="C10" s="101">
        <v>7870</v>
      </c>
      <c r="D10" s="101">
        <v>2229.5</v>
      </c>
      <c r="E10" s="101">
        <f t="shared" si="0"/>
        <v>10099.5</v>
      </c>
      <c r="F10" s="102"/>
      <c r="G10" s="94"/>
      <c r="H10" s="98"/>
      <c r="I10" s="103"/>
      <c r="J10" s="98"/>
      <c r="K10" s="100"/>
      <c r="L10" s="104"/>
      <c r="M10" s="104"/>
      <c r="N10" s="98"/>
      <c r="O10" s="94"/>
      <c r="P10" s="94"/>
      <c r="Q10" s="94"/>
      <c r="R10" s="94"/>
      <c r="S10" s="94"/>
      <c r="T10" s="94"/>
      <c r="U10" s="94"/>
    </row>
    <row r="11" spans="1:21">
      <c r="A11" s="94">
        <v>1.4</v>
      </c>
      <c r="B11" s="94"/>
      <c r="C11" s="94"/>
      <c r="D11" s="94"/>
      <c r="E11" s="94"/>
      <c r="F11" s="94"/>
      <c r="G11" s="94"/>
      <c r="H11" s="98"/>
      <c r="I11" s="105"/>
      <c r="J11" s="98"/>
      <c r="K11" s="98"/>
      <c r="L11" s="98"/>
      <c r="M11" s="98"/>
      <c r="N11" s="98"/>
      <c r="O11" s="94"/>
      <c r="P11" s="94"/>
      <c r="Q11" s="94"/>
      <c r="R11" s="94"/>
      <c r="S11" s="94"/>
      <c r="T11" s="94"/>
      <c r="U11" s="94"/>
    </row>
    <row r="12" spans="1:21">
      <c r="A12" s="94"/>
      <c r="B12" s="94"/>
      <c r="C12" s="94"/>
      <c r="D12" s="94"/>
      <c r="E12" s="94"/>
      <c r="F12" s="94"/>
      <c r="G12" s="94"/>
      <c r="H12" s="98"/>
      <c r="I12" s="105"/>
      <c r="J12" s="98"/>
      <c r="K12" s="98"/>
      <c r="L12" s="98"/>
      <c r="M12" s="98"/>
      <c r="N12" s="98"/>
      <c r="O12" s="94"/>
      <c r="P12" s="94"/>
      <c r="Q12" s="94"/>
      <c r="R12" s="94"/>
      <c r="S12" s="94"/>
      <c r="T12" s="94"/>
      <c r="U12" s="94"/>
    </row>
    <row r="13" spans="1:21">
      <c r="A13" s="98"/>
      <c r="B13" s="98"/>
      <c r="C13" s="98"/>
      <c r="D13" s="98"/>
      <c r="E13" s="98"/>
      <c r="F13" s="98"/>
      <c r="G13" s="98"/>
      <c r="H13" s="98"/>
      <c r="I13" s="98"/>
      <c r="J13" s="104"/>
      <c r="K13" s="98"/>
      <c r="L13" s="98"/>
      <c r="M13" s="98"/>
      <c r="N13" s="98"/>
      <c r="O13" s="94"/>
      <c r="P13" s="94"/>
      <c r="Q13" s="94"/>
      <c r="R13" s="94"/>
      <c r="S13" s="94"/>
      <c r="T13" s="94"/>
      <c r="U13" s="94"/>
    </row>
    <row r="14" spans="1:21">
      <c r="A14" s="94"/>
      <c r="B14" s="94"/>
      <c r="C14" s="94"/>
      <c r="D14" s="94"/>
      <c r="E14" s="94"/>
      <c r="F14" s="94"/>
      <c r="G14" s="106"/>
      <c r="H14" s="107"/>
      <c r="I14" s="107"/>
      <c r="J14" s="104"/>
      <c r="K14" s="94"/>
      <c r="L14" s="94"/>
      <c r="M14" s="94"/>
      <c r="N14" s="94"/>
      <c r="O14" s="94"/>
      <c r="P14" s="94"/>
      <c r="Q14" s="94"/>
      <c r="R14" s="94"/>
      <c r="S14" s="94"/>
      <c r="T14" s="94"/>
      <c r="U14" s="94"/>
    </row>
    <row r="15" spans="1:21">
      <c r="A15" s="94"/>
      <c r="B15" s="94"/>
      <c r="C15" s="94"/>
      <c r="D15" s="94"/>
      <c r="E15" s="94"/>
      <c r="F15" s="94"/>
      <c r="G15" s="106"/>
      <c r="H15" s="107"/>
      <c r="I15" s="107"/>
      <c r="J15" s="104"/>
      <c r="K15" s="94"/>
      <c r="L15" s="94"/>
      <c r="M15" s="94"/>
      <c r="N15" s="94"/>
      <c r="O15" s="94"/>
      <c r="P15" s="94"/>
      <c r="Q15" s="94"/>
      <c r="R15" s="94"/>
      <c r="S15" s="94"/>
      <c r="T15" s="94"/>
      <c r="U15" s="94"/>
    </row>
    <row r="16" spans="1:21">
      <c r="A16" s="94" t="s">
        <v>236</v>
      </c>
      <c r="B16" s="94"/>
      <c r="C16" s="94"/>
      <c r="D16" s="94"/>
      <c r="E16" s="94"/>
      <c r="F16" s="94"/>
      <c r="G16" s="94"/>
      <c r="H16" s="94"/>
      <c r="I16" s="108"/>
      <c r="J16" s="108"/>
      <c r="K16" s="108"/>
      <c r="L16" s="108"/>
      <c r="M16" s="108"/>
      <c r="N16" s="108"/>
      <c r="O16" s="108"/>
      <c r="P16" s="108"/>
      <c r="Q16" s="108"/>
      <c r="R16" s="108"/>
      <c r="S16" s="108"/>
      <c r="T16" s="108"/>
      <c r="U16" s="108"/>
    </row>
    <row r="17" spans="2:21">
      <c r="B17" s="94" t="s">
        <v>237</v>
      </c>
      <c r="C17" s="94"/>
      <c r="D17" s="94" t="s">
        <v>238</v>
      </c>
      <c r="E17" s="94"/>
      <c r="F17" s="94"/>
      <c r="G17" s="94"/>
      <c r="H17" s="94"/>
      <c r="I17" s="108"/>
      <c r="J17" s="108"/>
      <c r="K17" s="108"/>
      <c r="L17" s="108"/>
      <c r="M17" s="108"/>
      <c r="N17" s="108"/>
      <c r="O17" s="108"/>
      <c r="P17" s="108"/>
      <c r="Q17" s="108"/>
      <c r="R17" s="108"/>
      <c r="S17" s="108"/>
      <c r="T17" s="108"/>
      <c r="U17" s="108"/>
    </row>
    <row r="18" spans="2:21">
      <c r="B18" s="94" t="s">
        <v>239</v>
      </c>
      <c r="C18" s="94"/>
      <c r="D18" s="94" t="s">
        <v>240</v>
      </c>
      <c r="E18" s="94"/>
      <c r="F18" s="94"/>
      <c r="G18" s="94"/>
      <c r="H18" s="94"/>
      <c r="I18" s="108"/>
      <c r="J18" s="108"/>
      <c r="K18" s="108"/>
      <c r="L18" s="108"/>
      <c r="M18" s="108"/>
      <c r="N18" s="108"/>
      <c r="O18" s="108"/>
      <c r="P18" s="108"/>
      <c r="Q18" s="108"/>
      <c r="R18" s="108"/>
      <c r="S18" s="108"/>
      <c r="T18" s="108"/>
      <c r="U18" s="108"/>
    </row>
    <row r="19" spans="2:21">
      <c r="B19" s="94" t="s">
        <v>241</v>
      </c>
      <c r="C19" s="94"/>
      <c r="D19" s="94"/>
      <c r="E19" s="94"/>
      <c r="F19" s="94"/>
      <c r="G19" s="94"/>
      <c r="H19" s="94"/>
      <c r="I19" s="108"/>
      <c r="J19" s="108"/>
      <c r="K19" s="108"/>
      <c r="L19" s="108"/>
      <c r="M19" s="108"/>
      <c r="N19" s="108"/>
      <c r="O19" s="108"/>
      <c r="P19" s="108"/>
      <c r="Q19" s="108"/>
      <c r="R19" s="108"/>
      <c r="S19" s="108"/>
      <c r="T19" s="108"/>
      <c r="U19" s="108"/>
    </row>
    <row r="20" spans="2:21">
      <c r="B20" s="94" t="s">
        <v>242</v>
      </c>
      <c r="C20" s="94"/>
      <c r="D20" s="94"/>
      <c r="E20" s="94"/>
      <c r="F20" s="94"/>
      <c r="G20" s="94"/>
      <c r="H20" s="94"/>
      <c r="I20" s="108"/>
      <c r="J20" s="108"/>
      <c r="K20" s="108"/>
      <c r="L20" s="108"/>
      <c r="M20" s="108"/>
      <c r="N20" s="108"/>
      <c r="O20" s="108"/>
      <c r="P20" s="108"/>
      <c r="Q20" s="108"/>
      <c r="R20" s="108"/>
      <c r="S20" s="108"/>
      <c r="T20" s="108"/>
      <c r="U20" s="108"/>
    </row>
    <row r="21" spans="2:21">
      <c r="B21" s="94"/>
      <c r="C21" s="94"/>
      <c r="D21" s="94" t="s">
        <v>243</v>
      </c>
      <c r="E21" s="94"/>
      <c r="F21" s="94"/>
      <c r="G21" s="94"/>
      <c r="H21" s="94"/>
      <c r="I21" s="94"/>
      <c r="J21" s="94"/>
      <c r="K21" s="94"/>
      <c r="L21" s="94"/>
      <c r="M21" s="94"/>
      <c r="N21" s="94"/>
      <c r="O21" s="94"/>
      <c r="P21" s="94"/>
      <c r="Q21" s="94"/>
      <c r="R21" s="94"/>
      <c r="S21" s="94"/>
      <c r="T21" s="94"/>
      <c r="U21" s="94"/>
    </row>
    <row r="22" spans="2:21">
      <c r="B22" s="94"/>
      <c r="C22" s="94"/>
      <c r="D22" s="94"/>
      <c r="E22" s="94"/>
      <c r="F22" s="94"/>
      <c r="G22" s="94"/>
      <c r="H22" s="94"/>
      <c r="I22" s="94"/>
      <c r="J22" s="94"/>
      <c r="K22" s="94"/>
      <c r="L22" s="94"/>
      <c r="M22" s="94">
        <v>3</v>
      </c>
      <c r="N22" s="94"/>
      <c r="O22" s="94"/>
      <c r="P22" s="94"/>
      <c r="Q22" s="94"/>
      <c r="R22" s="94"/>
      <c r="S22" s="94"/>
      <c r="T22" s="94"/>
      <c r="U22" s="94"/>
    </row>
    <row r="23" spans="2:21" ht="38.25">
      <c r="B23" s="94"/>
      <c r="C23" s="94"/>
      <c r="D23" s="94" t="s">
        <v>244</v>
      </c>
      <c r="E23" s="94"/>
      <c r="F23" s="94" t="s">
        <v>147</v>
      </c>
      <c r="G23" s="96" t="s">
        <v>245</v>
      </c>
      <c r="H23" s="96" t="s">
        <v>246</v>
      </c>
      <c r="I23" s="96" t="s">
        <v>247</v>
      </c>
      <c r="J23" s="96" t="s">
        <v>248</v>
      </c>
      <c r="K23" s="96" t="s">
        <v>249</v>
      </c>
      <c r="L23" s="94"/>
      <c r="M23" s="94"/>
      <c r="N23" s="94"/>
      <c r="O23" s="94"/>
      <c r="P23" s="94"/>
      <c r="Q23" s="94"/>
      <c r="R23" s="94"/>
      <c r="S23" s="94"/>
      <c r="T23" s="94"/>
      <c r="U23" s="94"/>
    </row>
    <row r="24" spans="2:21">
      <c r="B24" s="94"/>
      <c r="C24" s="94"/>
      <c r="D24" s="94"/>
      <c r="E24" s="94"/>
      <c r="F24" s="109" t="s">
        <v>250</v>
      </c>
      <c r="G24" s="110">
        <v>4283</v>
      </c>
      <c r="H24" s="110">
        <v>1</v>
      </c>
      <c r="I24" s="110">
        <v>4283</v>
      </c>
      <c r="J24" s="110">
        <v>0.3</v>
      </c>
      <c r="K24" s="110">
        <v>5567.9</v>
      </c>
      <c r="L24" s="94">
        <v>8566</v>
      </c>
      <c r="M24" s="94" t="s">
        <v>251</v>
      </c>
      <c r="N24" s="94"/>
      <c r="O24" s="94"/>
      <c r="P24" s="94"/>
      <c r="Q24" s="94"/>
      <c r="R24" s="94"/>
      <c r="S24" s="94"/>
      <c r="T24" s="94"/>
      <c r="U24" s="94"/>
    </row>
    <row r="25" spans="2:21">
      <c r="B25" s="94"/>
      <c r="C25" s="94"/>
      <c r="D25" s="94"/>
      <c r="E25" s="94"/>
      <c r="F25" s="109" t="s">
        <v>252</v>
      </c>
      <c r="G25" s="110">
        <v>250</v>
      </c>
      <c r="H25" s="110">
        <v>1</v>
      </c>
      <c r="I25" s="110">
        <v>250</v>
      </c>
      <c r="J25" s="110">
        <v>0.25</v>
      </c>
      <c r="K25" s="110">
        <v>312.5</v>
      </c>
      <c r="L25" s="94"/>
      <c r="M25" s="94"/>
      <c r="N25" s="94"/>
      <c r="O25" s="94"/>
      <c r="P25" s="94"/>
      <c r="Q25" s="94"/>
      <c r="R25" s="94"/>
      <c r="S25" s="94"/>
      <c r="T25" s="94"/>
      <c r="U25" s="94"/>
    </row>
    <row r="26" spans="2:21">
      <c r="B26" s="94"/>
      <c r="C26" s="94"/>
      <c r="D26" s="94"/>
      <c r="E26" s="94"/>
      <c r="F26" s="109" t="s">
        <v>253</v>
      </c>
      <c r="G26" s="110">
        <v>750</v>
      </c>
      <c r="H26" s="110">
        <v>1</v>
      </c>
      <c r="I26" s="110">
        <v>750</v>
      </c>
      <c r="J26" s="110">
        <v>0.2</v>
      </c>
      <c r="K26" s="110">
        <v>900</v>
      </c>
      <c r="L26" s="94"/>
      <c r="M26" s="94"/>
      <c r="N26" s="94"/>
      <c r="O26" s="94"/>
      <c r="P26" s="94"/>
      <c r="Q26" s="94"/>
      <c r="R26" s="94"/>
      <c r="S26" s="94"/>
      <c r="T26" s="94"/>
      <c r="U26" s="94"/>
    </row>
    <row r="27" spans="2:21">
      <c r="B27" s="94"/>
      <c r="C27" s="94"/>
      <c r="D27" s="94"/>
      <c r="E27" s="94"/>
      <c r="F27" s="109" t="s">
        <v>254</v>
      </c>
      <c r="G27" s="110">
        <v>80</v>
      </c>
      <c r="H27" s="110">
        <v>1</v>
      </c>
      <c r="I27" s="110">
        <v>80</v>
      </c>
      <c r="J27" s="110">
        <v>0.25</v>
      </c>
      <c r="K27" s="110">
        <v>100</v>
      </c>
      <c r="L27" s="94"/>
      <c r="M27" s="94"/>
      <c r="N27" s="94"/>
      <c r="O27" s="94"/>
      <c r="P27" s="94"/>
      <c r="Q27" s="94"/>
      <c r="R27" s="94"/>
      <c r="S27" s="94"/>
      <c r="T27" s="94"/>
      <c r="U27" s="94"/>
    </row>
    <row r="28" spans="2:21">
      <c r="B28" s="94"/>
      <c r="C28" s="94"/>
      <c r="D28" s="94"/>
      <c r="E28" s="94"/>
      <c r="F28" s="109" t="s">
        <v>255</v>
      </c>
      <c r="G28" s="110">
        <v>100</v>
      </c>
      <c r="H28" s="110">
        <v>1</v>
      </c>
      <c r="I28" s="110">
        <v>100</v>
      </c>
      <c r="J28" s="110">
        <v>0.3</v>
      </c>
      <c r="K28" s="110">
        <v>130</v>
      </c>
      <c r="L28" s="94"/>
      <c r="M28" s="94"/>
      <c r="N28" s="94"/>
      <c r="O28" s="94"/>
      <c r="P28" s="94"/>
      <c r="Q28" s="94"/>
      <c r="R28" s="94"/>
      <c r="S28" s="94"/>
      <c r="T28" s="94"/>
      <c r="U28" s="94"/>
    </row>
    <row r="29" spans="2:21">
      <c r="B29" s="94"/>
      <c r="C29" s="94"/>
      <c r="D29" s="94"/>
      <c r="E29" s="94"/>
      <c r="F29" s="109" t="s">
        <v>256</v>
      </c>
      <c r="G29" s="110">
        <v>200</v>
      </c>
      <c r="H29" s="110">
        <v>1</v>
      </c>
      <c r="I29" s="110">
        <v>250</v>
      </c>
      <c r="J29" s="110">
        <v>0.25</v>
      </c>
      <c r="K29" s="110">
        <v>312.5</v>
      </c>
      <c r="L29" s="94"/>
      <c r="M29" s="94"/>
      <c r="N29" s="94"/>
      <c r="O29" s="94"/>
      <c r="P29" s="94"/>
      <c r="Q29" s="94"/>
      <c r="R29" s="94"/>
      <c r="S29" s="94"/>
      <c r="T29" s="94"/>
      <c r="U29" s="94"/>
    </row>
    <row r="30" spans="2:21">
      <c r="B30" s="94"/>
      <c r="C30" s="94"/>
      <c r="D30" s="94"/>
      <c r="E30" s="94"/>
      <c r="F30" s="94"/>
      <c r="G30" s="94"/>
      <c r="H30" s="94"/>
      <c r="I30" s="94"/>
      <c r="J30" s="94"/>
      <c r="K30" s="94"/>
      <c r="L30" s="111">
        <v>7322.9</v>
      </c>
      <c r="M30" s="94">
        <v>2440.9666666666667</v>
      </c>
      <c r="N30" s="94"/>
      <c r="O30" s="94"/>
      <c r="P30" s="94"/>
      <c r="Q30" s="94"/>
      <c r="R30" s="94"/>
      <c r="S30" s="94"/>
      <c r="T30" s="94"/>
      <c r="U30" s="94"/>
    </row>
    <row r="31" spans="2:21">
      <c r="B31" s="94"/>
      <c r="C31" s="94"/>
      <c r="D31" s="94" t="s">
        <v>257</v>
      </c>
      <c r="E31" s="94"/>
      <c r="F31" s="94"/>
      <c r="G31" s="94"/>
      <c r="H31" s="94"/>
      <c r="I31" s="94"/>
      <c r="J31" s="94"/>
      <c r="K31" s="94"/>
      <c r="L31" s="94">
        <v>7319</v>
      </c>
      <c r="M31" s="94"/>
      <c r="N31" s="94"/>
      <c r="O31" s="94"/>
      <c r="P31" s="94"/>
      <c r="Q31" s="94"/>
      <c r="R31" s="94"/>
      <c r="S31" s="94"/>
      <c r="T31" s="94"/>
      <c r="U31" s="94"/>
    </row>
    <row r="32" spans="2:21">
      <c r="B32" s="94"/>
      <c r="C32" s="94"/>
      <c r="D32" s="94"/>
      <c r="E32" s="94"/>
      <c r="F32" s="109" t="s">
        <v>258</v>
      </c>
      <c r="G32" s="110">
        <v>50</v>
      </c>
      <c r="H32" s="110">
        <v>1</v>
      </c>
      <c r="I32" s="110">
        <v>50</v>
      </c>
      <c r="J32" s="110">
        <v>0.2</v>
      </c>
      <c r="K32" s="110">
        <v>60</v>
      </c>
      <c r="L32" s="94"/>
      <c r="M32" s="94"/>
      <c r="N32" s="94"/>
      <c r="O32" s="94"/>
      <c r="P32" s="94"/>
      <c r="Q32" s="94"/>
      <c r="R32" s="94"/>
      <c r="S32" s="94"/>
      <c r="T32" s="94"/>
      <c r="U32" s="94"/>
    </row>
    <row r="33" spans="4:20">
      <c r="D33" s="94"/>
      <c r="E33" s="94"/>
      <c r="F33" s="109" t="s">
        <v>259</v>
      </c>
      <c r="G33" s="110">
        <v>30</v>
      </c>
      <c r="H33" s="110">
        <v>2</v>
      </c>
      <c r="I33" s="110">
        <v>60</v>
      </c>
      <c r="J33" s="110">
        <v>0.2</v>
      </c>
      <c r="K33" s="110">
        <v>72</v>
      </c>
      <c r="L33" s="94"/>
      <c r="M33" s="94"/>
      <c r="N33" s="94"/>
      <c r="O33" s="94"/>
      <c r="P33" s="94"/>
      <c r="Q33" s="94"/>
      <c r="R33" s="94"/>
      <c r="S33" s="94"/>
      <c r="T33" s="94"/>
    </row>
    <row r="34" spans="4:20">
      <c r="D34" s="94"/>
      <c r="E34" s="94"/>
      <c r="F34" s="109" t="s">
        <v>260</v>
      </c>
      <c r="G34" s="110">
        <v>0.25</v>
      </c>
      <c r="H34" s="110">
        <v>2400</v>
      </c>
      <c r="I34" s="110">
        <v>600</v>
      </c>
      <c r="J34" s="110">
        <v>0.2</v>
      </c>
      <c r="K34" s="110">
        <v>720</v>
      </c>
      <c r="L34" s="94"/>
      <c r="M34" s="94"/>
      <c r="N34" s="94"/>
      <c r="O34" s="94"/>
      <c r="P34" s="94"/>
      <c r="Q34" s="94"/>
      <c r="R34" s="94"/>
      <c r="S34" s="94"/>
      <c r="T34" s="94"/>
    </row>
    <row r="35" spans="4:20">
      <c r="D35" s="94"/>
      <c r="E35" s="94"/>
      <c r="F35" s="112" t="s">
        <v>261</v>
      </c>
      <c r="G35" s="113">
        <v>20</v>
      </c>
      <c r="H35" s="113">
        <v>16</v>
      </c>
      <c r="I35" s="110">
        <v>320</v>
      </c>
      <c r="J35" s="113">
        <v>0.2</v>
      </c>
      <c r="K35" s="110">
        <v>320</v>
      </c>
      <c r="L35" s="94"/>
      <c r="M35" s="94"/>
      <c r="N35" s="94">
        <v>850</v>
      </c>
      <c r="O35" s="94">
        <v>55</v>
      </c>
      <c r="P35" s="94">
        <v>15.454545454545455</v>
      </c>
      <c r="Q35" s="94">
        <v>3.125E-2</v>
      </c>
      <c r="R35" s="94">
        <v>2.3009033203125001E-2</v>
      </c>
      <c r="S35" s="94">
        <v>55.2216796875</v>
      </c>
      <c r="T35" s="94">
        <v>16.566503906249999</v>
      </c>
    </row>
    <row r="36" spans="4:20">
      <c r="D36" s="94" t="s">
        <v>262</v>
      </c>
      <c r="E36" s="94"/>
      <c r="F36" s="112"/>
      <c r="G36" s="114"/>
      <c r="H36" s="114"/>
      <c r="I36" s="94"/>
      <c r="J36" s="115"/>
      <c r="K36" s="94"/>
      <c r="L36" s="111">
        <v>1172</v>
      </c>
      <c r="M36" s="94">
        <v>390.66666666666669</v>
      </c>
      <c r="N36" s="94"/>
      <c r="O36" s="94"/>
      <c r="P36" s="94"/>
      <c r="Q36" s="94"/>
      <c r="R36" s="94"/>
      <c r="S36" s="94"/>
      <c r="T36" s="94"/>
    </row>
    <row r="37" spans="4:20">
      <c r="D37" s="94"/>
      <c r="E37" s="94"/>
      <c r="F37" s="109" t="s">
        <v>263</v>
      </c>
      <c r="G37" s="116">
        <v>120</v>
      </c>
      <c r="H37" s="116">
        <v>4</v>
      </c>
      <c r="I37" s="117">
        <v>480</v>
      </c>
      <c r="J37" s="116"/>
      <c r="K37" s="116">
        <v>480</v>
      </c>
      <c r="L37" s="94"/>
      <c r="M37" s="94"/>
      <c r="N37" s="94"/>
      <c r="O37" s="94"/>
      <c r="P37" s="94"/>
      <c r="Q37" s="94"/>
      <c r="R37" s="94"/>
      <c r="S37" s="94"/>
      <c r="T37" s="94"/>
    </row>
    <row r="38" spans="4:20">
      <c r="D38" s="94"/>
      <c r="E38" s="94"/>
      <c r="F38" s="112" t="s">
        <v>264</v>
      </c>
      <c r="G38" s="116">
        <v>6</v>
      </c>
      <c r="H38" s="116">
        <v>300</v>
      </c>
      <c r="I38" s="116">
        <v>1800</v>
      </c>
      <c r="J38" s="116"/>
      <c r="K38" s="116">
        <v>1800</v>
      </c>
      <c r="L38" s="94"/>
      <c r="M38" s="94"/>
      <c r="N38" s="94"/>
      <c r="O38" s="94">
        <v>200</v>
      </c>
      <c r="P38" s="94">
        <v>3</v>
      </c>
      <c r="Q38" s="94">
        <v>5</v>
      </c>
      <c r="R38" s="94">
        <v>3000</v>
      </c>
      <c r="S38" s="118">
        <v>100</v>
      </c>
      <c r="T38" s="94"/>
    </row>
    <row r="39" spans="4:20">
      <c r="D39" s="94"/>
      <c r="E39" s="94"/>
      <c r="F39" s="112" t="s">
        <v>265</v>
      </c>
      <c r="G39" s="116">
        <v>60</v>
      </c>
      <c r="H39" s="116">
        <v>2</v>
      </c>
      <c r="I39" s="116">
        <v>120</v>
      </c>
      <c r="J39" s="116"/>
      <c r="K39" s="116">
        <v>120</v>
      </c>
      <c r="L39" s="94"/>
      <c r="M39" s="94"/>
      <c r="N39" s="94"/>
      <c r="O39" s="94"/>
      <c r="P39" s="94"/>
      <c r="Q39" s="94"/>
      <c r="R39" s="94"/>
      <c r="S39" s="94"/>
      <c r="T39" s="94"/>
    </row>
    <row r="40" spans="4:20">
      <c r="D40" s="94"/>
      <c r="E40" s="94"/>
      <c r="F40" s="112" t="s">
        <v>266</v>
      </c>
      <c r="G40" s="116">
        <v>60</v>
      </c>
      <c r="H40" s="116">
        <v>1</v>
      </c>
      <c r="I40" s="116">
        <v>60</v>
      </c>
      <c r="J40" s="116"/>
      <c r="K40" s="116">
        <v>60</v>
      </c>
      <c r="L40" s="94"/>
      <c r="M40" s="94"/>
      <c r="N40" s="94"/>
      <c r="O40" s="94"/>
      <c r="P40" s="94"/>
      <c r="Q40" s="94"/>
      <c r="R40" s="94"/>
      <c r="S40" s="94"/>
      <c r="T40" s="94"/>
    </row>
    <row r="41" spans="4:20">
      <c r="D41" s="94"/>
      <c r="E41" s="94"/>
      <c r="F41" s="112" t="s">
        <v>267</v>
      </c>
      <c r="G41" s="116">
        <v>60</v>
      </c>
      <c r="H41" s="116">
        <v>2</v>
      </c>
      <c r="I41" s="116">
        <v>120</v>
      </c>
      <c r="J41" s="116"/>
      <c r="K41" s="116">
        <v>120</v>
      </c>
      <c r="L41" s="94"/>
      <c r="M41" s="94"/>
      <c r="N41" s="94"/>
      <c r="O41" s="94"/>
      <c r="P41" s="94"/>
      <c r="Q41" s="94"/>
      <c r="R41" s="94"/>
      <c r="S41" s="94"/>
      <c r="T41" s="94"/>
    </row>
    <row r="42" spans="4:20">
      <c r="D42" s="94"/>
      <c r="E42" s="94"/>
      <c r="F42" s="112" t="s">
        <v>268</v>
      </c>
      <c r="G42" s="116">
        <v>60</v>
      </c>
      <c r="H42" s="116">
        <v>1</v>
      </c>
      <c r="I42" s="116">
        <v>60</v>
      </c>
      <c r="J42" s="116"/>
      <c r="K42" s="116">
        <v>60</v>
      </c>
      <c r="L42" s="94"/>
      <c r="M42" s="94"/>
      <c r="N42" s="94"/>
      <c r="O42" s="94"/>
      <c r="P42" s="94"/>
      <c r="Q42" s="94"/>
      <c r="R42" s="94"/>
      <c r="S42" s="94"/>
      <c r="T42" s="94"/>
    </row>
    <row r="43" spans="4:20">
      <c r="D43" s="94"/>
      <c r="E43" s="94"/>
      <c r="F43" s="112" t="s">
        <v>269</v>
      </c>
      <c r="G43" s="116">
        <v>60</v>
      </c>
      <c r="H43" s="116">
        <v>6</v>
      </c>
      <c r="I43" s="116">
        <v>360</v>
      </c>
      <c r="J43" s="116"/>
      <c r="K43" s="116">
        <v>360</v>
      </c>
      <c r="L43" s="94"/>
      <c r="M43" s="94"/>
      <c r="N43" s="94"/>
      <c r="O43" s="94"/>
      <c r="P43" s="94"/>
      <c r="Q43" s="94"/>
      <c r="R43" s="94"/>
      <c r="S43" s="94"/>
      <c r="T43" s="94"/>
    </row>
    <row r="44" spans="4:20">
      <c r="D44" s="94"/>
      <c r="E44" s="94"/>
      <c r="F44" s="112" t="s">
        <v>270</v>
      </c>
      <c r="G44" s="116">
        <v>3</v>
      </c>
      <c r="H44" s="116">
        <v>300</v>
      </c>
      <c r="I44" s="116">
        <v>900</v>
      </c>
      <c r="J44" s="116"/>
      <c r="K44" s="116">
        <v>900</v>
      </c>
      <c r="L44" s="94"/>
      <c r="M44" s="94"/>
      <c r="N44" s="94"/>
      <c r="O44" s="94"/>
      <c r="P44" s="94"/>
      <c r="Q44" s="94"/>
      <c r="R44" s="94"/>
      <c r="S44" s="94"/>
      <c r="T44" s="94"/>
    </row>
    <row r="45" spans="4:20">
      <c r="D45" s="94"/>
      <c r="E45" s="94"/>
      <c r="F45" s="112"/>
      <c r="G45" s="116"/>
      <c r="H45" s="116"/>
      <c r="I45" s="116"/>
      <c r="J45" s="116"/>
      <c r="K45" s="116"/>
      <c r="L45" s="94"/>
      <c r="M45" s="94"/>
      <c r="N45" s="94"/>
      <c r="O45" s="94"/>
      <c r="P45" s="94"/>
      <c r="Q45" s="94"/>
      <c r="R45" s="94"/>
      <c r="S45" s="94"/>
      <c r="T45" s="94"/>
    </row>
    <row r="46" spans="4:20">
      <c r="D46" s="94"/>
      <c r="E46" s="94"/>
      <c r="F46" s="94"/>
      <c r="G46" s="94"/>
      <c r="H46" s="94"/>
      <c r="I46" s="94"/>
      <c r="J46" s="94"/>
      <c r="K46" s="94" t="s">
        <v>271</v>
      </c>
      <c r="L46" s="119">
        <v>3900</v>
      </c>
      <c r="M46" s="94">
        <v>1300</v>
      </c>
      <c r="N46" s="94"/>
      <c r="O46" s="94"/>
      <c r="P46" s="94"/>
      <c r="Q46" s="94"/>
      <c r="R46" s="94"/>
      <c r="S46" s="94"/>
      <c r="T46" s="94"/>
    </row>
    <row r="48" spans="4:20">
      <c r="D48" s="94"/>
      <c r="E48" s="94"/>
      <c r="F48" s="94"/>
      <c r="G48" s="94"/>
      <c r="H48" s="94"/>
      <c r="I48" s="94"/>
      <c r="J48" s="94"/>
      <c r="K48" s="94" t="s">
        <v>272</v>
      </c>
      <c r="L48" s="119">
        <v>12394.9</v>
      </c>
      <c r="M48" s="94">
        <v>4131.6333333333332</v>
      </c>
      <c r="N48" s="94"/>
      <c r="O48" s="94"/>
      <c r="P48" s="94"/>
      <c r="Q48" s="94"/>
      <c r="R48" s="94"/>
      <c r="S48" s="94"/>
      <c r="T48" s="94"/>
    </row>
    <row r="50" spans="6:12">
      <c r="F50" s="109" t="s">
        <v>273</v>
      </c>
      <c r="G50" s="120">
        <v>7322.9</v>
      </c>
      <c r="H50" s="116">
        <v>2440.9666666666667</v>
      </c>
      <c r="I50" s="94"/>
      <c r="J50" s="94"/>
      <c r="K50" s="94"/>
      <c r="L50" s="94"/>
    </row>
    <row r="51" spans="6:12">
      <c r="F51" s="109" t="s">
        <v>274</v>
      </c>
      <c r="G51" s="120">
        <v>5072</v>
      </c>
      <c r="H51" s="116">
        <v>1690.6666666666667</v>
      </c>
      <c r="I51" s="94"/>
      <c r="J51" s="94"/>
      <c r="K51" s="94"/>
      <c r="L51" s="94"/>
    </row>
    <row r="55" spans="6:12">
      <c r="F55" s="94"/>
      <c r="G55" s="95"/>
      <c r="H55" s="95"/>
      <c r="I55" s="95"/>
      <c r="J55" s="94"/>
      <c r="K55" s="94"/>
      <c r="L55" s="94"/>
    </row>
    <row r="56" spans="6:12">
      <c r="F56" s="109"/>
      <c r="G56" s="110"/>
      <c r="H56" s="110"/>
      <c r="I56" s="110"/>
      <c r="J56" s="94"/>
      <c r="K56" s="94"/>
      <c r="L56" s="94"/>
    </row>
    <row r="57" spans="6:12">
      <c r="F57" s="94"/>
      <c r="G57" s="106"/>
      <c r="H57" s="107"/>
      <c r="I57" s="107"/>
      <c r="J57" s="104"/>
      <c r="K57" s="94"/>
      <c r="L57" s="94"/>
    </row>
    <row r="58" spans="6:12">
      <c r="F58" s="94"/>
      <c r="G58" s="106"/>
      <c r="H58" s="107"/>
      <c r="I58" s="107"/>
      <c r="J58" s="104"/>
      <c r="K58" s="94"/>
      <c r="L58" s="94"/>
    </row>
    <row r="59" spans="6:12">
      <c r="F59" s="94"/>
      <c r="G59" s="106"/>
      <c r="H59" s="107"/>
      <c r="I59" s="107"/>
      <c r="J59" s="104"/>
      <c r="K59" s="94"/>
      <c r="L59" s="94"/>
    </row>
    <row r="60" spans="6:12">
      <c r="F60" s="94"/>
      <c r="G60" s="106"/>
      <c r="H60" s="107"/>
      <c r="I60" s="107"/>
      <c r="J60" s="104"/>
      <c r="K60" s="94"/>
      <c r="L60" s="94"/>
    </row>
    <row r="61" spans="6:12">
      <c r="F61" s="94"/>
      <c r="G61" s="106"/>
      <c r="H61" s="107"/>
      <c r="I61" s="107"/>
      <c r="J61" s="104"/>
      <c r="K61" s="94"/>
      <c r="L61" s="94"/>
    </row>
    <row r="62" spans="6:12">
      <c r="F62" s="94"/>
      <c r="G62" s="106"/>
      <c r="H62" s="107"/>
      <c r="I62" s="107"/>
      <c r="J62" s="104"/>
      <c r="K62" s="94"/>
      <c r="L62" s="94"/>
    </row>
    <row r="63" spans="6:12">
      <c r="F63" s="94"/>
      <c r="G63" s="94"/>
      <c r="H63" s="94"/>
      <c r="I63" s="94"/>
      <c r="J63" s="94"/>
      <c r="K63" s="94"/>
      <c r="L63" s="121"/>
    </row>
    <row r="64" spans="6:12">
      <c r="F64" s="94"/>
      <c r="G64" s="94"/>
      <c r="H64" s="94"/>
      <c r="I64" s="94"/>
      <c r="J64" s="94"/>
      <c r="K64" s="94"/>
      <c r="L64" s="122"/>
    </row>
    <row r="66" spans="2:22">
      <c r="B66" s="94"/>
      <c r="C66" s="94"/>
      <c r="D66" s="94"/>
      <c r="E66" s="94"/>
      <c r="F66" s="94"/>
      <c r="G66" s="94"/>
      <c r="H66" s="94"/>
      <c r="I66" s="94"/>
      <c r="J66" s="94"/>
      <c r="K66" s="94"/>
      <c r="L66" s="94"/>
      <c r="M66" s="94"/>
      <c r="N66" s="94"/>
      <c r="O66" s="94"/>
      <c r="P66" s="94"/>
      <c r="Q66" s="94"/>
      <c r="R66" s="94"/>
      <c r="S66" s="94"/>
      <c r="T66" s="94"/>
      <c r="U66" s="94"/>
      <c r="V66" s="94"/>
    </row>
    <row r="67" spans="2:22" ht="15">
      <c r="B67" s="123"/>
      <c r="C67" s="123"/>
      <c r="D67" s="123"/>
      <c r="E67" s="123"/>
      <c r="F67" s="94"/>
      <c r="G67" s="94"/>
      <c r="H67" s="94"/>
      <c r="I67" s="94"/>
      <c r="J67" s="94"/>
      <c r="K67" s="94"/>
      <c r="L67" s="94"/>
      <c r="M67" s="94"/>
      <c r="N67" s="94"/>
      <c r="O67" s="94"/>
      <c r="P67" s="94"/>
      <c r="Q67" s="94"/>
      <c r="R67" s="94"/>
      <c r="S67" s="94"/>
      <c r="T67" s="94"/>
      <c r="U67" s="94"/>
      <c r="V67" s="94"/>
    </row>
    <row r="69" spans="2:22">
      <c r="B69" s="94" t="s">
        <v>158</v>
      </c>
      <c r="C69" s="94"/>
      <c r="D69" s="94"/>
      <c r="E69" s="94"/>
      <c r="F69" s="94"/>
      <c r="G69" s="94"/>
      <c r="H69" s="94"/>
      <c r="I69" s="94"/>
      <c r="J69" s="94"/>
      <c r="K69" s="94"/>
      <c r="L69" s="94"/>
      <c r="M69" s="94"/>
      <c r="N69" s="94"/>
      <c r="O69" s="94"/>
      <c r="P69" s="94"/>
      <c r="Q69" s="94"/>
      <c r="R69" s="94"/>
      <c r="S69" s="94"/>
      <c r="T69" s="94"/>
      <c r="U69" s="94"/>
      <c r="V69" s="94"/>
    </row>
    <row r="71" spans="2:22">
      <c r="B71" s="94" t="s">
        <v>275</v>
      </c>
      <c r="C71" s="94"/>
      <c r="D71" s="94"/>
      <c r="E71" s="94"/>
      <c r="F71" s="94"/>
      <c r="G71" s="94"/>
      <c r="H71" s="94"/>
      <c r="I71" s="94"/>
      <c r="J71" s="94"/>
      <c r="K71" s="94"/>
      <c r="L71" s="94"/>
      <c r="M71" s="94"/>
      <c r="N71" s="94"/>
      <c r="O71" s="94"/>
      <c r="P71" s="94"/>
      <c r="Q71" s="94"/>
      <c r="R71" s="94"/>
      <c r="S71" s="94"/>
      <c r="T71" s="94"/>
      <c r="U71" s="94"/>
      <c r="V71" s="94"/>
    </row>
    <row r="72" spans="2:22">
      <c r="B72" s="111" t="s">
        <v>276</v>
      </c>
      <c r="C72" s="94"/>
      <c r="D72" s="94"/>
      <c r="E72" s="94"/>
      <c r="F72" s="94"/>
      <c r="G72" s="94"/>
      <c r="H72" s="94"/>
      <c r="I72" s="94"/>
      <c r="J72" s="94"/>
      <c r="K72" s="94"/>
      <c r="L72" s="94"/>
      <c r="M72" s="94"/>
      <c r="N72" s="94"/>
      <c r="O72" s="94"/>
      <c r="P72" s="94"/>
      <c r="Q72" s="94"/>
      <c r="R72" s="94"/>
      <c r="S72" s="94"/>
      <c r="T72" s="94"/>
      <c r="U72" s="94"/>
      <c r="V72" s="94"/>
    </row>
    <row r="73" spans="2:22" ht="36">
      <c r="B73" s="94"/>
      <c r="C73" s="124" t="s">
        <v>277</v>
      </c>
      <c r="D73" s="124" t="s">
        <v>7</v>
      </c>
      <c r="E73" s="124" t="s">
        <v>278</v>
      </c>
      <c r="F73" s="124" t="s">
        <v>279</v>
      </c>
      <c r="G73" s="124" t="s">
        <v>280</v>
      </c>
      <c r="H73" s="124" t="s">
        <v>281</v>
      </c>
      <c r="I73" s="124" t="s">
        <v>282</v>
      </c>
      <c r="J73" s="124" t="s">
        <v>283</v>
      </c>
      <c r="K73" s="124" t="s">
        <v>284</v>
      </c>
      <c r="L73" s="124" t="s">
        <v>285</v>
      </c>
      <c r="M73" s="124" t="s">
        <v>286</v>
      </c>
      <c r="N73" s="124" t="s">
        <v>287</v>
      </c>
      <c r="O73" s="124" t="s">
        <v>288</v>
      </c>
      <c r="P73" s="124"/>
      <c r="Q73" s="124"/>
      <c r="R73" s="124"/>
      <c r="S73" s="124"/>
      <c r="T73" s="124"/>
      <c r="U73" s="124" t="s">
        <v>289</v>
      </c>
      <c r="V73" s="124" t="s">
        <v>290</v>
      </c>
    </row>
    <row r="74" spans="2:22" ht="38.25">
      <c r="B74" s="94"/>
      <c r="C74" s="125" t="s">
        <v>291</v>
      </c>
      <c r="D74" s="125" t="s">
        <v>292</v>
      </c>
      <c r="E74" s="126">
        <v>40262</v>
      </c>
      <c r="F74" s="125" t="s">
        <v>293</v>
      </c>
      <c r="G74" s="125" t="s">
        <v>206</v>
      </c>
      <c r="H74" s="125">
        <v>98922</v>
      </c>
      <c r="I74" s="125">
        <v>1500</v>
      </c>
      <c r="J74" s="125">
        <v>39879</v>
      </c>
      <c r="K74" s="125" t="s">
        <v>294</v>
      </c>
      <c r="L74" s="125">
        <v>2</v>
      </c>
      <c r="M74" s="125" t="s">
        <v>48</v>
      </c>
      <c r="N74" s="125" t="s">
        <v>295</v>
      </c>
      <c r="O74" s="127">
        <v>2800</v>
      </c>
      <c r="P74" s="127"/>
      <c r="Q74" s="127"/>
      <c r="R74" s="127"/>
      <c r="S74" s="127"/>
      <c r="T74" s="127"/>
      <c r="U74" s="125"/>
      <c r="V74" s="125"/>
    </row>
    <row r="75" spans="2:22" ht="38.25">
      <c r="B75" s="94"/>
      <c r="C75" s="125" t="s">
        <v>291</v>
      </c>
      <c r="D75" s="125" t="s">
        <v>292</v>
      </c>
      <c r="E75" s="126">
        <v>40535</v>
      </c>
      <c r="F75" s="125" t="s">
        <v>296</v>
      </c>
      <c r="G75" s="125" t="s">
        <v>206</v>
      </c>
      <c r="H75" s="125">
        <v>98040</v>
      </c>
      <c r="I75" s="125">
        <v>1500</v>
      </c>
      <c r="J75" s="125">
        <v>88322</v>
      </c>
      <c r="K75" s="125" t="s">
        <v>294</v>
      </c>
      <c r="L75" s="125">
        <v>2</v>
      </c>
      <c r="M75" s="125" t="s">
        <v>48</v>
      </c>
      <c r="N75" s="125" t="s">
        <v>297</v>
      </c>
      <c r="O75" s="127">
        <v>4440</v>
      </c>
      <c r="P75" s="127"/>
      <c r="Q75" s="127"/>
      <c r="R75" s="127"/>
      <c r="S75" s="127"/>
      <c r="T75" s="127"/>
      <c r="U75" s="125">
        <v>1954</v>
      </c>
      <c r="V75" s="125" t="s">
        <v>298</v>
      </c>
    </row>
    <row r="76" spans="2:22" ht="38.25">
      <c r="B76" s="94"/>
      <c r="C76" s="125" t="s">
        <v>291</v>
      </c>
      <c r="D76" s="125" t="s">
        <v>292</v>
      </c>
      <c r="E76" s="126">
        <v>40535</v>
      </c>
      <c r="F76" s="125" t="s">
        <v>299</v>
      </c>
      <c r="G76" s="125" t="s">
        <v>206</v>
      </c>
      <c r="H76" s="125">
        <v>98321</v>
      </c>
      <c r="I76" s="125">
        <v>1500</v>
      </c>
      <c r="J76" s="125">
        <v>20944</v>
      </c>
      <c r="K76" s="125" t="s">
        <v>294</v>
      </c>
      <c r="L76" s="125">
        <v>4</v>
      </c>
      <c r="M76" s="125" t="s">
        <v>48</v>
      </c>
      <c r="N76" s="125" t="s">
        <v>295</v>
      </c>
      <c r="O76" s="127">
        <v>3100</v>
      </c>
      <c r="P76" s="127"/>
      <c r="Q76" s="127"/>
      <c r="R76" s="127"/>
      <c r="S76" s="127"/>
      <c r="T76" s="127"/>
      <c r="U76" s="125">
        <v>1983</v>
      </c>
      <c r="V76" s="125"/>
    </row>
    <row r="77" spans="2:22" ht="38.25">
      <c r="B77" s="94"/>
      <c r="C77" s="125" t="s">
        <v>291</v>
      </c>
      <c r="D77" s="125" t="s">
        <v>292</v>
      </c>
      <c r="E77" s="126">
        <v>40340</v>
      </c>
      <c r="F77" s="125" t="s">
        <v>300</v>
      </c>
      <c r="G77" s="125" t="s">
        <v>206</v>
      </c>
      <c r="H77" s="125">
        <v>98110</v>
      </c>
      <c r="I77" s="125">
        <v>1500</v>
      </c>
      <c r="J77" s="125">
        <v>40870</v>
      </c>
      <c r="K77" s="125" t="s">
        <v>294</v>
      </c>
      <c r="L77" s="125">
        <v>3</v>
      </c>
      <c r="M77" s="125" t="s">
        <v>48</v>
      </c>
      <c r="N77" s="125" t="s">
        <v>295</v>
      </c>
      <c r="O77" s="127">
        <v>3500</v>
      </c>
      <c r="P77" s="127"/>
      <c r="Q77" s="127"/>
      <c r="R77" s="127"/>
      <c r="S77" s="127"/>
      <c r="T77" s="127"/>
      <c r="U77" s="125">
        <v>1995</v>
      </c>
      <c r="V77" s="125"/>
    </row>
    <row r="78" spans="2:22" ht="38.25">
      <c r="B78" s="94"/>
      <c r="C78" s="125" t="s">
        <v>291</v>
      </c>
      <c r="D78" s="125" t="s">
        <v>292</v>
      </c>
      <c r="E78" s="126">
        <v>40340</v>
      </c>
      <c r="F78" s="125" t="s">
        <v>301</v>
      </c>
      <c r="G78" s="125" t="s">
        <v>206</v>
      </c>
      <c r="H78" s="125">
        <v>98513</v>
      </c>
      <c r="I78" s="125">
        <v>1500</v>
      </c>
      <c r="J78" s="125">
        <v>5952</v>
      </c>
      <c r="K78" s="125" t="s">
        <v>294</v>
      </c>
      <c r="L78" s="125">
        <v>4</v>
      </c>
      <c r="M78" s="125" t="s">
        <v>48</v>
      </c>
      <c r="N78" s="125" t="s">
        <v>302</v>
      </c>
      <c r="O78" s="127">
        <v>3600</v>
      </c>
      <c r="P78" s="127"/>
      <c r="Q78" s="127"/>
      <c r="R78" s="127"/>
      <c r="S78" s="127"/>
      <c r="T78" s="127"/>
      <c r="U78" s="125">
        <v>2009</v>
      </c>
      <c r="V78" s="125" t="s">
        <v>303</v>
      </c>
    </row>
    <row r="79" spans="2:22" ht="38.25">
      <c r="B79" s="94"/>
      <c r="C79" s="125" t="s">
        <v>291</v>
      </c>
      <c r="D79" s="125" t="s">
        <v>292</v>
      </c>
      <c r="E79" s="126">
        <v>40528</v>
      </c>
      <c r="F79" s="125" t="s">
        <v>304</v>
      </c>
      <c r="G79" s="125" t="s">
        <v>206</v>
      </c>
      <c r="H79" s="125">
        <v>98597</v>
      </c>
      <c r="I79" s="125">
        <v>1500</v>
      </c>
      <c r="J79" s="125">
        <v>19900</v>
      </c>
      <c r="K79" s="125" t="s">
        <v>305</v>
      </c>
      <c r="L79" s="125">
        <v>2</v>
      </c>
      <c r="M79" s="125" t="s">
        <v>48</v>
      </c>
      <c r="N79" s="125" t="s">
        <v>297</v>
      </c>
      <c r="O79" s="127">
        <v>3600</v>
      </c>
      <c r="P79" s="127"/>
      <c r="Q79" s="127"/>
      <c r="R79" s="127"/>
      <c r="S79" s="127"/>
      <c r="T79" s="127"/>
      <c r="U79" s="125">
        <v>1990</v>
      </c>
      <c r="V79" s="125" t="s">
        <v>303</v>
      </c>
    </row>
    <row r="80" spans="2:22" ht="38.25">
      <c r="B80" s="94"/>
      <c r="C80" s="125" t="s">
        <v>291</v>
      </c>
      <c r="D80" s="125" t="s">
        <v>292</v>
      </c>
      <c r="E80" s="126">
        <v>40528</v>
      </c>
      <c r="F80" s="125" t="s">
        <v>306</v>
      </c>
      <c r="G80" s="125" t="s">
        <v>206</v>
      </c>
      <c r="H80" s="125">
        <v>98503</v>
      </c>
      <c r="I80" s="125">
        <v>1500</v>
      </c>
      <c r="J80" s="125">
        <v>34935</v>
      </c>
      <c r="K80" s="125" t="s">
        <v>294</v>
      </c>
      <c r="L80" s="125">
        <v>4</v>
      </c>
      <c r="M80" s="125" t="s">
        <v>48</v>
      </c>
      <c r="N80" s="125" t="s">
        <v>297</v>
      </c>
      <c r="O80" s="127">
        <v>4000</v>
      </c>
      <c r="P80" s="127"/>
      <c r="Q80" s="127"/>
      <c r="R80" s="127"/>
      <c r="S80" s="127"/>
      <c r="T80" s="127"/>
      <c r="U80" s="125">
        <v>1997</v>
      </c>
      <c r="V80" s="125"/>
    </row>
    <row r="81" spans="3:22" ht="38.25">
      <c r="C81" s="125" t="s">
        <v>291</v>
      </c>
      <c r="D81" s="125" t="s">
        <v>292</v>
      </c>
      <c r="E81" s="126">
        <v>40445</v>
      </c>
      <c r="F81" s="125" t="s">
        <v>300</v>
      </c>
      <c r="G81" s="125" t="s">
        <v>206</v>
      </c>
      <c r="H81" s="125">
        <v>98110</v>
      </c>
      <c r="I81" s="125">
        <v>1500</v>
      </c>
      <c r="J81" s="125">
        <v>27390</v>
      </c>
      <c r="K81" s="125" t="s">
        <v>294</v>
      </c>
      <c r="L81" s="125">
        <v>2</v>
      </c>
      <c r="M81" s="125" t="s">
        <v>48</v>
      </c>
      <c r="N81" s="125" t="s">
        <v>295</v>
      </c>
      <c r="O81" s="127">
        <v>2200</v>
      </c>
      <c r="P81" s="127"/>
      <c r="Q81" s="127"/>
      <c r="R81" s="127"/>
      <c r="S81" s="127"/>
      <c r="T81" s="127"/>
      <c r="U81" s="125">
        <v>1970</v>
      </c>
      <c r="V81" s="125" t="s">
        <v>307</v>
      </c>
    </row>
    <row r="82" spans="3:22" ht="38.25">
      <c r="C82" s="125" t="s">
        <v>291</v>
      </c>
      <c r="D82" s="125" t="s">
        <v>292</v>
      </c>
      <c r="E82" s="126">
        <v>40424</v>
      </c>
      <c r="F82" s="125" t="s">
        <v>301</v>
      </c>
      <c r="G82" s="125" t="s">
        <v>206</v>
      </c>
      <c r="H82" s="125">
        <v>98516</v>
      </c>
      <c r="I82" s="125">
        <v>1500</v>
      </c>
      <c r="J82" s="125">
        <v>19496</v>
      </c>
      <c r="K82" s="125" t="s">
        <v>294</v>
      </c>
      <c r="L82" s="125">
        <v>2</v>
      </c>
      <c r="M82" s="125" t="s">
        <v>48</v>
      </c>
      <c r="N82" s="125" t="s">
        <v>295</v>
      </c>
      <c r="O82" s="127">
        <v>1600</v>
      </c>
      <c r="P82" s="127"/>
      <c r="Q82" s="127"/>
      <c r="R82" s="127"/>
      <c r="S82" s="127"/>
      <c r="T82" s="127"/>
      <c r="U82" s="125">
        <v>1974</v>
      </c>
      <c r="V82" s="125"/>
    </row>
    <row r="83" spans="3:22" ht="51">
      <c r="C83" s="125" t="s">
        <v>291</v>
      </c>
      <c r="D83" s="125" t="s">
        <v>292</v>
      </c>
      <c r="E83" s="126">
        <v>40490</v>
      </c>
      <c r="F83" s="125" t="s">
        <v>308</v>
      </c>
      <c r="G83" s="125" t="s">
        <v>206</v>
      </c>
      <c r="H83" s="125">
        <v>98059</v>
      </c>
      <c r="I83" s="125">
        <v>1500</v>
      </c>
      <c r="J83" s="125">
        <v>21748</v>
      </c>
      <c r="K83" s="125" t="s">
        <v>294</v>
      </c>
      <c r="L83" s="125">
        <v>3</v>
      </c>
      <c r="M83" s="125" t="s">
        <v>48</v>
      </c>
      <c r="N83" s="125" t="s">
        <v>297</v>
      </c>
      <c r="O83" s="127">
        <v>1540</v>
      </c>
      <c r="P83" s="127"/>
      <c r="Q83" s="127"/>
      <c r="R83" s="127"/>
      <c r="S83" s="127"/>
      <c r="T83" s="127"/>
      <c r="U83" s="125">
        <v>1973</v>
      </c>
      <c r="V83" s="125" t="s">
        <v>309</v>
      </c>
    </row>
    <row r="84" spans="3:22" ht="38.25">
      <c r="C84" s="125" t="s">
        <v>291</v>
      </c>
      <c r="D84" s="125" t="s">
        <v>292</v>
      </c>
      <c r="E84" s="126">
        <v>40340</v>
      </c>
      <c r="F84" s="125" t="s">
        <v>310</v>
      </c>
      <c r="G84" s="125" t="s">
        <v>206</v>
      </c>
      <c r="H84" s="125">
        <v>98006</v>
      </c>
      <c r="I84" s="125">
        <v>1500</v>
      </c>
      <c r="J84" s="125">
        <v>28394</v>
      </c>
      <c r="K84" s="125" t="s">
        <v>294</v>
      </c>
      <c r="L84" s="125">
        <v>3</v>
      </c>
      <c r="M84" s="125" t="s">
        <v>48</v>
      </c>
      <c r="N84" s="125" t="s">
        <v>297</v>
      </c>
      <c r="O84" s="127">
        <v>3000</v>
      </c>
      <c r="P84" s="127"/>
      <c r="Q84" s="127"/>
      <c r="R84" s="127"/>
      <c r="S84" s="127"/>
      <c r="T84" s="127"/>
      <c r="U84" s="125">
        <v>1979</v>
      </c>
      <c r="V84" s="125"/>
    </row>
    <row r="85" spans="3:22" ht="38.25">
      <c r="C85" s="125" t="s">
        <v>291</v>
      </c>
      <c r="D85" s="125" t="s">
        <v>292</v>
      </c>
      <c r="E85" s="126">
        <v>40490</v>
      </c>
      <c r="F85" s="125" t="s">
        <v>311</v>
      </c>
      <c r="G85" s="125" t="s">
        <v>206</v>
      </c>
      <c r="H85" s="125">
        <v>98503</v>
      </c>
      <c r="I85" s="125">
        <v>1500</v>
      </c>
      <c r="J85" s="125">
        <v>28631</v>
      </c>
      <c r="K85" s="125" t="s">
        <v>294</v>
      </c>
      <c r="L85" s="125">
        <v>2</v>
      </c>
      <c r="M85" s="125" t="s">
        <v>48</v>
      </c>
      <c r="N85" s="125" t="s">
        <v>295</v>
      </c>
      <c r="O85" s="127">
        <v>1420</v>
      </c>
      <c r="P85" s="127"/>
      <c r="Q85" s="127"/>
      <c r="R85" s="127"/>
      <c r="S85" s="127"/>
      <c r="T85" s="127"/>
      <c r="U85" s="125">
        <v>1960</v>
      </c>
      <c r="V85" s="125"/>
    </row>
    <row r="86" spans="3:22" ht="63.75">
      <c r="C86" s="125" t="s">
        <v>291</v>
      </c>
      <c r="D86" s="125" t="s">
        <v>292</v>
      </c>
      <c r="E86" s="126">
        <v>40490</v>
      </c>
      <c r="F86" s="125" t="s">
        <v>312</v>
      </c>
      <c r="G86" s="125" t="s">
        <v>206</v>
      </c>
      <c r="H86" s="125">
        <v>98038</v>
      </c>
      <c r="I86" s="125">
        <v>1500</v>
      </c>
      <c r="J86" s="125">
        <v>13483</v>
      </c>
      <c r="K86" s="125" t="s">
        <v>294</v>
      </c>
      <c r="L86" s="125">
        <v>2</v>
      </c>
      <c r="M86" s="125" t="s">
        <v>48</v>
      </c>
      <c r="N86" s="125" t="s">
        <v>295</v>
      </c>
      <c r="O86" s="127">
        <v>2500</v>
      </c>
      <c r="P86" s="127"/>
      <c r="Q86" s="127"/>
      <c r="R86" s="127"/>
      <c r="S86" s="127"/>
      <c r="T86" s="127"/>
      <c r="U86" s="125">
        <v>1992</v>
      </c>
      <c r="V86" s="125" t="s">
        <v>313</v>
      </c>
    </row>
    <row r="87" spans="3:22" ht="38.25">
      <c r="C87" s="125" t="s">
        <v>291</v>
      </c>
      <c r="D87" s="125" t="s">
        <v>292</v>
      </c>
      <c r="E87" s="126">
        <v>40424</v>
      </c>
      <c r="F87" s="125" t="s">
        <v>301</v>
      </c>
      <c r="G87" s="125" t="s">
        <v>206</v>
      </c>
      <c r="H87" s="125">
        <v>98501</v>
      </c>
      <c r="I87" s="125">
        <v>1500</v>
      </c>
      <c r="J87" s="125">
        <v>19606</v>
      </c>
      <c r="K87" s="125" t="s">
        <v>294</v>
      </c>
      <c r="L87" s="125">
        <v>4</v>
      </c>
      <c r="M87" s="125" t="s">
        <v>48</v>
      </c>
      <c r="N87" s="125" t="s">
        <v>295</v>
      </c>
      <c r="O87" s="127"/>
      <c r="P87" s="127"/>
      <c r="Q87" s="127"/>
      <c r="R87" s="127"/>
      <c r="S87" s="127"/>
      <c r="T87" s="127"/>
      <c r="U87" s="125">
        <v>1980</v>
      </c>
      <c r="V87" s="125"/>
    </row>
    <row r="88" spans="3:22" ht="38.25">
      <c r="C88" s="125" t="s">
        <v>291</v>
      </c>
      <c r="D88" s="125" t="s">
        <v>292</v>
      </c>
      <c r="E88" s="126">
        <v>40381</v>
      </c>
      <c r="F88" s="125" t="s">
        <v>314</v>
      </c>
      <c r="G88" s="125" t="s">
        <v>206</v>
      </c>
      <c r="H88" s="125">
        <v>98589</v>
      </c>
      <c r="I88" s="125">
        <v>1500</v>
      </c>
      <c r="J88" s="125">
        <v>27212</v>
      </c>
      <c r="K88" s="125" t="s">
        <v>294</v>
      </c>
      <c r="L88" s="125"/>
      <c r="M88" s="125" t="s">
        <v>48</v>
      </c>
      <c r="N88" s="125" t="s">
        <v>295</v>
      </c>
      <c r="O88" s="127"/>
      <c r="P88" s="127"/>
      <c r="Q88" s="127"/>
      <c r="R88" s="127"/>
      <c r="S88" s="127"/>
      <c r="T88" s="127"/>
      <c r="U88" s="125"/>
      <c r="V88" s="125"/>
    </row>
    <row r="89" spans="3:22" ht="38.25">
      <c r="C89" s="125" t="s">
        <v>291</v>
      </c>
      <c r="D89" s="125" t="s">
        <v>292</v>
      </c>
      <c r="E89" s="126">
        <v>40490</v>
      </c>
      <c r="F89" s="125" t="s">
        <v>315</v>
      </c>
      <c r="G89" s="125" t="s">
        <v>206</v>
      </c>
      <c r="H89" s="125">
        <v>98383</v>
      </c>
      <c r="I89" s="125">
        <v>1500</v>
      </c>
      <c r="J89" s="125">
        <v>21950</v>
      </c>
      <c r="K89" s="125" t="s">
        <v>294</v>
      </c>
      <c r="L89" s="125"/>
      <c r="M89" s="125" t="s">
        <v>48</v>
      </c>
      <c r="N89" s="125" t="s">
        <v>302</v>
      </c>
      <c r="O89" s="127"/>
      <c r="P89" s="127"/>
      <c r="Q89" s="127"/>
      <c r="R89" s="127"/>
      <c r="S89" s="127"/>
      <c r="T89" s="127"/>
      <c r="U89" s="125"/>
      <c r="V89" s="125"/>
    </row>
    <row r="90" spans="3:22" ht="38.25">
      <c r="C90" s="125" t="s">
        <v>291</v>
      </c>
      <c r="D90" s="125" t="s">
        <v>292</v>
      </c>
      <c r="E90" s="126">
        <v>40424</v>
      </c>
      <c r="F90" s="125" t="s">
        <v>316</v>
      </c>
      <c r="G90" s="125" t="s">
        <v>206</v>
      </c>
      <c r="H90" s="125">
        <v>98284</v>
      </c>
      <c r="I90" s="125">
        <v>1500</v>
      </c>
      <c r="J90" s="125">
        <v>18605</v>
      </c>
      <c r="K90" s="125" t="s">
        <v>294</v>
      </c>
      <c r="L90" s="125"/>
      <c r="M90" s="125" t="s">
        <v>48</v>
      </c>
      <c r="N90" s="125" t="s">
        <v>295</v>
      </c>
      <c r="O90" s="127"/>
      <c r="P90" s="127"/>
      <c r="Q90" s="127"/>
      <c r="R90" s="127"/>
      <c r="S90" s="127"/>
      <c r="T90" s="127"/>
      <c r="U90" s="125"/>
      <c r="V90" s="125"/>
    </row>
    <row r="91" spans="3:22" ht="38.25">
      <c r="C91" s="125" t="s">
        <v>291</v>
      </c>
      <c r="D91" s="125" t="s">
        <v>292</v>
      </c>
      <c r="E91" s="126">
        <v>40528</v>
      </c>
      <c r="F91" s="125" t="s">
        <v>317</v>
      </c>
      <c r="G91" s="125" t="s">
        <v>206</v>
      </c>
      <c r="H91" s="125">
        <v>98368</v>
      </c>
      <c r="I91" s="125">
        <v>1500</v>
      </c>
      <c r="J91" s="125">
        <v>19484</v>
      </c>
      <c r="K91" s="125" t="s">
        <v>294</v>
      </c>
      <c r="L91" s="125">
        <v>2</v>
      </c>
      <c r="M91" s="125" t="s">
        <v>48</v>
      </c>
      <c r="N91" s="125" t="s">
        <v>295</v>
      </c>
      <c r="O91" s="127">
        <v>2860</v>
      </c>
      <c r="P91" s="127"/>
      <c r="Q91" s="127"/>
      <c r="R91" s="127"/>
      <c r="S91" s="127"/>
      <c r="T91" s="127"/>
      <c r="U91" s="125">
        <v>1971</v>
      </c>
      <c r="V91" s="125" t="s">
        <v>318</v>
      </c>
    </row>
    <row r="92" spans="3:22" ht="38.25">
      <c r="C92" s="125" t="s">
        <v>291</v>
      </c>
      <c r="D92" s="125" t="s">
        <v>292</v>
      </c>
      <c r="E92" s="126">
        <v>40340</v>
      </c>
      <c r="F92" s="125" t="s">
        <v>301</v>
      </c>
      <c r="G92" s="125" t="s">
        <v>206</v>
      </c>
      <c r="H92" s="125">
        <v>98502</v>
      </c>
      <c r="I92" s="125">
        <v>1500</v>
      </c>
      <c r="J92" s="125">
        <v>10043</v>
      </c>
      <c r="K92" s="125" t="s">
        <v>294</v>
      </c>
      <c r="L92" s="125">
        <v>2</v>
      </c>
      <c r="M92" s="125" t="s">
        <v>48</v>
      </c>
      <c r="N92" s="125" t="s">
        <v>302</v>
      </c>
      <c r="O92" s="127">
        <v>1550</v>
      </c>
      <c r="P92" s="127"/>
      <c r="Q92" s="127"/>
      <c r="R92" s="127"/>
      <c r="S92" s="127"/>
      <c r="T92" s="127"/>
      <c r="U92" s="125">
        <v>1950</v>
      </c>
      <c r="V92" s="125" t="s">
        <v>319</v>
      </c>
    </row>
    <row r="93" spans="3:22" ht="38.25">
      <c r="C93" s="125" t="s">
        <v>291</v>
      </c>
      <c r="D93" s="125" t="s">
        <v>292</v>
      </c>
      <c r="E93" s="126">
        <v>40528</v>
      </c>
      <c r="F93" s="125" t="s">
        <v>301</v>
      </c>
      <c r="G93" s="125" t="s">
        <v>206</v>
      </c>
      <c r="H93" s="125">
        <v>98501</v>
      </c>
      <c r="I93" s="125">
        <v>1500</v>
      </c>
      <c r="J93" s="125">
        <v>16878</v>
      </c>
      <c r="K93" s="125" t="s">
        <v>294</v>
      </c>
      <c r="L93" s="125">
        <v>2</v>
      </c>
      <c r="M93" s="125" t="s">
        <v>48</v>
      </c>
      <c r="N93" s="125" t="s">
        <v>295</v>
      </c>
      <c r="O93" s="127">
        <v>2580</v>
      </c>
      <c r="P93" s="127"/>
      <c r="Q93" s="127"/>
      <c r="R93" s="127"/>
      <c r="S93" s="127"/>
      <c r="T93" s="127"/>
      <c r="U93" s="125">
        <v>2010</v>
      </c>
      <c r="V93" s="125" t="s">
        <v>303</v>
      </c>
    </row>
    <row r="94" spans="3:22" ht="51">
      <c r="C94" s="125" t="s">
        <v>291</v>
      </c>
      <c r="D94" s="125" t="s">
        <v>292</v>
      </c>
      <c r="E94" s="126">
        <v>40528</v>
      </c>
      <c r="F94" s="125" t="s">
        <v>320</v>
      </c>
      <c r="G94" s="125" t="s">
        <v>206</v>
      </c>
      <c r="H94" s="125">
        <v>98390</v>
      </c>
      <c r="I94" s="125">
        <v>1500</v>
      </c>
      <c r="J94" s="125">
        <v>33248</v>
      </c>
      <c r="K94" s="125" t="s">
        <v>294</v>
      </c>
      <c r="L94" s="125">
        <v>3</v>
      </c>
      <c r="M94" s="125" t="s">
        <v>48</v>
      </c>
      <c r="N94" s="125" t="s">
        <v>297</v>
      </c>
      <c r="O94" s="127">
        <v>2850</v>
      </c>
      <c r="P94" s="127"/>
      <c r="Q94" s="127"/>
      <c r="R94" s="127"/>
      <c r="S94" s="127"/>
      <c r="T94" s="127"/>
      <c r="U94" s="125">
        <v>1923</v>
      </c>
      <c r="V94" s="125" t="s">
        <v>309</v>
      </c>
    </row>
    <row r="95" spans="3:22" ht="38.25">
      <c r="C95" s="125" t="s">
        <v>291</v>
      </c>
      <c r="D95" s="125" t="s">
        <v>292</v>
      </c>
      <c r="E95" s="126">
        <v>40528</v>
      </c>
      <c r="F95" s="125" t="s">
        <v>321</v>
      </c>
      <c r="G95" s="125" t="s">
        <v>206</v>
      </c>
      <c r="H95" s="125">
        <v>98033</v>
      </c>
      <c r="I95" s="125">
        <v>1500</v>
      </c>
      <c r="J95" s="125">
        <v>44105</v>
      </c>
      <c r="K95" s="125" t="s">
        <v>294</v>
      </c>
      <c r="L95" s="125">
        <v>2</v>
      </c>
      <c r="M95" s="125" t="s">
        <v>48</v>
      </c>
      <c r="N95" s="125" t="s">
        <v>297</v>
      </c>
      <c r="O95" s="127">
        <v>2270</v>
      </c>
      <c r="P95" s="127"/>
      <c r="Q95" s="127"/>
      <c r="R95" s="127"/>
      <c r="S95" s="127"/>
      <c r="T95" s="127"/>
      <c r="U95" s="125">
        <v>1966</v>
      </c>
      <c r="V95" s="125" t="s">
        <v>298</v>
      </c>
    </row>
    <row r="97" spans="2:9" ht="25.5">
      <c r="B97" s="128" t="s">
        <v>322</v>
      </c>
      <c r="C97" s="94"/>
      <c r="D97" s="94"/>
      <c r="E97" s="94"/>
      <c r="F97" s="94"/>
      <c r="G97" s="94"/>
      <c r="H97" s="94"/>
      <c r="I97" s="94"/>
    </row>
    <row r="98" spans="2:9" ht="15">
      <c r="B98" s="94"/>
      <c r="C98" s="129" t="s">
        <v>323</v>
      </c>
      <c r="D98" s="94"/>
      <c r="E98" s="94"/>
      <c r="F98" s="94"/>
      <c r="G98" s="94"/>
      <c r="H98" s="94"/>
      <c r="I98" s="94"/>
    </row>
    <row r="99" spans="2:9">
      <c r="B99" s="94"/>
      <c r="C99" s="645" t="s">
        <v>324</v>
      </c>
      <c r="D99" s="646"/>
      <c r="E99" s="646"/>
      <c r="F99" s="646"/>
      <c r="G99" s="646"/>
      <c r="H99" s="646"/>
      <c r="I99" s="646"/>
    </row>
    <row r="100" spans="2:9">
      <c r="B100" s="94"/>
      <c r="C100" s="646"/>
      <c r="D100" s="646"/>
      <c r="E100" s="646"/>
      <c r="F100" s="646"/>
      <c r="G100" s="646"/>
      <c r="H100" s="646"/>
      <c r="I100" s="646"/>
    </row>
    <row r="101" spans="2:9" ht="15">
      <c r="B101" s="130" t="s">
        <v>325</v>
      </c>
      <c r="C101" s="94"/>
      <c r="D101" s="94"/>
      <c r="E101" s="94"/>
      <c r="F101" s="94"/>
      <c r="G101" s="94"/>
      <c r="H101" s="94"/>
      <c r="I101" s="94"/>
    </row>
    <row r="102" spans="2:9" ht="15">
      <c r="B102" s="129"/>
      <c r="C102" s="94"/>
      <c r="D102" s="94"/>
      <c r="E102" s="94"/>
      <c r="F102" s="94"/>
      <c r="G102" s="94"/>
      <c r="H102" s="94"/>
      <c r="I102" s="94"/>
    </row>
    <row r="103" spans="2:9" ht="15">
      <c r="B103" s="129" t="s">
        <v>326</v>
      </c>
      <c r="C103" s="94"/>
      <c r="D103" s="94"/>
      <c r="E103" s="94"/>
      <c r="F103" s="94"/>
      <c r="G103" s="94"/>
      <c r="H103" s="94"/>
      <c r="I103" s="94"/>
    </row>
    <row r="104" spans="2:9" ht="15">
      <c r="B104" s="129" t="s">
        <v>327</v>
      </c>
      <c r="C104" s="94"/>
      <c r="D104" s="94"/>
      <c r="E104" s="94"/>
      <c r="F104" s="94"/>
      <c r="G104" s="94"/>
      <c r="H104" s="94"/>
      <c r="I104" s="94"/>
    </row>
    <row r="105" spans="2:9" ht="15">
      <c r="B105" s="129" t="s">
        <v>328</v>
      </c>
      <c r="C105" s="94"/>
      <c r="D105" s="94"/>
      <c r="E105" s="94"/>
      <c r="F105" s="94"/>
      <c r="G105" s="94"/>
      <c r="H105" s="94"/>
      <c r="I105" s="94"/>
    </row>
    <row r="106" spans="2:9" ht="15">
      <c r="B106" s="129" t="s">
        <v>329</v>
      </c>
      <c r="C106" s="94"/>
      <c r="D106" s="94"/>
      <c r="E106" s="94"/>
      <c r="F106" s="94"/>
      <c r="G106" s="94"/>
      <c r="H106" s="94"/>
      <c r="I106" s="94"/>
    </row>
    <row r="107" spans="2:9" ht="15">
      <c r="B107" s="129" t="s">
        <v>330</v>
      </c>
      <c r="C107" s="94"/>
      <c r="D107" s="94"/>
      <c r="E107" s="94"/>
      <c r="F107" s="94"/>
      <c r="G107" s="94"/>
      <c r="H107" s="94"/>
      <c r="I107" s="94"/>
    </row>
    <row r="108" spans="2:9" ht="15">
      <c r="B108" s="129" t="s">
        <v>331</v>
      </c>
      <c r="C108" s="94"/>
      <c r="D108" s="94"/>
      <c r="E108" s="94"/>
      <c r="F108" s="94"/>
      <c r="G108" s="94"/>
      <c r="H108" s="94"/>
      <c r="I108" s="94"/>
    </row>
    <row r="109" spans="2:9" ht="15">
      <c r="B109" s="129" t="s">
        <v>332</v>
      </c>
      <c r="C109" s="94"/>
      <c r="D109" s="94"/>
      <c r="E109" s="94"/>
      <c r="F109" s="94"/>
      <c r="G109" s="94"/>
      <c r="H109" s="94"/>
      <c r="I109" s="94"/>
    </row>
    <row r="110" spans="2:9" ht="15">
      <c r="B110" s="129"/>
      <c r="C110" s="94"/>
      <c r="D110" s="94"/>
      <c r="E110" s="94"/>
      <c r="F110" s="94"/>
      <c r="G110" s="94"/>
      <c r="H110" s="94"/>
      <c r="I110" s="94"/>
    </row>
    <row r="111" spans="2:9" ht="15">
      <c r="B111" s="130" t="s">
        <v>333</v>
      </c>
      <c r="C111" s="94"/>
      <c r="D111" s="94"/>
      <c r="E111" s="94"/>
      <c r="F111" s="94"/>
      <c r="G111" s="94"/>
      <c r="H111" s="94"/>
      <c r="I111" s="94"/>
    </row>
    <row r="112" spans="2:9" ht="15">
      <c r="B112" s="129" t="s">
        <v>334</v>
      </c>
      <c r="C112" s="94"/>
      <c r="D112" s="94"/>
      <c r="E112" s="94"/>
      <c r="F112" s="94"/>
      <c r="G112" s="94"/>
      <c r="H112" s="94"/>
      <c r="I112" s="94"/>
    </row>
    <row r="113" spans="2:11" ht="15">
      <c r="B113" s="129"/>
      <c r="C113" s="94"/>
      <c r="D113" s="94"/>
      <c r="E113" s="94"/>
      <c r="F113" s="94"/>
      <c r="G113" s="94"/>
      <c r="H113" s="94"/>
      <c r="I113" s="94"/>
      <c r="J113" s="94"/>
      <c r="K113" s="94"/>
    </row>
    <row r="114" spans="2:11" ht="15">
      <c r="B114" s="129" t="s">
        <v>335</v>
      </c>
      <c r="C114" s="94"/>
      <c r="D114" s="94"/>
      <c r="E114" s="94"/>
      <c r="F114" s="94"/>
      <c r="G114" s="94"/>
      <c r="H114" s="94"/>
      <c r="I114" s="94">
        <v>8700</v>
      </c>
      <c r="J114" s="94">
        <v>3</v>
      </c>
      <c r="K114" s="94">
        <v>2900</v>
      </c>
    </row>
    <row r="115" spans="2:11" ht="15">
      <c r="B115" s="129" t="s">
        <v>336</v>
      </c>
      <c r="C115" s="94"/>
      <c r="D115" s="94"/>
      <c r="E115" s="94"/>
      <c r="F115" s="94"/>
      <c r="G115" s="94"/>
      <c r="H115" s="94"/>
      <c r="I115" s="94">
        <v>10250</v>
      </c>
      <c r="J115" s="94">
        <v>4</v>
      </c>
      <c r="K115" s="94">
        <v>2562.5</v>
      </c>
    </row>
    <row r="116" spans="2:11" ht="15">
      <c r="B116" s="129" t="s">
        <v>337</v>
      </c>
      <c r="C116" s="94"/>
      <c r="D116" s="94"/>
      <c r="E116" s="94"/>
      <c r="F116" s="94"/>
      <c r="G116" s="94"/>
      <c r="H116" s="94"/>
      <c r="I116" s="94">
        <v>11880</v>
      </c>
      <c r="J116" s="94">
        <v>5</v>
      </c>
      <c r="K116" s="94">
        <v>2376</v>
      </c>
    </row>
    <row r="117" spans="2:11" ht="15">
      <c r="B117" s="129" t="s">
        <v>338</v>
      </c>
      <c r="C117" s="94"/>
      <c r="D117" s="94"/>
      <c r="E117" s="94"/>
      <c r="F117" s="94"/>
      <c r="G117" s="94"/>
      <c r="H117" s="94"/>
      <c r="I117" s="94">
        <v>12750</v>
      </c>
      <c r="J117" s="94">
        <v>6</v>
      </c>
      <c r="K117" s="94">
        <v>2125</v>
      </c>
    </row>
    <row r="118" spans="2:11" ht="15">
      <c r="B118" s="129"/>
      <c r="C118" s="94"/>
      <c r="D118" s="94"/>
      <c r="E118" s="94"/>
      <c r="F118" s="94"/>
      <c r="G118" s="94"/>
      <c r="H118" s="94"/>
      <c r="I118" s="94"/>
      <c r="J118" s="94"/>
      <c r="K118" s="94"/>
    </row>
    <row r="119" spans="2:11" ht="15">
      <c r="B119" s="129" t="s">
        <v>339</v>
      </c>
      <c r="C119" s="94"/>
      <c r="D119" s="94"/>
      <c r="E119" s="94"/>
      <c r="F119" s="94"/>
      <c r="G119" s="94"/>
      <c r="H119" s="94"/>
      <c r="I119" s="94"/>
      <c r="J119" s="94"/>
      <c r="K119" s="94"/>
    </row>
    <row r="120" spans="2:11" ht="15">
      <c r="B120" s="129" t="s">
        <v>340</v>
      </c>
      <c r="C120" s="94"/>
      <c r="D120" s="94"/>
      <c r="E120" s="94"/>
      <c r="F120" s="94"/>
      <c r="G120" s="94"/>
      <c r="H120" s="94"/>
      <c r="I120" s="94"/>
      <c r="J120" s="94"/>
      <c r="K120" s="94"/>
    </row>
    <row r="121" spans="2:11" ht="15">
      <c r="B121" s="129" t="s">
        <v>341</v>
      </c>
      <c r="C121" s="94"/>
      <c r="D121" s="94"/>
      <c r="E121" s="94"/>
      <c r="F121" s="94"/>
      <c r="G121" s="94"/>
      <c r="H121" s="94"/>
      <c r="I121" s="94"/>
      <c r="J121" s="94"/>
      <c r="K121" s="94"/>
    </row>
    <row r="122" spans="2:11" ht="15">
      <c r="B122" s="129" t="s">
        <v>342</v>
      </c>
      <c r="C122" s="94"/>
      <c r="D122" s="94"/>
      <c r="E122" s="94"/>
      <c r="F122" s="94"/>
      <c r="G122" s="94"/>
      <c r="H122" s="94"/>
      <c r="I122" s="94"/>
      <c r="J122" s="94"/>
      <c r="K122" s="94"/>
    </row>
    <row r="123" spans="2:11" ht="15">
      <c r="B123" s="129" t="s">
        <v>343</v>
      </c>
      <c r="C123" s="94"/>
      <c r="D123" s="94"/>
      <c r="E123" s="94"/>
      <c r="F123" s="94"/>
      <c r="G123" s="94"/>
      <c r="H123" s="94"/>
      <c r="I123" s="94"/>
      <c r="J123" s="94"/>
      <c r="K123" s="94"/>
    </row>
    <row r="124" spans="2:11" ht="15">
      <c r="B124" s="129" t="s">
        <v>344</v>
      </c>
      <c r="C124" s="94"/>
      <c r="D124" s="94"/>
      <c r="E124" s="94"/>
      <c r="F124" s="94"/>
      <c r="G124" s="94"/>
      <c r="H124" s="94"/>
      <c r="I124" s="94"/>
      <c r="J124" s="94"/>
      <c r="K124" s="94"/>
    </row>
    <row r="125" spans="2:11" ht="15">
      <c r="B125" s="129"/>
      <c r="C125" s="94"/>
      <c r="D125" s="94"/>
      <c r="E125" s="94"/>
      <c r="F125" s="94"/>
      <c r="G125" s="94"/>
      <c r="H125" s="94"/>
      <c r="I125" s="94"/>
      <c r="J125" s="94"/>
      <c r="K125" s="94"/>
    </row>
    <row r="126" spans="2:11" ht="15">
      <c r="B126" s="129" t="s">
        <v>345</v>
      </c>
      <c r="C126" s="94"/>
      <c r="D126" s="94"/>
      <c r="E126" s="94"/>
      <c r="F126" s="94"/>
      <c r="G126" s="94"/>
      <c r="H126" s="94"/>
      <c r="I126" s="94"/>
      <c r="J126" s="94"/>
      <c r="K126" s="94"/>
    </row>
    <row r="127" spans="2:11" ht="15">
      <c r="B127" s="129" t="s">
        <v>346</v>
      </c>
      <c r="C127" s="94"/>
      <c r="D127" s="94"/>
      <c r="E127" s="94"/>
      <c r="F127" s="94"/>
      <c r="G127" s="94"/>
      <c r="H127" s="94"/>
      <c r="I127" s="94"/>
      <c r="J127" s="94"/>
      <c r="K127" s="94"/>
    </row>
    <row r="128" spans="2:11" ht="15">
      <c r="B128" s="129" t="s">
        <v>347</v>
      </c>
      <c r="C128" s="94"/>
      <c r="D128" s="94"/>
      <c r="E128" s="94"/>
      <c r="F128" s="94"/>
      <c r="G128" s="94"/>
      <c r="H128" s="94"/>
      <c r="I128" s="94"/>
      <c r="J128" s="94"/>
      <c r="K128" s="94"/>
    </row>
    <row r="129" spans="2:11" ht="15">
      <c r="B129" s="129" t="s">
        <v>348</v>
      </c>
      <c r="C129" s="94"/>
      <c r="D129" s="94"/>
      <c r="E129" s="94"/>
      <c r="F129" s="94"/>
      <c r="G129" s="94"/>
      <c r="H129" s="94"/>
      <c r="I129" s="94"/>
      <c r="J129" s="94"/>
      <c r="K129" s="94"/>
    </row>
    <row r="130" spans="2:11" ht="15">
      <c r="B130" s="129" t="s">
        <v>349</v>
      </c>
      <c r="C130" s="94"/>
      <c r="D130" s="94"/>
      <c r="E130" s="94"/>
      <c r="F130" s="94"/>
      <c r="G130" s="94"/>
      <c r="H130" s="94"/>
      <c r="I130" s="94"/>
      <c r="J130" s="94"/>
      <c r="K130" s="94"/>
    </row>
    <row r="131" spans="2:11" ht="15">
      <c r="B131" s="129" t="s">
        <v>350</v>
      </c>
      <c r="C131" s="94"/>
      <c r="D131" s="94"/>
      <c r="E131" s="94"/>
      <c r="F131" s="94"/>
      <c r="G131" s="94"/>
      <c r="H131" s="94"/>
      <c r="I131" s="94"/>
      <c r="J131" s="94"/>
      <c r="K131" s="94"/>
    </row>
    <row r="132" spans="2:11" ht="14.25">
      <c r="B132" s="131"/>
      <c r="C132" s="94"/>
      <c r="D132" s="94"/>
      <c r="E132" s="94"/>
      <c r="F132" s="94"/>
      <c r="G132" s="94"/>
      <c r="H132" s="94"/>
      <c r="I132" s="94"/>
      <c r="J132" s="94"/>
      <c r="K132" s="94"/>
    </row>
    <row r="133" spans="2:11" ht="15">
      <c r="B133" s="132"/>
      <c r="C133" s="94"/>
      <c r="D133" s="94"/>
      <c r="E133" s="94"/>
      <c r="F133" s="94"/>
      <c r="G133" s="94" t="s">
        <v>351</v>
      </c>
      <c r="H133" s="94"/>
      <c r="I133" s="94"/>
      <c r="J133" s="94"/>
      <c r="K133" s="94"/>
    </row>
    <row r="134" spans="2:11" ht="15">
      <c r="B134" s="132"/>
      <c r="C134" s="94"/>
      <c r="D134" s="94"/>
      <c r="E134" s="94"/>
      <c r="F134" s="94"/>
      <c r="G134" s="94"/>
      <c r="H134" s="106" t="s">
        <v>352</v>
      </c>
      <c r="I134" s="106" t="s">
        <v>353</v>
      </c>
      <c r="J134" s="106" t="s">
        <v>169</v>
      </c>
      <c r="K134" s="106" t="s">
        <v>354</v>
      </c>
    </row>
    <row r="135" spans="2:11" ht="15.75">
      <c r="B135" s="133" t="s">
        <v>355</v>
      </c>
      <c r="C135" s="94"/>
      <c r="D135" s="94"/>
      <c r="E135" s="94"/>
      <c r="F135" s="94"/>
      <c r="G135" s="95" t="s">
        <v>356</v>
      </c>
      <c r="H135" s="95">
        <v>13700</v>
      </c>
      <c r="I135" s="95">
        <v>8700</v>
      </c>
      <c r="J135" s="95">
        <v>22400</v>
      </c>
      <c r="K135" s="120">
        <v>7466.666666666667</v>
      </c>
    </row>
    <row r="136" spans="2:11">
      <c r="B136" s="134" t="s">
        <v>357</v>
      </c>
      <c r="C136" s="94"/>
      <c r="D136" s="94"/>
      <c r="E136" s="94"/>
      <c r="F136" s="94"/>
      <c r="G136" s="95" t="s">
        <v>358</v>
      </c>
      <c r="H136" s="95">
        <v>14980</v>
      </c>
      <c r="I136" s="95">
        <v>10250</v>
      </c>
      <c r="J136" s="95">
        <v>25230</v>
      </c>
      <c r="K136" s="120">
        <v>6307.5</v>
      </c>
    </row>
    <row r="137" spans="2:11">
      <c r="B137" s="134" t="s">
        <v>359</v>
      </c>
      <c r="C137" s="94"/>
      <c r="D137" s="94"/>
      <c r="E137" s="94"/>
      <c r="F137" s="94"/>
      <c r="G137" s="95" t="s">
        <v>360</v>
      </c>
      <c r="H137" s="95">
        <v>16320</v>
      </c>
      <c r="I137" s="95">
        <v>11880</v>
      </c>
      <c r="J137" s="95">
        <v>28200</v>
      </c>
      <c r="K137" s="120">
        <v>5640</v>
      </c>
    </row>
    <row r="138" spans="2:11">
      <c r="B138" s="134" t="s">
        <v>361</v>
      </c>
      <c r="C138" s="94"/>
      <c r="D138" s="94"/>
      <c r="E138" s="94"/>
      <c r="F138" s="94"/>
      <c r="G138" s="95" t="s">
        <v>362</v>
      </c>
      <c r="H138" s="95">
        <v>17600</v>
      </c>
      <c r="I138" s="95">
        <v>12750</v>
      </c>
      <c r="J138" s="95">
        <v>30350</v>
      </c>
      <c r="K138" s="120">
        <v>5058.333333333333</v>
      </c>
    </row>
    <row r="139" spans="2:11">
      <c r="B139" s="134" t="s">
        <v>363</v>
      </c>
      <c r="C139" s="94"/>
      <c r="D139" s="94"/>
      <c r="E139" s="94"/>
      <c r="F139" s="94"/>
      <c r="G139" s="94"/>
      <c r="H139" s="94"/>
      <c r="I139" s="94"/>
      <c r="J139" s="94"/>
      <c r="K139" s="94"/>
    </row>
    <row r="140" spans="2:11">
      <c r="B140" s="135" t="s">
        <v>364</v>
      </c>
      <c r="C140" s="94"/>
      <c r="D140" s="94"/>
      <c r="E140" s="94"/>
      <c r="F140" s="94"/>
      <c r="G140" s="94"/>
      <c r="H140" s="94"/>
      <c r="I140" s="94"/>
      <c r="J140" s="94"/>
      <c r="K140" s="94"/>
    </row>
    <row r="141" spans="2:11">
      <c r="B141" s="135" t="s">
        <v>365</v>
      </c>
      <c r="C141" s="94"/>
      <c r="D141" s="94"/>
      <c r="E141" s="94"/>
      <c r="F141" s="94"/>
      <c r="G141" s="94"/>
      <c r="H141" s="94"/>
      <c r="I141" s="94"/>
      <c r="J141" s="94"/>
      <c r="K141" s="94"/>
    </row>
    <row r="142" spans="2:11">
      <c r="B142" s="135" t="s">
        <v>366</v>
      </c>
      <c r="C142" s="94"/>
      <c r="D142" s="94"/>
      <c r="E142" s="94"/>
      <c r="F142" s="94"/>
      <c r="G142" s="94"/>
      <c r="H142" s="94"/>
      <c r="I142" s="94"/>
      <c r="J142" s="94"/>
      <c r="K142" s="94"/>
    </row>
    <row r="144" spans="2:11" ht="15.75">
      <c r="B144" s="94"/>
      <c r="C144" s="136"/>
      <c r="D144" s="94"/>
      <c r="E144" s="94"/>
      <c r="F144" s="94"/>
      <c r="G144" s="94"/>
      <c r="H144" s="94"/>
      <c r="I144" s="94"/>
      <c r="J144" s="94"/>
      <c r="K144" s="94"/>
    </row>
    <row r="145" spans="2:26" ht="15.75">
      <c r="B145" s="94"/>
      <c r="C145" s="136"/>
      <c r="D145" s="94"/>
      <c r="E145" s="94"/>
      <c r="F145" s="94"/>
      <c r="G145" s="94"/>
      <c r="H145" s="94"/>
      <c r="I145" s="94"/>
      <c r="J145" s="94"/>
      <c r="K145" s="94"/>
      <c r="L145" s="94"/>
      <c r="M145" s="94"/>
      <c r="N145" s="94"/>
      <c r="O145" s="94"/>
      <c r="P145" s="94"/>
      <c r="Q145" s="94"/>
      <c r="R145" s="94"/>
      <c r="S145" s="94"/>
      <c r="T145" s="94"/>
      <c r="U145" s="94"/>
      <c r="V145" s="94"/>
      <c r="W145" s="94"/>
      <c r="X145" s="94"/>
      <c r="Y145" s="94"/>
      <c r="Z145" s="94"/>
    </row>
    <row r="146" spans="2:26">
      <c r="B146" s="137" t="s">
        <v>367</v>
      </c>
      <c r="C146" s="94"/>
      <c r="D146" s="94"/>
      <c r="E146" s="94"/>
      <c r="F146" s="94"/>
      <c r="G146" s="94"/>
      <c r="H146" s="94"/>
      <c r="I146" s="94"/>
      <c r="J146" s="94"/>
      <c r="K146" s="94"/>
      <c r="L146" s="94"/>
      <c r="M146" s="94"/>
      <c r="N146" s="94"/>
      <c r="O146" s="94"/>
      <c r="P146" s="94"/>
      <c r="Q146" s="94"/>
      <c r="R146" s="94"/>
      <c r="S146" s="94"/>
      <c r="T146" s="94"/>
      <c r="U146" s="94"/>
      <c r="V146" s="94"/>
      <c r="W146" s="94"/>
      <c r="X146" s="94"/>
      <c r="Y146" s="94"/>
      <c r="Z146" s="94"/>
    </row>
    <row r="147" spans="2:26" ht="25.5">
      <c r="B147" s="94"/>
      <c r="C147" s="138" t="s">
        <v>368</v>
      </c>
      <c r="D147" s="94"/>
      <c r="E147" s="94"/>
      <c r="F147" s="94"/>
      <c r="G147" s="94"/>
      <c r="H147" s="94"/>
      <c r="I147" s="94"/>
      <c r="J147" s="94"/>
      <c r="K147" s="94"/>
      <c r="L147" s="94"/>
      <c r="M147" s="94"/>
      <c r="N147" s="94"/>
      <c r="O147" s="94"/>
      <c r="P147" s="94"/>
      <c r="Q147" s="94"/>
      <c r="R147" s="94"/>
      <c r="S147" s="94"/>
      <c r="T147" s="94"/>
      <c r="U147" s="94"/>
      <c r="V147" s="94"/>
      <c r="W147" s="94"/>
      <c r="X147" s="94"/>
      <c r="Y147" s="94"/>
      <c r="Z147" s="94"/>
    </row>
    <row r="148" spans="2:26">
      <c r="B148" s="94"/>
      <c r="C148" s="139" t="s">
        <v>369</v>
      </c>
      <c r="D148" s="139" t="s">
        <v>370</v>
      </c>
      <c r="E148" s="139" t="s">
        <v>371</v>
      </c>
      <c r="F148" s="139" t="s">
        <v>372</v>
      </c>
      <c r="G148" s="139" t="s">
        <v>373</v>
      </c>
      <c r="H148" s="140" t="s">
        <v>374</v>
      </c>
      <c r="I148" s="141" t="s">
        <v>375</v>
      </c>
      <c r="J148" s="94"/>
      <c r="K148" s="94"/>
      <c r="L148" s="94"/>
      <c r="M148" s="94"/>
      <c r="N148" s="94"/>
      <c r="O148" s="94"/>
      <c r="P148" s="94"/>
      <c r="Q148" s="94"/>
      <c r="R148" s="94"/>
      <c r="S148" s="94"/>
      <c r="T148" s="94"/>
      <c r="U148" s="94"/>
      <c r="V148" s="94"/>
      <c r="W148" s="94"/>
      <c r="X148" s="94"/>
      <c r="Y148" s="94"/>
      <c r="Z148" s="94"/>
    </row>
    <row r="149" spans="2:26">
      <c r="B149" s="94"/>
      <c r="C149" s="94" t="s">
        <v>376</v>
      </c>
      <c r="D149" s="94"/>
      <c r="E149" s="94" t="s">
        <v>377</v>
      </c>
      <c r="F149" s="122">
        <v>24000</v>
      </c>
      <c r="G149" s="94" t="s">
        <v>378</v>
      </c>
      <c r="H149" s="94"/>
      <c r="I149" s="142">
        <v>40148</v>
      </c>
      <c r="J149" s="94"/>
      <c r="K149" s="94"/>
      <c r="L149" s="94"/>
      <c r="M149" s="94"/>
      <c r="N149" s="94"/>
      <c r="O149" s="94"/>
      <c r="P149" s="94"/>
      <c r="Q149" s="94"/>
      <c r="R149" s="94"/>
      <c r="S149" s="94"/>
      <c r="T149" s="94"/>
      <c r="U149" s="94"/>
      <c r="V149" s="94"/>
      <c r="W149" s="94"/>
      <c r="X149" s="94"/>
      <c r="Y149" s="94"/>
      <c r="Z149" s="94"/>
    </row>
    <row r="150" spans="2:26">
      <c r="B150" s="94"/>
      <c r="C150" s="94" t="s">
        <v>379</v>
      </c>
      <c r="D150" s="94"/>
      <c r="E150" s="94" t="s">
        <v>380</v>
      </c>
      <c r="F150" s="109" t="s">
        <v>381</v>
      </c>
      <c r="G150" s="94" t="s">
        <v>382</v>
      </c>
      <c r="H150" s="94"/>
      <c r="I150" s="142">
        <v>40513</v>
      </c>
      <c r="J150" s="94"/>
      <c r="K150" s="94"/>
      <c r="L150" s="94"/>
      <c r="M150" s="94"/>
      <c r="N150" s="94"/>
      <c r="O150" s="94"/>
      <c r="P150" s="94"/>
      <c r="Q150" s="94"/>
      <c r="R150" s="94"/>
      <c r="S150" s="94"/>
      <c r="T150" s="94"/>
      <c r="U150" s="94"/>
      <c r="V150" s="94"/>
      <c r="W150" s="94"/>
      <c r="X150" s="94"/>
      <c r="Y150" s="94"/>
      <c r="Z150" s="94"/>
    </row>
    <row r="153" spans="2:26">
      <c r="B153" s="94"/>
      <c r="C153" s="108"/>
      <c r="D153" s="108"/>
      <c r="E153" s="108"/>
      <c r="F153" s="108"/>
      <c r="G153" s="108"/>
      <c r="H153" s="108"/>
      <c r="I153" s="108"/>
      <c r="J153" s="108"/>
      <c r="K153" s="108"/>
      <c r="L153" s="108"/>
      <c r="M153" s="108"/>
      <c r="N153" s="108"/>
      <c r="O153" s="108"/>
      <c r="P153" s="108"/>
      <c r="Q153" s="108"/>
      <c r="R153" s="108"/>
      <c r="S153" s="108"/>
      <c r="T153" s="108"/>
      <c r="U153" s="108"/>
      <c r="V153" s="94"/>
      <c r="W153" s="94"/>
      <c r="X153" s="94"/>
      <c r="Y153" s="94"/>
      <c r="Z153" s="94"/>
    </row>
    <row r="154" spans="2:26">
      <c r="B154" s="94"/>
      <c r="C154" s="143" t="s">
        <v>383</v>
      </c>
      <c r="D154" s="143"/>
      <c r="E154" s="143"/>
      <c r="F154" s="143"/>
      <c r="G154" s="143"/>
      <c r="H154" s="143"/>
      <c r="I154" s="143"/>
      <c r="J154" s="143"/>
      <c r="K154" s="144"/>
      <c r="L154" s="108"/>
      <c r="M154" s="108"/>
      <c r="N154" s="108"/>
      <c r="O154" s="108"/>
      <c r="P154" s="108"/>
      <c r="Q154" s="108"/>
      <c r="R154" s="108"/>
      <c r="S154" s="108"/>
      <c r="T154" s="108"/>
      <c r="U154" s="108" t="s">
        <v>384</v>
      </c>
      <c r="V154" s="94"/>
      <c r="W154" s="94"/>
      <c r="X154" s="94"/>
      <c r="Y154" s="94"/>
      <c r="Z154" s="94"/>
    </row>
    <row r="155" spans="2:26" ht="51">
      <c r="B155" s="94"/>
      <c r="C155" s="145" t="s">
        <v>385</v>
      </c>
      <c r="D155" s="145" t="s">
        <v>386</v>
      </c>
      <c r="E155" s="146" t="s">
        <v>387</v>
      </c>
      <c r="F155" s="146" t="s">
        <v>374</v>
      </c>
      <c r="G155" s="146" t="s">
        <v>388</v>
      </c>
      <c r="H155" s="146" t="s">
        <v>389</v>
      </c>
      <c r="I155" s="147" t="s">
        <v>390</v>
      </c>
      <c r="J155" s="146" t="s">
        <v>233</v>
      </c>
      <c r="K155" s="146" t="s">
        <v>391</v>
      </c>
      <c r="L155" s="146" t="s">
        <v>392</v>
      </c>
      <c r="M155" s="146" t="s">
        <v>393</v>
      </c>
      <c r="N155" s="146" t="s">
        <v>394</v>
      </c>
      <c r="O155" s="148" t="s">
        <v>395</v>
      </c>
      <c r="P155" s="148" t="s">
        <v>396</v>
      </c>
      <c r="Q155" s="149" t="s">
        <v>397</v>
      </c>
      <c r="R155" s="149"/>
      <c r="S155" s="150"/>
      <c r="T155" s="108"/>
      <c r="U155" s="151" t="s">
        <v>398</v>
      </c>
      <c r="V155" s="108"/>
      <c r="W155" s="108"/>
      <c r="X155" s="108"/>
      <c r="Y155" s="108"/>
      <c r="Z155" s="108"/>
    </row>
    <row r="156" spans="2:26">
      <c r="B156" s="94"/>
      <c r="C156" s="152" t="s">
        <v>399</v>
      </c>
      <c r="D156" s="153" t="s">
        <v>400</v>
      </c>
      <c r="E156" s="154">
        <v>38854</v>
      </c>
      <c r="F156" s="155">
        <v>15730</v>
      </c>
      <c r="G156" s="156" t="s">
        <v>401</v>
      </c>
      <c r="H156" s="153" t="s">
        <v>402</v>
      </c>
      <c r="I156" s="157" t="s">
        <v>403</v>
      </c>
      <c r="J156" s="158">
        <v>5</v>
      </c>
      <c r="K156" s="153"/>
      <c r="L156" s="159">
        <v>12284.69636326989</v>
      </c>
      <c r="M156" s="153">
        <v>5</v>
      </c>
      <c r="N156" s="156">
        <v>0</v>
      </c>
      <c r="O156" s="160">
        <v>5</v>
      </c>
      <c r="P156" s="108"/>
      <c r="Q156" s="161">
        <v>3146</v>
      </c>
      <c r="R156" s="108"/>
      <c r="S156" s="108"/>
      <c r="T156" s="108"/>
      <c r="U156" s="139" t="s">
        <v>386</v>
      </c>
      <c r="V156" s="140" t="s">
        <v>387</v>
      </c>
      <c r="W156" s="162" t="s">
        <v>374</v>
      </c>
      <c r="X156" s="140" t="s">
        <v>404</v>
      </c>
      <c r="Y156" s="140" t="s">
        <v>389</v>
      </c>
      <c r="Z156" s="163" t="s">
        <v>390</v>
      </c>
    </row>
    <row r="157" spans="2:26">
      <c r="B157" s="94"/>
      <c r="C157" s="152" t="s">
        <v>399</v>
      </c>
      <c r="D157" s="153" t="s">
        <v>400</v>
      </c>
      <c r="E157" s="154">
        <v>38890</v>
      </c>
      <c r="F157" s="155">
        <v>15800</v>
      </c>
      <c r="G157" s="156" t="s">
        <v>401</v>
      </c>
      <c r="H157" s="153" t="s">
        <v>405</v>
      </c>
      <c r="I157" s="157" t="s">
        <v>406</v>
      </c>
      <c r="J157" s="158">
        <v>5</v>
      </c>
      <c r="K157" s="153"/>
      <c r="L157" s="159">
        <v>12598.403255516709</v>
      </c>
      <c r="M157" s="153">
        <v>5</v>
      </c>
      <c r="N157" s="156">
        <v>0</v>
      </c>
      <c r="O157" s="160">
        <v>5</v>
      </c>
      <c r="P157" s="108"/>
      <c r="Q157" s="161">
        <v>3160</v>
      </c>
      <c r="R157" s="108"/>
      <c r="S157" s="108"/>
      <c r="T157" s="108"/>
      <c r="U157" s="94" t="s">
        <v>407</v>
      </c>
      <c r="V157" s="164">
        <v>39391</v>
      </c>
      <c r="W157" s="165">
        <v>14110</v>
      </c>
      <c r="X157" s="106" t="s">
        <v>401</v>
      </c>
      <c r="Y157" s="94" t="s">
        <v>408</v>
      </c>
      <c r="Z157" s="106" t="s">
        <v>409</v>
      </c>
    </row>
    <row r="158" spans="2:26">
      <c r="B158" s="94"/>
      <c r="C158" s="152" t="s">
        <v>399</v>
      </c>
      <c r="D158" s="153" t="s">
        <v>400</v>
      </c>
      <c r="E158" s="154">
        <v>38854</v>
      </c>
      <c r="F158" s="155">
        <v>13790</v>
      </c>
      <c r="G158" s="156" t="s">
        <v>401</v>
      </c>
      <c r="H158" s="153" t="s">
        <v>410</v>
      </c>
      <c r="I158" s="157" t="s">
        <v>403</v>
      </c>
      <c r="J158" s="158">
        <v>5</v>
      </c>
      <c r="K158" s="153"/>
      <c r="L158" s="159">
        <v>13303.913837825643</v>
      </c>
      <c r="M158" s="153">
        <v>5</v>
      </c>
      <c r="N158" s="156">
        <v>0</v>
      </c>
      <c r="O158" s="160">
        <v>5</v>
      </c>
      <c r="P158" s="108"/>
      <c r="Q158" s="161">
        <v>2758</v>
      </c>
      <c r="R158" s="108"/>
      <c r="S158" s="108"/>
      <c r="T158" s="108"/>
      <c r="U158" s="94" t="s">
        <v>411</v>
      </c>
      <c r="V158" s="164">
        <v>39508</v>
      </c>
      <c r="W158" s="165">
        <v>15483</v>
      </c>
      <c r="X158" s="106" t="s">
        <v>401</v>
      </c>
      <c r="Y158" s="94" t="s">
        <v>412</v>
      </c>
      <c r="Z158" s="106" t="s">
        <v>403</v>
      </c>
    </row>
    <row r="159" spans="2:26">
      <c r="B159" s="94"/>
      <c r="C159" s="152" t="s">
        <v>399</v>
      </c>
      <c r="D159" s="153" t="s">
        <v>413</v>
      </c>
      <c r="E159" s="154">
        <v>37424</v>
      </c>
      <c r="F159" s="155">
        <v>10980</v>
      </c>
      <c r="G159" s="156" t="s">
        <v>401</v>
      </c>
      <c r="H159" s="153" t="s">
        <v>402</v>
      </c>
      <c r="I159" s="157" t="s">
        <v>403</v>
      </c>
      <c r="J159" s="158">
        <v>4</v>
      </c>
      <c r="K159" s="153"/>
      <c r="L159" s="159">
        <v>24758.601180406753</v>
      </c>
      <c r="M159" s="153">
        <v>4</v>
      </c>
      <c r="N159" s="156">
        <v>0</v>
      </c>
      <c r="O159" s="160">
        <v>4</v>
      </c>
      <c r="P159" s="108"/>
      <c r="Q159" s="161">
        <v>2745</v>
      </c>
      <c r="R159" s="108"/>
      <c r="S159" s="108"/>
      <c r="T159" s="108"/>
      <c r="U159" s="94" t="s">
        <v>414</v>
      </c>
      <c r="V159" s="164">
        <v>39508</v>
      </c>
      <c r="W159" s="165">
        <v>15700</v>
      </c>
      <c r="X159" s="106" t="s">
        <v>415</v>
      </c>
      <c r="Y159" s="94" t="s">
        <v>416</v>
      </c>
      <c r="Z159" s="106" t="s">
        <v>417</v>
      </c>
    </row>
    <row r="160" spans="2:26">
      <c r="B160" s="94"/>
      <c r="C160" s="152" t="s">
        <v>399</v>
      </c>
      <c r="D160" s="153" t="s">
        <v>418</v>
      </c>
      <c r="E160" s="154">
        <v>37938</v>
      </c>
      <c r="F160" s="155">
        <v>22600</v>
      </c>
      <c r="G160" s="156" t="s">
        <v>401</v>
      </c>
      <c r="H160" s="153" t="s">
        <v>419</v>
      </c>
      <c r="I160" s="157" t="s">
        <v>406</v>
      </c>
      <c r="J160" s="158">
        <v>7.5</v>
      </c>
      <c r="K160" s="153" t="s">
        <v>420</v>
      </c>
      <c r="L160" s="159">
        <v>15920.380131917926</v>
      </c>
      <c r="M160" s="153">
        <v>7.5</v>
      </c>
      <c r="N160" s="156">
        <v>0</v>
      </c>
      <c r="O160" s="160">
        <v>7.5</v>
      </c>
      <c r="P160" s="108"/>
      <c r="Q160" s="161">
        <v>3013.3333333333335</v>
      </c>
      <c r="R160" s="108"/>
      <c r="S160" s="108"/>
      <c r="T160" s="108"/>
      <c r="U160" s="94" t="s">
        <v>414</v>
      </c>
      <c r="V160" s="164">
        <v>39508</v>
      </c>
      <c r="W160" s="165">
        <v>8900</v>
      </c>
      <c r="X160" s="106" t="s">
        <v>415</v>
      </c>
      <c r="Y160" s="94" t="s">
        <v>421</v>
      </c>
      <c r="Z160" s="106" t="s">
        <v>417</v>
      </c>
    </row>
    <row r="161" spans="3:26">
      <c r="C161" s="152" t="s">
        <v>399</v>
      </c>
      <c r="D161" s="153" t="s">
        <v>422</v>
      </c>
      <c r="E161" s="154">
        <v>38043</v>
      </c>
      <c r="F161" s="155">
        <v>12000</v>
      </c>
      <c r="G161" s="156" t="s">
        <v>401</v>
      </c>
      <c r="H161" s="153" t="s">
        <v>423</v>
      </c>
      <c r="I161" s="157" t="s">
        <v>424</v>
      </c>
      <c r="J161" s="158">
        <v>6</v>
      </c>
      <c r="K161" s="153"/>
      <c r="L161" s="159">
        <v>12778.900440335459</v>
      </c>
      <c r="M161" s="153">
        <v>6</v>
      </c>
      <c r="N161" s="156">
        <v>0</v>
      </c>
      <c r="O161" s="160">
        <v>6</v>
      </c>
      <c r="P161" s="108"/>
      <c r="Q161" s="161">
        <v>2000</v>
      </c>
      <c r="R161" s="108"/>
      <c r="S161" s="108"/>
      <c r="T161" s="108"/>
      <c r="U161" s="94" t="s">
        <v>400</v>
      </c>
      <c r="V161" s="164">
        <v>38854</v>
      </c>
      <c r="W161" s="165">
        <v>15730</v>
      </c>
      <c r="X161" s="106" t="s">
        <v>401</v>
      </c>
      <c r="Y161" s="94" t="s">
        <v>402</v>
      </c>
      <c r="Z161" s="106" t="s">
        <v>403</v>
      </c>
    </row>
    <row r="162" spans="3:26">
      <c r="C162" s="152" t="s">
        <v>399</v>
      </c>
      <c r="D162" s="153" t="s">
        <v>425</v>
      </c>
      <c r="E162" s="154">
        <v>37743</v>
      </c>
      <c r="F162" s="155">
        <v>11500</v>
      </c>
      <c r="G162" s="156" t="s">
        <v>401</v>
      </c>
      <c r="H162" s="153" t="s">
        <v>426</v>
      </c>
      <c r="I162" s="157" t="s">
        <v>406</v>
      </c>
      <c r="J162" s="158">
        <v>4</v>
      </c>
      <c r="K162" s="153"/>
      <c r="L162" s="159">
        <v>38336.701321006374</v>
      </c>
      <c r="M162" s="153">
        <v>4</v>
      </c>
      <c r="N162" s="156">
        <v>0</v>
      </c>
      <c r="O162" s="160">
        <v>4</v>
      </c>
      <c r="P162" s="108"/>
      <c r="Q162" s="161">
        <v>2875</v>
      </c>
      <c r="R162" s="108"/>
      <c r="S162" s="108"/>
      <c r="T162" s="108"/>
      <c r="U162" s="94" t="s">
        <v>400</v>
      </c>
      <c r="V162" s="164">
        <v>38890</v>
      </c>
      <c r="W162" s="165">
        <v>15800</v>
      </c>
      <c r="X162" s="106" t="s">
        <v>401</v>
      </c>
      <c r="Y162" s="94" t="s">
        <v>405</v>
      </c>
      <c r="Z162" s="106" t="s">
        <v>406</v>
      </c>
    </row>
    <row r="163" spans="3:26">
      <c r="C163" s="152" t="s">
        <v>399</v>
      </c>
      <c r="D163" s="153" t="s">
        <v>400</v>
      </c>
      <c r="E163" s="154">
        <v>38989</v>
      </c>
      <c r="F163" s="155">
        <v>15000</v>
      </c>
      <c r="G163" s="156" t="s">
        <v>401</v>
      </c>
      <c r="H163" s="153" t="s">
        <v>426</v>
      </c>
      <c r="I163" s="157" t="s">
        <v>406</v>
      </c>
      <c r="J163" s="158">
        <v>5</v>
      </c>
      <c r="K163" s="153"/>
      <c r="L163" s="159">
        <v>25211.705660411833</v>
      </c>
      <c r="M163" s="153">
        <v>5</v>
      </c>
      <c r="N163" s="156">
        <v>0</v>
      </c>
      <c r="O163" s="160">
        <v>5</v>
      </c>
      <c r="P163" s="108"/>
      <c r="Q163" s="161">
        <v>3000</v>
      </c>
      <c r="R163" s="108"/>
      <c r="S163" s="108"/>
      <c r="T163" s="108"/>
      <c r="U163" s="94" t="s">
        <v>400</v>
      </c>
      <c r="V163" s="164">
        <v>38854</v>
      </c>
      <c r="W163" s="165">
        <v>13790</v>
      </c>
      <c r="X163" s="106" t="s">
        <v>401</v>
      </c>
      <c r="Y163" s="94" t="s">
        <v>410</v>
      </c>
      <c r="Z163" s="106" t="s">
        <v>403</v>
      </c>
    </row>
    <row r="164" spans="3:26">
      <c r="C164" s="152" t="s">
        <v>399</v>
      </c>
      <c r="D164" s="153" t="s">
        <v>427</v>
      </c>
      <c r="E164" s="154">
        <v>38142</v>
      </c>
      <c r="F164" s="155">
        <v>36000</v>
      </c>
      <c r="G164" s="156" t="s">
        <v>401</v>
      </c>
      <c r="H164" s="153" t="s">
        <v>428</v>
      </c>
      <c r="I164" s="157" t="s">
        <v>406</v>
      </c>
      <c r="J164" s="158">
        <v>12</v>
      </c>
      <c r="K164" s="153" t="s">
        <v>429</v>
      </c>
      <c r="L164" s="159">
        <v>20642.674663716811</v>
      </c>
      <c r="M164" s="153">
        <v>12</v>
      </c>
      <c r="N164" s="156">
        <v>0</v>
      </c>
      <c r="O164" s="160">
        <v>12</v>
      </c>
      <c r="P164" s="108"/>
      <c r="Q164" s="161">
        <v>3000</v>
      </c>
      <c r="R164" s="108"/>
      <c r="S164" s="108"/>
      <c r="T164" s="108"/>
      <c r="U164" s="94" t="s">
        <v>413</v>
      </c>
      <c r="V164" s="164">
        <v>37424</v>
      </c>
      <c r="W164" s="165">
        <v>10980</v>
      </c>
      <c r="X164" s="106" t="s">
        <v>401</v>
      </c>
      <c r="Y164" s="94" t="s">
        <v>402</v>
      </c>
      <c r="Z164" s="106" t="s">
        <v>403</v>
      </c>
    </row>
    <row r="165" spans="3:26">
      <c r="C165" s="152" t="s">
        <v>399</v>
      </c>
      <c r="D165" s="153" t="s">
        <v>400</v>
      </c>
      <c r="E165" s="154">
        <v>39035</v>
      </c>
      <c r="F165" s="155">
        <v>17280</v>
      </c>
      <c r="G165" s="156" t="s">
        <v>401</v>
      </c>
      <c r="H165" s="153" t="s">
        <v>430</v>
      </c>
      <c r="I165" s="157" t="s">
        <v>403</v>
      </c>
      <c r="J165" s="158">
        <v>5</v>
      </c>
      <c r="K165" s="153"/>
      <c r="L165" s="159">
        <v>25686.002654867258</v>
      </c>
      <c r="M165" s="153">
        <v>5</v>
      </c>
      <c r="N165" s="156">
        <v>0</v>
      </c>
      <c r="O165" s="160">
        <v>5</v>
      </c>
      <c r="P165" s="108"/>
      <c r="Q165" s="161">
        <v>3456</v>
      </c>
      <c r="R165" s="108"/>
      <c r="S165" s="108"/>
      <c r="T165" s="108"/>
      <c r="U165" s="94" t="s">
        <v>418</v>
      </c>
      <c r="V165" s="164">
        <v>37938</v>
      </c>
      <c r="W165" s="165">
        <v>22600</v>
      </c>
      <c r="X165" s="106" t="s">
        <v>401</v>
      </c>
      <c r="Y165" s="94" t="s">
        <v>419</v>
      </c>
      <c r="Z165" s="106" t="s">
        <v>406</v>
      </c>
    </row>
    <row r="166" spans="3:26">
      <c r="C166" s="152" t="s">
        <v>399</v>
      </c>
      <c r="D166" s="153" t="s">
        <v>431</v>
      </c>
      <c r="E166" s="154">
        <v>38432</v>
      </c>
      <c r="F166" s="155">
        <v>20011</v>
      </c>
      <c r="G166" s="156" t="s">
        <v>401</v>
      </c>
      <c r="H166" s="153" t="s">
        <v>432</v>
      </c>
      <c r="I166" s="157" t="s">
        <v>403</v>
      </c>
      <c r="J166" s="158">
        <v>6</v>
      </c>
      <c r="K166" s="153" t="s">
        <v>433</v>
      </c>
      <c r="L166" s="159">
        <v>15730</v>
      </c>
      <c r="M166" s="153">
        <v>6</v>
      </c>
      <c r="N166" s="156">
        <v>0</v>
      </c>
      <c r="O166" s="160">
        <v>6</v>
      </c>
      <c r="P166" s="108"/>
      <c r="Q166" s="161">
        <v>3335.1666666666665</v>
      </c>
      <c r="R166" s="108"/>
      <c r="S166" s="108"/>
      <c r="T166" s="108"/>
      <c r="U166" s="94" t="s">
        <v>422</v>
      </c>
      <c r="V166" s="164">
        <v>38043</v>
      </c>
      <c r="W166" s="165">
        <v>12000</v>
      </c>
      <c r="X166" s="106" t="s">
        <v>401</v>
      </c>
      <c r="Y166" s="94" t="s">
        <v>423</v>
      </c>
      <c r="Z166" s="106" t="s">
        <v>424</v>
      </c>
    </row>
    <row r="167" spans="3:26">
      <c r="C167" s="152" t="s">
        <v>399</v>
      </c>
      <c r="D167" s="153" t="s">
        <v>434</v>
      </c>
      <c r="E167" s="154">
        <v>37761</v>
      </c>
      <c r="F167" s="155">
        <v>12144</v>
      </c>
      <c r="G167" s="156" t="s">
        <v>401</v>
      </c>
      <c r="H167" s="153" t="s">
        <v>435</v>
      </c>
      <c r="I167" s="157" t="s">
        <v>436</v>
      </c>
      <c r="J167" s="158">
        <v>4.5</v>
      </c>
      <c r="K167" s="153"/>
      <c r="L167" s="159">
        <v>13790</v>
      </c>
      <c r="M167" s="153">
        <v>4.5</v>
      </c>
      <c r="N167" s="156">
        <v>0</v>
      </c>
      <c r="O167" s="160">
        <v>4.5</v>
      </c>
      <c r="P167" s="108"/>
      <c r="Q167" s="161">
        <v>2698.6666666666665</v>
      </c>
      <c r="R167" s="108"/>
      <c r="S167" s="108"/>
      <c r="T167" s="108"/>
      <c r="U167" s="94" t="s">
        <v>425</v>
      </c>
      <c r="V167" s="164">
        <v>37743</v>
      </c>
      <c r="W167" s="165">
        <v>11500</v>
      </c>
      <c r="X167" s="106" t="s">
        <v>401</v>
      </c>
      <c r="Y167" s="94" t="s">
        <v>426</v>
      </c>
      <c r="Z167" s="106" t="s">
        <v>406</v>
      </c>
    </row>
    <row r="168" spans="3:26">
      <c r="C168" s="152" t="s">
        <v>399</v>
      </c>
      <c r="D168" s="153" t="s">
        <v>425</v>
      </c>
      <c r="E168" s="154">
        <v>38034</v>
      </c>
      <c r="F168" s="155">
        <v>14950</v>
      </c>
      <c r="G168" s="156" t="s">
        <v>401</v>
      </c>
      <c r="H168" s="153" t="s">
        <v>410</v>
      </c>
      <c r="I168" s="157" t="s">
        <v>403</v>
      </c>
      <c r="J168" s="158">
        <v>4</v>
      </c>
      <c r="K168" s="153"/>
      <c r="L168" s="159">
        <v>15800</v>
      </c>
      <c r="M168" s="153">
        <v>4</v>
      </c>
      <c r="N168" s="156">
        <v>0</v>
      </c>
      <c r="O168" s="160">
        <v>4</v>
      </c>
      <c r="P168" s="108"/>
      <c r="Q168" s="161">
        <v>3737.5</v>
      </c>
      <c r="R168" s="108"/>
      <c r="S168" s="108"/>
      <c r="T168" s="108"/>
      <c r="U168" s="94" t="s">
        <v>400</v>
      </c>
      <c r="V168" s="164">
        <v>38989</v>
      </c>
      <c r="W168" s="165">
        <v>15000</v>
      </c>
      <c r="X168" s="106" t="s">
        <v>401</v>
      </c>
      <c r="Y168" s="94" t="s">
        <v>426</v>
      </c>
      <c r="Z168" s="106" t="s">
        <v>406</v>
      </c>
    </row>
    <row r="169" spans="3:26">
      <c r="C169" s="152" t="s">
        <v>399</v>
      </c>
      <c r="D169" s="153" t="s">
        <v>400</v>
      </c>
      <c r="E169" s="154">
        <v>39629</v>
      </c>
      <c r="F169" s="155">
        <v>21000</v>
      </c>
      <c r="G169" s="156" t="s">
        <v>401</v>
      </c>
      <c r="H169" s="153" t="s">
        <v>428</v>
      </c>
      <c r="I169" s="157" t="s">
        <v>406</v>
      </c>
      <c r="J169" s="158">
        <v>5</v>
      </c>
      <c r="K169" s="153"/>
      <c r="L169" s="159">
        <v>15000</v>
      </c>
      <c r="M169" s="153">
        <v>5</v>
      </c>
      <c r="N169" s="156">
        <v>0</v>
      </c>
      <c r="O169" s="160">
        <v>5</v>
      </c>
      <c r="P169" s="108"/>
      <c r="Q169" s="161">
        <v>4200</v>
      </c>
      <c r="R169" s="108"/>
      <c r="S169" s="108"/>
      <c r="T169" s="108"/>
      <c r="U169" s="94" t="s">
        <v>427</v>
      </c>
      <c r="V169" s="164">
        <v>38142</v>
      </c>
      <c r="W169" s="165">
        <v>36000</v>
      </c>
      <c r="X169" s="106" t="s">
        <v>401</v>
      </c>
      <c r="Y169" s="94" t="s">
        <v>428</v>
      </c>
      <c r="Z169" s="106" t="s">
        <v>406</v>
      </c>
    </row>
    <row r="170" spans="3:26">
      <c r="C170" s="152" t="s">
        <v>399</v>
      </c>
      <c r="D170" s="153" t="s">
        <v>437</v>
      </c>
      <c r="E170" s="154">
        <v>39599</v>
      </c>
      <c r="F170" s="155">
        <v>16000</v>
      </c>
      <c r="G170" s="156" t="s">
        <v>401</v>
      </c>
      <c r="H170" s="153" t="s">
        <v>430</v>
      </c>
      <c r="I170" s="157" t="s">
        <v>403</v>
      </c>
      <c r="J170" s="158">
        <v>5</v>
      </c>
      <c r="K170" s="153"/>
      <c r="L170" s="159">
        <v>27424</v>
      </c>
      <c r="M170" s="153">
        <v>5</v>
      </c>
      <c r="N170" s="156">
        <v>0</v>
      </c>
      <c r="O170" s="160">
        <v>5</v>
      </c>
      <c r="P170" s="108"/>
      <c r="Q170" s="161">
        <v>3200</v>
      </c>
      <c r="R170" s="108"/>
      <c r="S170" s="108"/>
      <c r="T170" s="108"/>
      <c r="U170" s="94" t="s">
        <v>400</v>
      </c>
      <c r="V170" s="164">
        <v>39035</v>
      </c>
      <c r="W170" s="165">
        <v>17280</v>
      </c>
      <c r="X170" s="106" t="s">
        <v>401</v>
      </c>
      <c r="Y170" s="94" t="s">
        <v>430</v>
      </c>
      <c r="Z170" s="106" t="s">
        <v>403</v>
      </c>
    </row>
    <row r="171" spans="3:26">
      <c r="C171" s="166" t="s">
        <v>438</v>
      </c>
      <c r="D171" s="167" t="s">
        <v>407</v>
      </c>
      <c r="E171" s="168">
        <v>39391</v>
      </c>
      <c r="F171" s="169">
        <v>14110</v>
      </c>
      <c r="G171" s="170" t="s">
        <v>401</v>
      </c>
      <c r="H171" s="167" t="s">
        <v>408</v>
      </c>
      <c r="I171" s="171" t="s">
        <v>409</v>
      </c>
      <c r="J171" s="158">
        <v>6</v>
      </c>
      <c r="K171" s="153"/>
      <c r="L171" s="159">
        <v>17280</v>
      </c>
      <c r="M171" s="153">
        <v>6</v>
      </c>
      <c r="N171" s="156">
        <v>0</v>
      </c>
      <c r="O171" s="160">
        <v>6</v>
      </c>
      <c r="P171" s="108"/>
      <c r="Q171" s="161">
        <v>2351.6666666666665</v>
      </c>
      <c r="R171" s="108"/>
      <c r="S171" s="108"/>
      <c r="T171" s="108"/>
      <c r="U171" s="94" t="s">
        <v>431</v>
      </c>
      <c r="V171" s="164">
        <v>38432</v>
      </c>
      <c r="W171" s="165">
        <v>20011</v>
      </c>
      <c r="X171" s="106" t="s">
        <v>401</v>
      </c>
      <c r="Y171" s="94" t="s">
        <v>432</v>
      </c>
      <c r="Z171" s="106" t="s">
        <v>403</v>
      </c>
    </row>
    <row r="172" spans="3:26">
      <c r="C172" s="166" t="s">
        <v>438</v>
      </c>
      <c r="D172" s="167" t="s">
        <v>411</v>
      </c>
      <c r="E172" s="168">
        <v>39508</v>
      </c>
      <c r="F172" s="169">
        <v>15483</v>
      </c>
      <c r="G172" s="170" t="s">
        <v>401</v>
      </c>
      <c r="H172" s="167" t="s">
        <v>412</v>
      </c>
      <c r="I172" s="171" t="s">
        <v>403</v>
      </c>
      <c r="J172" s="158">
        <v>6</v>
      </c>
      <c r="K172" s="153"/>
      <c r="L172" s="159">
        <v>11202.370804920443</v>
      </c>
      <c r="M172" s="153">
        <v>6</v>
      </c>
      <c r="N172" s="156">
        <v>0</v>
      </c>
      <c r="O172" s="160">
        <v>6</v>
      </c>
      <c r="P172" s="108"/>
      <c r="Q172" s="161">
        <v>2580.5</v>
      </c>
      <c r="R172" s="108"/>
      <c r="S172" s="108"/>
      <c r="T172" s="108"/>
      <c r="U172" s="94" t="s">
        <v>434</v>
      </c>
      <c r="V172" s="164">
        <v>37761</v>
      </c>
      <c r="W172" s="165">
        <v>12144</v>
      </c>
      <c r="X172" s="106" t="s">
        <v>401</v>
      </c>
      <c r="Y172" s="94" t="s">
        <v>435</v>
      </c>
      <c r="Z172" s="106" t="s">
        <v>436</v>
      </c>
    </row>
    <row r="173" spans="3:26">
      <c r="C173" s="166" t="s">
        <v>438</v>
      </c>
      <c r="D173" s="167" t="s">
        <v>411</v>
      </c>
      <c r="E173" s="168">
        <v>39171</v>
      </c>
      <c r="F173" s="169">
        <v>11500</v>
      </c>
      <c r="G173" s="170" t="s">
        <v>401</v>
      </c>
      <c r="H173" s="167" t="s">
        <v>439</v>
      </c>
      <c r="I173" s="171" t="s">
        <v>403</v>
      </c>
      <c r="J173" s="158">
        <v>6</v>
      </c>
      <c r="K173" s="153"/>
      <c r="L173" s="159">
        <v>24015.934767348575</v>
      </c>
      <c r="M173" s="153">
        <v>6</v>
      </c>
      <c r="N173" s="156">
        <v>0</v>
      </c>
      <c r="O173" s="160">
        <v>6</v>
      </c>
      <c r="P173" s="108"/>
      <c r="Q173" s="161">
        <v>1916.6666666666667</v>
      </c>
      <c r="R173" s="108"/>
      <c r="S173" s="108"/>
      <c r="T173" s="108"/>
      <c r="U173" s="94" t="s">
        <v>425</v>
      </c>
      <c r="V173" s="164">
        <v>38034</v>
      </c>
      <c r="W173" s="165">
        <v>14950</v>
      </c>
      <c r="X173" s="106" t="s">
        <v>401</v>
      </c>
      <c r="Y173" s="94" t="s">
        <v>410</v>
      </c>
      <c r="Z173" s="106" t="s">
        <v>403</v>
      </c>
    </row>
    <row r="174" spans="3:26">
      <c r="C174" s="152" t="s">
        <v>440</v>
      </c>
      <c r="D174" s="167" t="s">
        <v>441</v>
      </c>
      <c r="E174" s="168">
        <v>39600</v>
      </c>
      <c r="F174" s="169">
        <v>15677</v>
      </c>
      <c r="G174" s="170" t="s">
        <v>401</v>
      </c>
      <c r="H174" s="167" t="s">
        <v>442</v>
      </c>
      <c r="I174" s="171" t="s">
        <v>156</v>
      </c>
      <c r="J174" s="158">
        <v>4</v>
      </c>
      <c r="K174" s="153" t="s">
        <v>443</v>
      </c>
      <c r="L174" s="159">
        <v>13744.821918037171</v>
      </c>
      <c r="M174" s="153">
        <v>4</v>
      </c>
      <c r="N174" s="156">
        <v>0</v>
      </c>
      <c r="O174" s="160">
        <v>4</v>
      </c>
      <c r="P174" s="108"/>
      <c r="Q174" s="161">
        <v>3919.25</v>
      </c>
      <c r="R174" s="108"/>
      <c r="S174" s="108"/>
      <c r="T174" s="108"/>
      <c r="U174" s="94" t="s">
        <v>400</v>
      </c>
      <c r="V174" s="164">
        <v>39629</v>
      </c>
      <c r="W174" s="165">
        <v>21000</v>
      </c>
      <c r="X174" s="106" t="s">
        <v>401</v>
      </c>
      <c r="Y174" s="94" t="s">
        <v>428</v>
      </c>
      <c r="Z174" s="106" t="s">
        <v>406</v>
      </c>
    </row>
    <row r="175" spans="3:26">
      <c r="C175" s="152" t="s">
        <v>440</v>
      </c>
      <c r="D175" s="167" t="s">
        <v>444</v>
      </c>
      <c r="E175" s="168">
        <v>39326</v>
      </c>
      <c r="F175" s="169">
        <v>24654</v>
      </c>
      <c r="G175" s="170" t="s">
        <v>401</v>
      </c>
      <c r="H175" s="167" t="s">
        <v>445</v>
      </c>
      <c r="I175" s="171" t="s">
        <v>156</v>
      </c>
      <c r="J175" s="158">
        <v>4</v>
      </c>
      <c r="K175" s="153" t="s">
        <v>446</v>
      </c>
      <c r="L175" s="159">
        <v>14741.993236352166</v>
      </c>
      <c r="M175" s="153">
        <v>4</v>
      </c>
      <c r="N175" s="156">
        <v>0</v>
      </c>
      <c r="O175" s="160">
        <v>4</v>
      </c>
      <c r="P175" s="108"/>
      <c r="Q175" s="161">
        <v>6163.5</v>
      </c>
      <c r="R175" s="108"/>
      <c r="S175" s="108"/>
      <c r="T175" s="108"/>
      <c r="U175" s="94" t="s">
        <v>437</v>
      </c>
      <c r="V175" s="164">
        <v>39599</v>
      </c>
      <c r="W175" s="165">
        <v>16000</v>
      </c>
      <c r="X175" s="106" t="s">
        <v>401</v>
      </c>
      <c r="Y175" s="94" t="s">
        <v>430</v>
      </c>
      <c r="Z175" s="106" t="s">
        <v>403</v>
      </c>
    </row>
    <row r="176" spans="3:26">
      <c r="C176" s="152" t="s">
        <v>440</v>
      </c>
      <c r="D176" s="167" t="s">
        <v>447</v>
      </c>
      <c r="E176" s="168">
        <v>38991</v>
      </c>
      <c r="F176" s="169">
        <v>27424</v>
      </c>
      <c r="G176" s="170" t="s">
        <v>401</v>
      </c>
      <c r="H176" s="167" t="s">
        <v>448</v>
      </c>
      <c r="I176" s="171" t="s">
        <v>156</v>
      </c>
      <c r="J176" s="158">
        <v>6</v>
      </c>
      <c r="K176" s="153" t="s">
        <v>446</v>
      </c>
      <c r="L176" s="159">
        <v>15234.249937456221</v>
      </c>
      <c r="M176" s="153">
        <v>6</v>
      </c>
      <c r="N176" s="156">
        <v>0</v>
      </c>
      <c r="O176" s="160">
        <v>6</v>
      </c>
      <c r="P176" s="108"/>
      <c r="Q176" s="161">
        <v>4570.666666666667</v>
      </c>
      <c r="R176" s="108"/>
      <c r="S176" s="108"/>
      <c r="T176" s="108"/>
      <c r="U176" s="172"/>
      <c r="V176" s="94"/>
      <c r="W176" s="94"/>
      <c r="X176" s="94"/>
      <c r="Y176" s="94"/>
      <c r="Z176" s="94"/>
    </row>
    <row r="177" spans="3:21">
      <c r="C177" s="152" t="s">
        <v>440</v>
      </c>
      <c r="D177" s="167" t="s">
        <v>449</v>
      </c>
      <c r="E177" s="168">
        <v>38687</v>
      </c>
      <c r="F177" s="169">
        <v>24900</v>
      </c>
      <c r="G177" s="170" t="s">
        <v>401</v>
      </c>
      <c r="H177" s="167" t="s">
        <v>450</v>
      </c>
      <c r="I177" s="171" t="s">
        <v>156</v>
      </c>
      <c r="J177" s="158">
        <v>5</v>
      </c>
      <c r="K177" s="153" t="s">
        <v>446</v>
      </c>
      <c r="L177" s="159">
        <v>14926.708516843823</v>
      </c>
      <c r="M177" s="153">
        <v>5</v>
      </c>
      <c r="N177" s="156">
        <v>0</v>
      </c>
      <c r="O177" s="160">
        <v>5</v>
      </c>
      <c r="P177" s="108"/>
      <c r="Q177" s="161">
        <v>4980</v>
      </c>
      <c r="R177" s="108"/>
      <c r="S177" s="108"/>
      <c r="T177" s="108"/>
      <c r="U177" s="172"/>
    </row>
    <row r="178" spans="3:21">
      <c r="C178" s="152" t="s">
        <v>440</v>
      </c>
      <c r="D178" s="167" t="s">
        <v>447</v>
      </c>
      <c r="E178" s="168">
        <v>38231</v>
      </c>
      <c r="F178" s="169">
        <v>23675</v>
      </c>
      <c r="G178" s="170" t="s">
        <v>401</v>
      </c>
      <c r="H178" s="167" t="s">
        <v>451</v>
      </c>
      <c r="I178" s="171" t="s">
        <v>156</v>
      </c>
      <c r="J178" s="158">
        <v>6</v>
      </c>
      <c r="K178" s="153" t="s">
        <v>446</v>
      </c>
      <c r="L178" s="159">
        <v>19994.953042911289</v>
      </c>
      <c r="M178" s="153">
        <v>6</v>
      </c>
      <c r="N178" s="156">
        <v>0</v>
      </c>
      <c r="O178" s="160">
        <v>6</v>
      </c>
      <c r="P178" s="108"/>
      <c r="Q178" s="161">
        <v>3945.8333333333335</v>
      </c>
      <c r="R178" s="108"/>
      <c r="S178" s="108"/>
      <c r="T178" s="108"/>
      <c r="U178" s="172"/>
    </row>
    <row r="179" spans="3:21">
      <c r="C179" s="153" t="s">
        <v>452</v>
      </c>
      <c r="D179" s="167"/>
      <c r="E179" s="170">
        <v>2007</v>
      </c>
      <c r="F179" s="169">
        <v>17000</v>
      </c>
      <c r="G179" s="170" t="s">
        <v>453</v>
      </c>
      <c r="H179" s="167" t="s">
        <v>454</v>
      </c>
      <c r="I179" s="171" t="s">
        <v>156</v>
      </c>
      <c r="J179" s="158">
        <v>3.5</v>
      </c>
      <c r="K179" s="153"/>
      <c r="L179" s="173">
        <v>16560.026407273697</v>
      </c>
      <c r="M179" s="153">
        <v>3.5</v>
      </c>
      <c r="N179" s="174">
        <v>1</v>
      </c>
      <c r="O179" s="160">
        <v>3.5</v>
      </c>
      <c r="P179" s="108"/>
      <c r="Q179" s="161">
        <v>4857.1428571428569</v>
      </c>
      <c r="R179" s="108"/>
      <c r="S179" s="161">
        <v>4857.1428571428569</v>
      </c>
      <c r="T179" s="108"/>
      <c r="U179" s="172"/>
    </row>
    <row r="180" spans="3:21">
      <c r="C180" s="153" t="s">
        <v>452</v>
      </c>
      <c r="D180" s="167"/>
      <c r="E180" s="170">
        <v>2007</v>
      </c>
      <c r="F180" s="169">
        <v>19412</v>
      </c>
      <c r="G180" s="170" t="s">
        <v>453</v>
      </c>
      <c r="H180" s="167" t="s">
        <v>455</v>
      </c>
      <c r="I180" s="171" t="s">
        <v>156</v>
      </c>
      <c r="J180" s="158">
        <v>6</v>
      </c>
      <c r="K180" s="153"/>
      <c r="L180" s="173">
        <v>18909.601918705706</v>
      </c>
      <c r="M180" s="153">
        <v>6</v>
      </c>
      <c r="N180" s="174">
        <v>1</v>
      </c>
      <c r="O180" s="160">
        <v>6</v>
      </c>
      <c r="P180" s="108"/>
      <c r="Q180" s="161">
        <v>3235.3333333333335</v>
      </c>
      <c r="R180" s="108"/>
      <c r="S180" s="161">
        <v>3235.3333333333335</v>
      </c>
      <c r="T180" s="108"/>
      <c r="U180" s="108"/>
    </row>
    <row r="181" spans="3:21">
      <c r="C181" s="153" t="s">
        <v>452</v>
      </c>
      <c r="D181" s="167"/>
      <c r="E181" s="170">
        <v>2007</v>
      </c>
      <c r="F181" s="169">
        <v>19162</v>
      </c>
      <c r="G181" s="170" t="s">
        <v>453</v>
      </c>
      <c r="H181" s="167" t="s">
        <v>456</v>
      </c>
      <c r="I181" s="171" t="s">
        <v>156</v>
      </c>
      <c r="J181" s="158">
        <v>4</v>
      </c>
      <c r="K181" s="153"/>
      <c r="L181" s="173">
        <v>18666.072118598742</v>
      </c>
      <c r="M181" s="153">
        <v>4</v>
      </c>
      <c r="N181" s="174">
        <v>1</v>
      </c>
      <c r="O181" s="160">
        <v>4</v>
      </c>
      <c r="P181" s="108"/>
      <c r="Q181" s="161">
        <v>4790.5</v>
      </c>
      <c r="R181" s="108"/>
      <c r="S181" s="161">
        <v>4790.5</v>
      </c>
      <c r="T181" s="108"/>
      <c r="U181" s="108"/>
    </row>
    <row r="182" spans="3:21">
      <c r="C182" s="153" t="s">
        <v>452</v>
      </c>
      <c r="D182" s="167"/>
      <c r="E182" s="170">
        <v>2007</v>
      </c>
      <c r="F182" s="169">
        <v>17000</v>
      </c>
      <c r="G182" s="170" t="s">
        <v>453</v>
      </c>
      <c r="H182" s="167" t="s">
        <v>457</v>
      </c>
      <c r="I182" s="171" t="s">
        <v>156</v>
      </c>
      <c r="J182" s="158">
        <v>3.5</v>
      </c>
      <c r="K182" s="153"/>
      <c r="L182" s="173">
        <v>16560.026407273697</v>
      </c>
      <c r="M182" s="153">
        <v>3.5</v>
      </c>
      <c r="N182" s="174">
        <v>1</v>
      </c>
      <c r="O182" s="160">
        <v>3.5</v>
      </c>
      <c r="P182" s="108"/>
      <c r="Q182" s="161">
        <v>4857.1428571428569</v>
      </c>
      <c r="R182" s="108"/>
      <c r="S182" s="161">
        <v>4857.1428571428569</v>
      </c>
      <c r="T182" s="108"/>
      <c r="U182" s="108"/>
    </row>
    <row r="183" spans="3:21">
      <c r="C183" s="153" t="s">
        <v>452</v>
      </c>
      <c r="D183" s="167"/>
      <c r="E183" s="170">
        <v>2007</v>
      </c>
      <c r="F183" s="169">
        <v>10260</v>
      </c>
      <c r="G183" s="170" t="s">
        <v>401</v>
      </c>
      <c r="H183" s="167" t="s">
        <v>458</v>
      </c>
      <c r="I183" s="171" t="s">
        <v>156</v>
      </c>
      <c r="J183" s="158">
        <v>5</v>
      </c>
      <c r="K183" s="153"/>
      <c r="L183" s="173">
        <v>9994.4629963898915</v>
      </c>
      <c r="M183" s="153">
        <v>5</v>
      </c>
      <c r="N183" s="174">
        <v>0</v>
      </c>
      <c r="O183" s="160">
        <v>5</v>
      </c>
      <c r="P183" s="108"/>
      <c r="Q183" s="161">
        <v>2052</v>
      </c>
      <c r="R183" s="108"/>
      <c r="S183" s="108"/>
      <c r="T183" s="108"/>
      <c r="U183" s="108"/>
    </row>
    <row r="184" spans="3:21">
      <c r="C184" s="153" t="s">
        <v>452</v>
      </c>
      <c r="D184" s="167"/>
      <c r="E184" s="170">
        <v>2007</v>
      </c>
      <c r="F184" s="169">
        <v>10793</v>
      </c>
      <c r="G184" s="170" t="s">
        <v>401</v>
      </c>
      <c r="H184" s="167" t="s">
        <v>459</v>
      </c>
      <c r="I184" s="171" t="s">
        <v>156</v>
      </c>
      <c r="J184" s="158">
        <v>3</v>
      </c>
      <c r="K184" s="153"/>
      <c r="L184" s="173">
        <v>10513.668530217943</v>
      </c>
      <c r="M184" s="153">
        <v>3</v>
      </c>
      <c r="N184" s="174">
        <v>0</v>
      </c>
      <c r="O184" s="160">
        <v>3</v>
      </c>
      <c r="P184" s="108"/>
      <c r="Q184" s="161">
        <v>3597.6666666666665</v>
      </c>
      <c r="R184" s="108"/>
      <c r="S184" s="108"/>
      <c r="T184" s="108"/>
      <c r="U184" s="108"/>
    </row>
    <row r="185" spans="3:21">
      <c r="C185" s="153" t="s">
        <v>452</v>
      </c>
      <c r="D185" s="167"/>
      <c r="E185" s="170">
        <v>2007</v>
      </c>
      <c r="F185" s="169">
        <v>12500</v>
      </c>
      <c r="G185" s="170" t="s">
        <v>401</v>
      </c>
      <c r="H185" s="167" t="s">
        <v>460</v>
      </c>
      <c r="I185" s="171" t="s">
        <v>156</v>
      </c>
      <c r="J185" s="158">
        <v>5</v>
      </c>
      <c r="K185" s="153"/>
      <c r="L185" s="173">
        <v>12176.490005348307</v>
      </c>
      <c r="M185" s="153">
        <v>5</v>
      </c>
      <c r="N185" s="174">
        <v>0</v>
      </c>
      <c r="O185" s="160">
        <v>5</v>
      </c>
      <c r="P185" s="108"/>
      <c r="Q185" s="161">
        <v>2500</v>
      </c>
      <c r="R185" s="108"/>
      <c r="S185" s="108"/>
      <c r="T185" s="108"/>
      <c r="U185" s="108"/>
    </row>
    <row r="186" spans="3:21">
      <c r="C186" s="108"/>
      <c r="D186" s="108"/>
      <c r="E186" s="108"/>
      <c r="F186" s="108"/>
      <c r="G186" s="108"/>
      <c r="H186" s="108"/>
      <c r="I186" s="108"/>
      <c r="J186" s="108"/>
      <c r="K186" s="108"/>
      <c r="L186" s="108"/>
      <c r="M186" s="108"/>
      <c r="N186" s="108"/>
      <c r="O186" s="108"/>
      <c r="P186" s="108"/>
      <c r="Q186" s="108"/>
      <c r="R186" s="108"/>
      <c r="S186" s="108"/>
      <c r="T186" s="108"/>
      <c r="U186" s="108"/>
    </row>
    <row r="187" spans="3:21">
      <c r="C187" s="108"/>
      <c r="D187" s="108"/>
      <c r="E187" s="108"/>
      <c r="F187" s="108"/>
      <c r="G187" s="108"/>
      <c r="H187" s="108"/>
      <c r="I187" s="108"/>
      <c r="J187" s="108"/>
      <c r="K187" s="108"/>
      <c r="L187" s="108"/>
      <c r="M187" s="108"/>
      <c r="N187" s="108"/>
      <c r="O187" s="108"/>
      <c r="P187" s="108"/>
      <c r="Q187" s="108"/>
      <c r="R187" s="108"/>
      <c r="S187" s="161">
        <v>4435.0297619047615</v>
      </c>
      <c r="T187" s="108"/>
      <c r="U187" s="108"/>
    </row>
    <row r="188" spans="3:21">
      <c r="C188" s="108" t="s">
        <v>461</v>
      </c>
      <c r="D188" s="172"/>
      <c r="E188" s="172"/>
      <c r="F188" s="172"/>
      <c r="G188" s="172"/>
      <c r="H188" s="172"/>
      <c r="I188" s="172"/>
      <c r="J188" s="172"/>
      <c r="K188" s="172"/>
      <c r="L188" s="172"/>
      <c r="M188" s="172"/>
      <c r="N188" s="172"/>
      <c r="O188" s="172"/>
      <c r="P188" s="172"/>
      <c r="Q188" s="172"/>
      <c r="R188" s="172"/>
      <c r="S188" s="172"/>
      <c r="T188" s="172"/>
      <c r="U188" s="172"/>
    </row>
    <row r="189" spans="3:21">
      <c r="C189" s="94"/>
      <c r="D189" s="172"/>
      <c r="E189" s="172"/>
      <c r="F189" s="172"/>
      <c r="G189" s="172"/>
      <c r="H189" s="172"/>
      <c r="I189" s="172"/>
      <c r="J189" s="172"/>
      <c r="K189" s="172"/>
      <c r="L189" s="172"/>
      <c r="M189" s="172"/>
      <c r="N189" s="172"/>
      <c r="O189" s="172"/>
      <c r="P189" s="172"/>
      <c r="Q189" s="172"/>
      <c r="R189" s="172"/>
      <c r="S189" s="172"/>
      <c r="T189" s="172"/>
      <c r="U189" s="172"/>
    </row>
    <row r="190" spans="3:21">
      <c r="C190" s="175" t="s">
        <v>462</v>
      </c>
      <c r="D190" s="172"/>
      <c r="E190" s="172"/>
      <c r="F190" s="172"/>
      <c r="G190" s="172"/>
      <c r="H190" s="172"/>
      <c r="I190" s="172"/>
      <c r="J190" s="172"/>
      <c r="K190" s="172"/>
      <c r="L190" s="172"/>
      <c r="M190" s="172"/>
      <c r="N190" s="172"/>
      <c r="O190" s="172"/>
      <c r="P190" s="172"/>
      <c r="Q190" s="172"/>
      <c r="R190" s="172"/>
      <c r="S190" s="172"/>
      <c r="T190" s="172"/>
      <c r="U190" s="172"/>
    </row>
    <row r="191" spans="3:21">
      <c r="C191" s="175" t="s">
        <v>463</v>
      </c>
      <c r="D191" s="172"/>
      <c r="E191" s="172"/>
      <c r="F191" s="172"/>
      <c r="G191" s="172"/>
      <c r="H191" s="172"/>
      <c r="I191" s="172"/>
      <c r="J191" s="172"/>
      <c r="K191" s="172"/>
      <c r="L191" s="94"/>
      <c r="M191" s="94"/>
      <c r="N191" s="94"/>
      <c r="O191" s="94"/>
      <c r="P191" s="172"/>
      <c r="Q191" s="172"/>
      <c r="R191" s="172"/>
      <c r="S191" s="172"/>
      <c r="T191" s="172"/>
      <c r="U191" s="172"/>
    </row>
    <row r="192" spans="3:21">
      <c r="C192" s="175" t="s">
        <v>464</v>
      </c>
      <c r="D192" s="172"/>
      <c r="E192" s="172"/>
      <c r="F192" s="172"/>
      <c r="G192" s="172"/>
      <c r="H192" s="172"/>
      <c r="I192" s="172"/>
      <c r="J192" s="172"/>
      <c r="K192" s="172"/>
      <c r="L192" s="94"/>
      <c r="M192" s="94"/>
      <c r="N192" s="94"/>
      <c r="O192" s="94"/>
      <c r="P192" s="172"/>
      <c r="Q192" s="172"/>
      <c r="R192" s="172"/>
      <c r="S192" s="172"/>
      <c r="T192" s="172"/>
      <c r="U192" s="172"/>
    </row>
    <row r="193" spans="3:21">
      <c r="C193" s="94"/>
      <c r="D193" s="172"/>
      <c r="E193" s="172"/>
      <c r="F193" s="172"/>
      <c r="G193" s="172"/>
      <c r="H193" s="172"/>
      <c r="I193" s="172"/>
      <c r="J193" s="172"/>
      <c r="K193" s="172"/>
      <c r="L193" s="94"/>
      <c r="M193" s="94"/>
      <c r="N193" s="94"/>
      <c r="O193" s="94"/>
      <c r="P193" s="172"/>
      <c r="Q193" s="172"/>
      <c r="R193" s="172"/>
      <c r="S193" s="172"/>
      <c r="T193" s="172"/>
      <c r="U193" s="172"/>
    </row>
    <row r="194" spans="3:21">
      <c r="C194" s="176" t="s">
        <v>465</v>
      </c>
      <c r="D194" s="177" t="s">
        <v>218</v>
      </c>
      <c r="E194" s="177" t="s">
        <v>466</v>
      </c>
      <c r="F194" s="177" t="s">
        <v>467</v>
      </c>
      <c r="G194" s="108"/>
      <c r="H194" s="108"/>
      <c r="I194" s="108"/>
      <c r="J194" s="108"/>
      <c r="K194" s="108"/>
      <c r="L194" s="94"/>
      <c r="M194" s="94"/>
      <c r="N194" s="94"/>
      <c r="O194" s="94"/>
      <c r="P194" s="108"/>
      <c r="Q194" s="108"/>
      <c r="R194" s="108"/>
      <c r="S194" s="108"/>
      <c r="T194" s="108"/>
      <c r="U194" s="108"/>
    </row>
    <row r="195" spans="3:21">
      <c r="C195" s="178" t="s">
        <v>468</v>
      </c>
      <c r="D195" s="179">
        <v>7500</v>
      </c>
      <c r="E195" s="179">
        <v>9000</v>
      </c>
      <c r="F195" s="179">
        <v>10500</v>
      </c>
      <c r="G195" s="108"/>
      <c r="H195" s="108"/>
      <c r="I195" s="108"/>
      <c r="J195" s="108"/>
      <c r="K195" s="108"/>
      <c r="L195" s="94"/>
      <c r="M195" s="94"/>
      <c r="N195" s="94"/>
      <c r="O195" s="94"/>
      <c r="P195" s="108"/>
      <c r="Q195" s="108"/>
      <c r="R195" s="108"/>
      <c r="S195" s="108"/>
      <c r="T195" s="108"/>
      <c r="U195" s="108"/>
    </row>
    <row r="196" spans="3:21">
      <c r="C196" s="178" t="s">
        <v>469</v>
      </c>
      <c r="D196" s="179">
        <v>5000</v>
      </c>
      <c r="E196" s="179">
        <v>8000</v>
      </c>
      <c r="F196" s="179">
        <v>12000</v>
      </c>
      <c r="G196" s="108"/>
      <c r="H196" s="108"/>
      <c r="I196" s="108"/>
      <c r="J196" s="108"/>
      <c r="K196" s="108"/>
      <c r="L196" s="94"/>
      <c r="M196" s="94"/>
      <c r="N196" s="94"/>
      <c r="O196" s="94"/>
      <c r="P196" s="108"/>
      <c r="Q196" s="108"/>
      <c r="R196" s="108"/>
      <c r="S196" s="108"/>
      <c r="T196" s="108"/>
      <c r="U196" s="108"/>
    </row>
    <row r="197" spans="3:21">
      <c r="C197" s="178" t="s">
        <v>470</v>
      </c>
      <c r="D197" s="179">
        <v>6000</v>
      </c>
      <c r="E197" s="179">
        <v>6000</v>
      </c>
      <c r="F197" s="179">
        <v>6000</v>
      </c>
      <c r="G197" s="108"/>
      <c r="H197" s="108"/>
      <c r="I197" s="108"/>
      <c r="J197" s="108"/>
      <c r="K197" s="108"/>
      <c r="L197" s="94"/>
      <c r="M197" s="94"/>
      <c r="N197" s="94"/>
      <c r="O197" s="94"/>
      <c r="P197" s="108"/>
      <c r="Q197" s="108"/>
      <c r="R197" s="108"/>
      <c r="S197" s="108"/>
      <c r="T197" s="108"/>
      <c r="U197" s="108"/>
    </row>
    <row r="198" spans="3:21">
      <c r="C198" s="178" t="s">
        <v>471</v>
      </c>
      <c r="D198" s="179">
        <v>1000</v>
      </c>
      <c r="E198" s="179">
        <v>1000</v>
      </c>
      <c r="F198" s="179">
        <v>1000</v>
      </c>
      <c r="G198" s="108"/>
      <c r="H198" s="108"/>
      <c r="I198" s="108"/>
      <c r="J198" s="108"/>
      <c r="K198" s="108"/>
      <c r="L198" s="94"/>
      <c r="M198" s="94"/>
      <c r="N198" s="94"/>
      <c r="O198" s="94"/>
      <c r="P198" s="108"/>
      <c r="Q198" s="108"/>
      <c r="R198" s="108"/>
      <c r="S198" s="108"/>
      <c r="T198" s="108"/>
      <c r="U198" s="108"/>
    </row>
    <row r="199" spans="3:21">
      <c r="C199" s="180" t="s">
        <v>472</v>
      </c>
      <c r="D199" s="181">
        <v>19500</v>
      </c>
      <c r="E199" s="181">
        <v>24000</v>
      </c>
      <c r="F199" s="181">
        <v>29500</v>
      </c>
      <c r="G199" s="108"/>
      <c r="H199" s="108"/>
      <c r="I199" s="108"/>
      <c r="J199" s="108"/>
      <c r="K199" s="108"/>
      <c r="L199" s="108"/>
      <c r="M199" s="108"/>
      <c r="N199" s="108"/>
      <c r="O199" s="108"/>
      <c r="P199" s="108"/>
      <c r="Q199" s="108"/>
      <c r="R199" s="108"/>
      <c r="S199" s="108"/>
      <c r="T199" s="108"/>
      <c r="U199" s="108"/>
    </row>
    <row r="200" spans="3:21">
      <c r="C200" s="182" t="s">
        <v>473</v>
      </c>
      <c r="D200" s="183">
        <v>6500</v>
      </c>
      <c r="E200" s="183">
        <v>8000</v>
      </c>
      <c r="F200" s="183">
        <v>9833.3333333333339</v>
      </c>
      <c r="G200" s="108"/>
      <c r="H200" s="108"/>
      <c r="I200" s="108"/>
      <c r="J200" s="108"/>
      <c r="K200" s="108"/>
      <c r="L200" s="108"/>
      <c r="M200" s="108"/>
      <c r="N200" s="108"/>
      <c r="O200" s="108"/>
      <c r="P200" s="108"/>
      <c r="Q200" s="108"/>
      <c r="R200" s="108"/>
      <c r="S200" s="108"/>
      <c r="T200" s="108"/>
      <c r="U200" s="108"/>
    </row>
    <row r="201" spans="3:21">
      <c r="C201" s="178" t="s">
        <v>474</v>
      </c>
      <c r="D201" s="179">
        <v>2400</v>
      </c>
      <c r="E201" s="179">
        <v>3300</v>
      </c>
      <c r="F201" s="179">
        <v>4400</v>
      </c>
      <c r="G201" s="108"/>
      <c r="H201" s="108"/>
      <c r="I201" s="108"/>
      <c r="J201" s="108"/>
      <c r="K201" s="108"/>
      <c r="L201" s="108"/>
      <c r="M201" s="108"/>
      <c r="N201" s="108"/>
      <c r="O201" s="108"/>
      <c r="P201" s="108"/>
      <c r="Q201" s="108"/>
      <c r="R201" s="108"/>
      <c r="S201" s="108"/>
      <c r="T201" s="108"/>
      <c r="U201" s="108"/>
    </row>
    <row r="202" spans="3:21">
      <c r="C202" s="178" t="s">
        <v>475</v>
      </c>
      <c r="D202" s="181">
        <v>17100</v>
      </c>
      <c r="E202" s="181">
        <v>20700</v>
      </c>
      <c r="F202" s="181">
        <v>25100</v>
      </c>
      <c r="G202" s="108"/>
      <c r="H202" s="108"/>
      <c r="I202" s="108"/>
      <c r="J202" s="108"/>
      <c r="K202" s="108"/>
      <c r="L202" s="108"/>
      <c r="M202" s="108"/>
      <c r="N202" s="108"/>
      <c r="O202" s="108"/>
      <c r="P202" s="108"/>
      <c r="Q202" s="108"/>
      <c r="R202" s="108"/>
      <c r="S202" s="108"/>
      <c r="T202" s="108"/>
      <c r="U202" s="108"/>
    </row>
    <row r="203" spans="3:21">
      <c r="C203" s="182" t="s">
        <v>476</v>
      </c>
      <c r="D203" s="183">
        <v>5700</v>
      </c>
      <c r="E203" s="183">
        <v>6900</v>
      </c>
      <c r="F203" s="183">
        <v>8366.6666666666661</v>
      </c>
      <c r="G203" s="108"/>
      <c r="H203" s="108"/>
      <c r="I203" s="108"/>
      <c r="J203" s="108"/>
      <c r="K203" s="108"/>
      <c r="L203" s="108"/>
      <c r="M203" s="108"/>
      <c r="N203" s="108"/>
      <c r="O203" s="108"/>
      <c r="P203" s="108"/>
      <c r="Q203" s="108"/>
      <c r="R203" s="108"/>
      <c r="S203" s="108"/>
      <c r="T203" s="108"/>
      <c r="U203" s="108"/>
    </row>
    <row r="204" spans="3:21">
      <c r="C204" s="184" t="s">
        <v>477</v>
      </c>
      <c r="D204" s="108"/>
      <c r="E204" s="108"/>
      <c r="F204" s="108"/>
      <c r="G204" s="108"/>
      <c r="H204" s="108"/>
      <c r="I204" s="108"/>
      <c r="J204" s="108"/>
      <c r="K204" s="108"/>
      <c r="L204" s="108"/>
      <c r="M204" s="108"/>
      <c r="N204" s="108"/>
      <c r="O204" s="108"/>
      <c r="P204" s="108"/>
      <c r="Q204" s="108"/>
      <c r="R204" s="108"/>
      <c r="S204" s="108"/>
      <c r="T204" s="108"/>
      <c r="U204" s="108"/>
    </row>
    <row r="205" spans="3:21">
      <c r="C205" s="108"/>
      <c r="D205" s="108"/>
      <c r="E205" s="108"/>
      <c r="F205" s="108"/>
      <c r="G205" s="108"/>
      <c r="H205" s="108"/>
      <c r="I205" s="108"/>
      <c r="J205" s="108"/>
      <c r="K205" s="108"/>
      <c r="L205" s="108"/>
      <c r="M205" s="108"/>
      <c r="N205" s="108"/>
      <c r="O205" s="108"/>
      <c r="P205" s="108"/>
      <c r="Q205" s="108"/>
      <c r="R205" s="108"/>
      <c r="S205" s="108"/>
      <c r="T205" s="108"/>
      <c r="U205" s="108"/>
    </row>
    <row r="206" spans="3:21">
      <c r="C206" s="108" t="s">
        <v>478</v>
      </c>
      <c r="D206" s="108"/>
      <c r="E206" s="108"/>
      <c r="F206" s="108"/>
      <c r="G206" s="108"/>
      <c r="H206" s="108"/>
      <c r="I206" s="108"/>
      <c r="J206" s="108"/>
      <c r="K206" s="108"/>
      <c r="L206" s="108"/>
      <c r="M206" s="108"/>
      <c r="N206" s="108"/>
      <c r="O206" s="108"/>
      <c r="P206" s="108"/>
      <c r="Q206" s="108"/>
      <c r="R206" s="108"/>
      <c r="S206" s="108"/>
      <c r="T206" s="108"/>
      <c r="U206" s="108"/>
    </row>
    <row r="207" spans="3:21" ht="63.75">
      <c r="C207" s="185" t="s">
        <v>479</v>
      </c>
      <c r="D207" s="185" t="s">
        <v>480</v>
      </c>
      <c r="E207" s="185" t="s">
        <v>481</v>
      </c>
      <c r="F207" s="185" t="s">
        <v>482</v>
      </c>
      <c r="G207" s="185" t="s">
        <v>483</v>
      </c>
      <c r="H207" s="185" t="s">
        <v>484</v>
      </c>
      <c r="I207" s="108"/>
      <c r="J207" s="108"/>
      <c r="K207" s="108"/>
      <c r="L207" s="108"/>
      <c r="M207" s="108"/>
      <c r="N207" s="108"/>
      <c r="O207" s="108"/>
      <c r="P207" s="108"/>
      <c r="Q207" s="108"/>
      <c r="R207" s="108"/>
      <c r="S207" s="108"/>
      <c r="T207" s="108"/>
      <c r="U207" s="108"/>
    </row>
    <row r="208" spans="3:21">
      <c r="C208" s="186">
        <v>2.5</v>
      </c>
      <c r="D208" s="181">
        <v>3750</v>
      </c>
      <c r="E208" s="181">
        <v>6250</v>
      </c>
      <c r="F208" s="181">
        <v>2500</v>
      </c>
      <c r="G208" s="181">
        <v>6250</v>
      </c>
      <c r="H208" s="181">
        <v>8330</v>
      </c>
      <c r="I208" s="187">
        <v>2500</v>
      </c>
      <c r="J208" s="108"/>
      <c r="K208" s="108"/>
      <c r="L208" s="108"/>
      <c r="M208" s="108"/>
      <c r="N208" s="108"/>
      <c r="O208" s="108"/>
      <c r="P208" s="108"/>
      <c r="Q208" s="108"/>
      <c r="R208" s="108"/>
      <c r="S208" s="108"/>
      <c r="T208" s="108"/>
      <c r="U208" s="108"/>
    </row>
    <row r="209" spans="3:21">
      <c r="C209" s="186">
        <v>3</v>
      </c>
      <c r="D209" s="181">
        <v>4000</v>
      </c>
      <c r="E209" s="181">
        <v>7500</v>
      </c>
      <c r="F209" s="181">
        <v>3500</v>
      </c>
      <c r="G209" s="181">
        <v>7500</v>
      </c>
      <c r="H209" s="181">
        <v>11900</v>
      </c>
      <c r="I209" s="187">
        <v>2500</v>
      </c>
      <c r="J209" s="108"/>
      <c r="K209" s="108"/>
      <c r="L209" s="108"/>
      <c r="M209" s="108"/>
      <c r="N209" s="108"/>
      <c r="O209" s="108"/>
      <c r="P209" s="108"/>
      <c r="Q209" s="108"/>
      <c r="R209" s="108"/>
      <c r="S209" s="108"/>
      <c r="T209" s="108"/>
      <c r="U209" s="108"/>
    </row>
    <row r="210" spans="3:21">
      <c r="C210" s="186">
        <v>3.5</v>
      </c>
      <c r="D210" s="181">
        <v>4500</v>
      </c>
      <c r="E210" s="181">
        <v>8750</v>
      </c>
      <c r="F210" s="181">
        <v>4250</v>
      </c>
      <c r="G210" s="181">
        <v>8750</v>
      </c>
      <c r="H210" s="181">
        <v>13350</v>
      </c>
      <c r="I210" s="187">
        <v>2500</v>
      </c>
      <c r="J210" s="108"/>
      <c r="K210" s="108"/>
      <c r="L210" s="108"/>
      <c r="M210" s="108"/>
      <c r="N210" s="108"/>
      <c r="O210" s="108"/>
      <c r="P210" s="108"/>
      <c r="Q210" s="108"/>
      <c r="R210" s="108"/>
      <c r="S210" s="108"/>
      <c r="T210" s="108"/>
      <c r="U210" s="108"/>
    </row>
    <row r="211" spans="3:21">
      <c r="C211" s="186">
        <v>4</v>
      </c>
      <c r="D211" s="181">
        <v>5000</v>
      </c>
      <c r="E211" s="181">
        <v>10000</v>
      </c>
      <c r="F211" s="179">
        <v>5000</v>
      </c>
      <c r="G211" s="181">
        <v>10000</v>
      </c>
      <c r="H211" s="181">
        <v>14600</v>
      </c>
      <c r="I211" s="187">
        <v>2500</v>
      </c>
      <c r="J211" s="108"/>
      <c r="K211" s="108"/>
      <c r="L211" s="108"/>
      <c r="M211" s="108"/>
      <c r="N211" s="108"/>
      <c r="O211" s="108"/>
      <c r="P211" s="108"/>
      <c r="Q211" s="108"/>
      <c r="R211" s="108"/>
      <c r="S211" s="108"/>
      <c r="T211" s="108"/>
      <c r="U211" s="108"/>
    </row>
    <row r="212" spans="3:21">
      <c r="C212" s="108"/>
      <c r="D212" s="108"/>
      <c r="E212" s="108"/>
      <c r="F212" s="108"/>
      <c r="G212" s="108"/>
      <c r="H212" s="108"/>
      <c r="I212" s="108"/>
      <c r="J212" s="108"/>
      <c r="K212" s="108"/>
      <c r="L212" s="108"/>
      <c r="M212" s="108"/>
      <c r="N212" s="108"/>
      <c r="O212" s="108"/>
      <c r="P212" s="108"/>
      <c r="Q212" s="108"/>
      <c r="R212" s="108"/>
      <c r="S212" s="108"/>
      <c r="T212" s="108"/>
      <c r="U212" s="108"/>
    </row>
    <row r="213" spans="3:21">
      <c r="C213" s="188" t="s">
        <v>485</v>
      </c>
      <c r="D213" s="108"/>
      <c r="E213" s="108"/>
      <c r="F213" s="108"/>
      <c r="G213" s="108"/>
      <c r="H213" s="108"/>
      <c r="I213" s="108"/>
      <c r="J213" s="108"/>
      <c r="K213" s="108"/>
      <c r="L213" s="108"/>
      <c r="M213" s="108"/>
      <c r="N213" s="108"/>
      <c r="O213" s="108"/>
      <c r="P213" s="108"/>
      <c r="Q213" s="108"/>
      <c r="R213" s="108"/>
      <c r="S213" s="108"/>
      <c r="T213" s="108"/>
      <c r="U213" s="108"/>
    </row>
    <row r="214" spans="3:21">
      <c r="C214" s="108" t="s">
        <v>486</v>
      </c>
      <c r="D214" s="108"/>
      <c r="E214" s="108"/>
      <c r="F214" s="108"/>
      <c r="G214" s="108"/>
      <c r="H214" s="108"/>
      <c r="I214" s="108"/>
      <c r="J214" s="108"/>
      <c r="K214" s="108"/>
      <c r="L214" s="108"/>
      <c r="M214" s="108"/>
      <c r="N214" s="108"/>
      <c r="O214" s="108"/>
      <c r="P214" s="108"/>
      <c r="Q214" s="108"/>
      <c r="R214" s="108"/>
      <c r="S214" s="108"/>
      <c r="T214" s="108"/>
      <c r="U214" s="108"/>
    </row>
    <row r="215" spans="3:21">
      <c r="C215" s="108" t="s">
        <v>487</v>
      </c>
      <c r="D215" s="108"/>
      <c r="E215" s="108"/>
      <c r="F215" s="108"/>
      <c r="G215" s="108"/>
      <c r="H215" s="108"/>
      <c r="I215" s="108"/>
      <c r="J215" s="108"/>
      <c r="K215" s="108"/>
      <c r="L215" s="108"/>
      <c r="M215" s="108"/>
      <c r="N215" s="108"/>
      <c r="O215" s="108"/>
      <c r="P215" s="108"/>
      <c r="Q215" s="108"/>
      <c r="R215" s="108"/>
      <c r="S215" s="108"/>
      <c r="T215" s="108"/>
      <c r="U215" s="108"/>
    </row>
    <row r="216" spans="3:21">
      <c r="C216" s="108" t="s">
        <v>488</v>
      </c>
      <c r="D216" s="108"/>
      <c r="E216" s="108"/>
      <c r="F216" s="108"/>
      <c r="G216" s="108"/>
      <c r="H216" s="108"/>
      <c r="I216" s="108"/>
      <c r="J216" s="108"/>
      <c r="K216" s="108"/>
      <c r="L216" s="108"/>
      <c r="M216" s="108"/>
      <c r="N216" s="108"/>
      <c r="O216" s="108"/>
      <c r="P216" s="108"/>
      <c r="Q216" s="108"/>
      <c r="R216" s="108"/>
      <c r="S216" s="108"/>
      <c r="T216" s="108"/>
      <c r="U216" s="108"/>
    </row>
    <row r="217" spans="3:21">
      <c r="C217" s="108" t="s">
        <v>489</v>
      </c>
      <c r="D217" s="108"/>
      <c r="E217" s="108"/>
      <c r="F217" s="108"/>
      <c r="G217" s="108"/>
      <c r="H217" s="108"/>
      <c r="I217" s="108"/>
      <c r="J217" s="108"/>
      <c r="K217" s="108"/>
      <c r="L217" s="108"/>
      <c r="M217" s="108"/>
      <c r="N217" s="108"/>
      <c r="O217" s="108"/>
      <c r="P217" s="108"/>
      <c r="Q217" s="108"/>
      <c r="R217" s="108"/>
      <c r="S217" s="108"/>
      <c r="T217" s="108"/>
      <c r="U217" s="108"/>
    </row>
    <row r="218" spans="3:21">
      <c r="C218" s="108"/>
      <c r="D218" s="108"/>
      <c r="E218" s="108"/>
      <c r="F218" s="108"/>
      <c r="G218" s="108"/>
      <c r="H218" s="108"/>
      <c r="I218" s="108"/>
      <c r="J218" s="108"/>
      <c r="K218" s="108"/>
      <c r="L218" s="108"/>
      <c r="M218" s="108"/>
      <c r="N218" s="108"/>
      <c r="O218" s="108"/>
      <c r="P218" s="108"/>
      <c r="Q218" s="108"/>
      <c r="R218" s="108"/>
      <c r="S218" s="108"/>
      <c r="T218" s="108"/>
      <c r="U218" s="108"/>
    </row>
    <row r="219" spans="3:21">
      <c r="C219" s="178" t="s">
        <v>490</v>
      </c>
      <c r="D219" s="178" t="s">
        <v>491</v>
      </c>
      <c r="E219" s="178" t="s">
        <v>492</v>
      </c>
      <c r="F219" s="108"/>
      <c r="G219" s="108"/>
      <c r="H219" s="108"/>
      <c r="I219" s="108"/>
      <c r="J219" s="108"/>
      <c r="K219" s="108"/>
      <c r="L219" s="108"/>
      <c r="M219" s="108"/>
      <c r="N219" s="108"/>
      <c r="O219" s="108"/>
      <c r="P219" s="108"/>
      <c r="Q219" s="108"/>
      <c r="R219" s="108"/>
      <c r="S219" s="108"/>
      <c r="T219" s="108"/>
      <c r="U219" s="108"/>
    </row>
    <row r="220" spans="3:21">
      <c r="C220" s="178" t="s">
        <v>493</v>
      </c>
      <c r="D220" s="178">
        <v>14.1</v>
      </c>
      <c r="E220" s="178">
        <v>3.3</v>
      </c>
      <c r="F220" s="108"/>
      <c r="G220" s="108"/>
      <c r="H220" s="108"/>
      <c r="I220" s="108"/>
      <c r="J220" s="108"/>
      <c r="K220" s="108"/>
      <c r="L220" s="108"/>
      <c r="M220" s="108"/>
      <c r="N220" s="108"/>
      <c r="O220" s="108"/>
      <c r="P220" s="108"/>
      <c r="Q220" s="108"/>
      <c r="R220" s="108"/>
      <c r="S220" s="108"/>
      <c r="T220" s="108"/>
      <c r="U220" s="108"/>
    </row>
    <row r="221" spans="3:21">
      <c r="C221" s="178" t="s">
        <v>494</v>
      </c>
      <c r="D221" s="178">
        <v>14.1</v>
      </c>
      <c r="E221" s="178">
        <v>3.3</v>
      </c>
      <c r="F221" s="108"/>
      <c r="G221" s="108"/>
      <c r="H221" s="108"/>
      <c r="I221" s="108"/>
      <c r="J221" s="108"/>
      <c r="K221" s="108"/>
      <c r="L221" s="108"/>
      <c r="M221" s="108"/>
      <c r="N221" s="108"/>
      <c r="O221" s="108"/>
      <c r="P221" s="108"/>
      <c r="Q221" s="108"/>
      <c r="R221" s="108"/>
      <c r="S221" s="108"/>
      <c r="T221" s="108"/>
      <c r="U221" s="108"/>
    </row>
    <row r="222" spans="3:21">
      <c r="C222" s="178" t="s">
        <v>495</v>
      </c>
      <c r="D222" s="178">
        <v>16.2</v>
      </c>
      <c r="E222" s="178">
        <v>3.6</v>
      </c>
      <c r="F222" s="108"/>
      <c r="G222" s="108"/>
      <c r="H222" s="108"/>
      <c r="I222" s="108"/>
      <c r="J222" s="108"/>
      <c r="K222" s="108"/>
      <c r="L222" s="108"/>
      <c r="M222" s="108"/>
      <c r="N222" s="108"/>
      <c r="O222" s="108"/>
      <c r="P222" s="108"/>
      <c r="Q222" s="108"/>
      <c r="R222" s="108"/>
      <c r="S222" s="108"/>
      <c r="T222" s="108"/>
      <c r="U222" s="108"/>
    </row>
    <row r="223" spans="3:21">
      <c r="C223" s="178" t="s">
        <v>494</v>
      </c>
      <c r="D223" s="178">
        <v>16.2</v>
      </c>
      <c r="E223" s="178">
        <v>3.6</v>
      </c>
      <c r="F223" s="108"/>
      <c r="G223" s="108"/>
      <c r="H223" s="108"/>
      <c r="I223" s="108"/>
      <c r="J223" s="108"/>
      <c r="K223" s="108"/>
      <c r="L223" s="108"/>
      <c r="M223" s="108"/>
      <c r="N223" s="108"/>
      <c r="O223" s="108"/>
      <c r="P223" s="108"/>
      <c r="Q223" s="108"/>
      <c r="R223" s="108"/>
      <c r="S223" s="108"/>
      <c r="T223" s="108"/>
      <c r="U223" s="108"/>
    </row>
    <row r="224" spans="3:21">
      <c r="C224" s="178" t="s">
        <v>496</v>
      </c>
      <c r="D224" s="178">
        <v>15</v>
      </c>
      <c r="E224" s="178">
        <v>3.5</v>
      </c>
      <c r="F224" s="108"/>
      <c r="G224" s="108"/>
      <c r="H224" s="108"/>
      <c r="I224" s="108"/>
      <c r="J224" s="108"/>
      <c r="K224" s="108"/>
      <c r="L224" s="108"/>
      <c r="M224" s="108"/>
      <c r="N224" s="108"/>
      <c r="O224" s="108"/>
      <c r="P224" s="108"/>
      <c r="Q224" s="108"/>
      <c r="R224" s="108"/>
      <c r="S224" s="108"/>
      <c r="T224" s="108"/>
      <c r="U224" s="108"/>
    </row>
    <row r="225" spans="2:21">
      <c r="B225" s="94"/>
      <c r="C225" s="178" t="s">
        <v>494</v>
      </c>
      <c r="D225" s="178">
        <v>15</v>
      </c>
      <c r="E225" s="178">
        <v>3.5</v>
      </c>
      <c r="F225" s="108"/>
      <c r="G225" s="108"/>
      <c r="H225" s="108"/>
      <c r="I225" s="108"/>
      <c r="J225" s="108"/>
      <c r="K225" s="108"/>
      <c r="L225" s="108"/>
      <c r="M225" s="108"/>
      <c r="N225" s="108"/>
      <c r="O225" s="108"/>
      <c r="P225" s="108"/>
      <c r="Q225" s="108"/>
      <c r="R225" s="108"/>
      <c r="S225" s="108"/>
      <c r="T225" s="108"/>
      <c r="U225" s="108"/>
    </row>
    <row r="226" spans="2:21">
      <c r="B226" s="94"/>
      <c r="C226" s="108"/>
      <c r="D226" s="108"/>
      <c r="E226" s="108"/>
      <c r="F226" s="108"/>
      <c r="G226" s="108"/>
      <c r="H226" s="108"/>
      <c r="I226" s="108"/>
      <c r="J226" s="108"/>
      <c r="K226" s="108"/>
      <c r="L226" s="108"/>
      <c r="M226" s="108"/>
      <c r="N226" s="108"/>
      <c r="O226" s="108"/>
      <c r="P226" s="108"/>
      <c r="Q226" s="108"/>
      <c r="R226" s="108"/>
      <c r="S226" s="108"/>
      <c r="T226" s="108"/>
      <c r="U226" s="108"/>
    </row>
    <row r="227" spans="2:21">
      <c r="B227" s="94" t="s">
        <v>497</v>
      </c>
      <c r="C227" s="108"/>
      <c r="D227" s="108"/>
      <c r="E227" s="108"/>
      <c r="F227" s="108"/>
      <c r="G227" s="108"/>
      <c r="H227" s="108"/>
      <c r="I227" s="108"/>
      <c r="J227" s="108"/>
      <c r="K227" s="108"/>
      <c r="L227" s="108"/>
      <c r="M227" s="108"/>
      <c r="N227" s="108"/>
      <c r="O227" s="108"/>
      <c r="P227" s="108"/>
      <c r="Q227" s="108"/>
      <c r="R227" s="108"/>
      <c r="S227" s="108"/>
      <c r="T227" s="108"/>
      <c r="U227" s="108"/>
    </row>
    <row r="228" spans="2:21">
      <c r="B228" s="94" t="s">
        <v>236</v>
      </c>
      <c r="C228" s="94"/>
      <c r="D228" s="94"/>
      <c r="E228" s="94"/>
      <c r="F228" s="94"/>
      <c r="G228" s="94"/>
      <c r="H228" s="94"/>
      <c r="I228" s="108"/>
      <c r="J228" s="108"/>
      <c r="K228" s="108"/>
      <c r="L228" s="108"/>
      <c r="M228" s="108"/>
      <c r="N228" s="108"/>
      <c r="O228" s="108"/>
      <c r="P228" s="108"/>
      <c r="Q228" s="108"/>
      <c r="R228" s="108"/>
      <c r="S228" s="108"/>
      <c r="T228" s="108"/>
      <c r="U228" s="108"/>
    </row>
    <row r="229" spans="2:21">
      <c r="B229" s="94" t="s">
        <v>237</v>
      </c>
      <c r="C229" s="94" t="s">
        <v>238</v>
      </c>
      <c r="D229" s="94"/>
      <c r="E229" s="94"/>
      <c r="F229" s="94"/>
      <c r="G229" s="94"/>
      <c r="H229" s="94"/>
      <c r="I229" s="108"/>
      <c r="J229" s="108"/>
      <c r="K229" s="108"/>
      <c r="L229" s="108"/>
      <c r="M229" s="108"/>
      <c r="N229" s="108"/>
      <c r="O229" s="108"/>
      <c r="P229" s="108"/>
      <c r="Q229" s="108"/>
      <c r="R229" s="108"/>
      <c r="S229" s="108"/>
      <c r="T229" s="108"/>
      <c r="U229" s="108"/>
    </row>
    <row r="230" spans="2:21">
      <c r="B230" s="94" t="s">
        <v>239</v>
      </c>
      <c r="C230" s="94" t="s">
        <v>240</v>
      </c>
      <c r="D230" s="94"/>
      <c r="E230" s="94"/>
      <c r="F230" s="94"/>
      <c r="G230" s="94"/>
      <c r="H230" s="94"/>
      <c r="I230" s="108"/>
      <c r="J230" s="108"/>
      <c r="K230" s="108"/>
      <c r="L230" s="108"/>
      <c r="M230" s="108"/>
      <c r="N230" s="108"/>
      <c r="O230" s="108"/>
      <c r="P230" s="108"/>
      <c r="Q230" s="108"/>
      <c r="R230" s="108"/>
      <c r="S230" s="108"/>
      <c r="T230" s="108"/>
      <c r="U230" s="108"/>
    </row>
    <row r="231" spans="2:21">
      <c r="B231" s="94"/>
      <c r="C231" s="94"/>
      <c r="D231" s="94"/>
      <c r="E231" s="94"/>
      <c r="F231" s="94"/>
      <c r="G231" s="94"/>
      <c r="H231" s="94"/>
      <c r="I231" s="108"/>
      <c r="J231" s="108"/>
      <c r="K231" s="108"/>
      <c r="L231" s="108"/>
      <c r="M231" s="108"/>
      <c r="N231" s="108"/>
      <c r="O231" s="108"/>
      <c r="P231" s="108"/>
      <c r="Q231" s="108"/>
      <c r="R231" s="108"/>
      <c r="S231" s="108"/>
      <c r="T231" s="108"/>
      <c r="U231" s="108"/>
    </row>
    <row r="232" spans="2:21">
      <c r="B232" s="94"/>
      <c r="C232" s="94"/>
      <c r="D232" s="94"/>
      <c r="E232" s="94"/>
      <c r="F232" s="94"/>
      <c r="G232" s="94"/>
      <c r="H232" s="94"/>
      <c r="I232" s="108"/>
      <c r="J232" s="108"/>
      <c r="K232" s="108"/>
      <c r="L232" s="108"/>
      <c r="M232" s="108"/>
      <c r="N232" s="108"/>
      <c r="O232" s="108"/>
      <c r="P232" s="108"/>
      <c r="Q232" s="108"/>
      <c r="R232" s="108"/>
      <c r="S232" s="108"/>
      <c r="T232" s="108"/>
      <c r="U232" s="108"/>
    </row>
    <row r="233" spans="2:21">
      <c r="B233" s="94"/>
      <c r="C233" s="94"/>
      <c r="D233" s="94" t="s">
        <v>498</v>
      </c>
      <c r="E233" s="94"/>
      <c r="F233" s="94"/>
      <c r="G233" s="94"/>
      <c r="H233" s="94"/>
      <c r="I233" s="94"/>
      <c r="J233" s="94"/>
      <c r="K233" s="94"/>
      <c r="L233" s="94"/>
      <c r="M233" s="94"/>
      <c r="N233" s="94"/>
      <c r="O233" s="94"/>
      <c r="P233" s="94"/>
      <c r="Q233" s="94"/>
      <c r="R233" s="94"/>
      <c r="S233" s="94"/>
      <c r="T233" s="94"/>
      <c r="U233" s="94"/>
    </row>
    <row r="234" spans="2:21">
      <c r="B234" s="94"/>
      <c r="C234" s="94"/>
      <c r="D234" s="94"/>
      <c r="E234" s="94"/>
      <c r="F234" s="94"/>
      <c r="G234" s="94"/>
      <c r="H234" s="94"/>
      <c r="I234" s="94"/>
      <c r="J234" s="94"/>
      <c r="K234" s="94"/>
      <c r="L234" s="94"/>
      <c r="M234" s="94">
        <v>3</v>
      </c>
      <c r="N234" s="94"/>
      <c r="O234" s="94"/>
      <c r="P234" s="94"/>
      <c r="Q234" s="94"/>
      <c r="R234" s="94"/>
      <c r="S234" s="94"/>
      <c r="T234" s="94"/>
      <c r="U234" s="94"/>
    </row>
    <row r="235" spans="2:21" ht="38.25">
      <c r="B235" s="94"/>
      <c r="C235" s="94"/>
      <c r="D235" s="94" t="s">
        <v>244</v>
      </c>
      <c r="E235" s="94"/>
      <c r="F235" s="94" t="s">
        <v>147</v>
      </c>
      <c r="G235" s="96" t="s">
        <v>245</v>
      </c>
      <c r="H235" s="96" t="s">
        <v>246</v>
      </c>
      <c r="I235" s="96" t="s">
        <v>247</v>
      </c>
      <c r="J235" s="96" t="s">
        <v>248</v>
      </c>
      <c r="K235" s="96" t="s">
        <v>249</v>
      </c>
      <c r="L235" s="94"/>
      <c r="M235" s="94"/>
      <c r="N235" s="94"/>
      <c r="O235" s="94"/>
      <c r="P235" s="94"/>
      <c r="Q235" s="94"/>
      <c r="R235" s="94"/>
      <c r="S235" s="94"/>
      <c r="T235" s="94"/>
      <c r="U235" s="94"/>
    </row>
    <row r="236" spans="2:21">
      <c r="B236" s="94"/>
      <c r="C236" s="94"/>
      <c r="D236" s="94"/>
      <c r="E236" s="94"/>
      <c r="F236" s="109" t="s">
        <v>250</v>
      </c>
      <c r="G236" s="110">
        <v>4283</v>
      </c>
      <c r="H236" s="110">
        <v>1</v>
      </c>
      <c r="I236" s="110">
        <v>4283</v>
      </c>
      <c r="J236" s="110">
        <v>0.3</v>
      </c>
      <c r="K236" s="110">
        <v>5567.9</v>
      </c>
      <c r="L236" s="94">
        <v>8566</v>
      </c>
      <c r="M236" s="94" t="s">
        <v>251</v>
      </c>
      <c r="N236" s="94"/>
      <c r="O236" s="94"/>
      <c r="P236" s="94"/>
      <c r="Q236" s="94"/>
      <c r="R236" s="94"/>
      <c r="S236" s="94"/>
      <c r="T236" s="94"/>
      <c r="U236" s="94"/>
    </row>
    <row r="237" spans="2:21">
      <c r="B237" s="94"/>
      <c r="C237" s="94"/>
      <c r="D237" s="94"/>
      <c r="E237" s="94"/>
      <c r="F237" s="109" t="s">
        <v>252</v>
      </c>
      <c r="G237" s="110">
        <v>250</v>
      </c>
      <c r="H237" s="110">
        <v>1</v>
      </c>
      <c r="I237" s="110">
        <v>250</v>
      </c>
      <c r="J237" s="110">
        <v>0.25</v>
      </c>
      <c r="K237" s="110">
        <v>312.5</v>
      </c>
      <c r="L237" s="94"/>
      <c r="M237" s="94"/>
      <c r="N237" s="94"/>
      <c r="O237" s="94"/>
      <c r="P237" s="94"/>
      <c r="Q237" s="94"/>
      <c r="R237" s="94"/>
      <c r="S237" s="94"/>
      <c r="T237" s="94"/>
      <c r="U237" s="94"/>
    </row>
    <row r="238" spans="2:21">
      <c r="B238" s="94"/>
      <c r="C238" s="94"/>
      <c r="D238" s="94"/>
      <c r="E238" s="94"/>
      <c r="F238" s="109" t="s">
        <v>253</v>
      </c>
      <c r="G238" s="110">
        <v>750</v>
      </c>
      <c r="H238" s="110">
        <v>1</v>
      </c>
      <c r="I238" s="110">
        <v>750</v>
      </c>
      <c r="J238" s="110">
        <v>0.2</v>
      </c>
      <c r="K238" s="110">
        <v>900</v>
      </c>
      <c r="L238" s="94"/>
      <c r="M238" s="94"/>
      <c r="N238" s="94"/>
      <c r="O238" s="94"/>
      <c r="P238" s="94"/>
      <c r="Q238" s="94"/>
      <c r="R238" s="94"/>
      <c r="S238" s="94"/>
      <c r="T238" s="94"/>
      <c r="U238" s="94"/>
    </row>
    <row r="239" spans="2:21">
      <c r="B239" s="94"/>
      <c r="C239" s="94"/>
      <c r="D239" s="94"/>
      <c r="E239" s="94"/>
      <c r="F239" s="109" t="s">
        <v>254</v>
      </c>
      <c r="G239" s="110">
        <v>80</v>
      </c>
      <c r="H239" s="110">
        <v>1</v>
      </c>
      <c r="I239" s="110">
        <v>80</v>
      </c>
      <c r="J239" s="110">
        <v>0.25</v>
      </c>
      <c r="K239" s="110">
        <v>100</v>
      </c>
      <c r="L239" s="94"/>
      <c r="M239" s="94"/>
      <c r="N239" s="94"/>
      <c r="O239" s="94"/>
      <c r="P239" s="94"/>
      <c r="Q239" s="94"/>
      <c r="R239" s="94"/>
      <c r="S239" s="94"/>
      <c r="T239" s="94"/>
      <c r="U239" s="94"/>
    </row>
    <row r="240" spans="2:21">
      <c r="B240" s="94"/>
      <c r="C240" s="94"/>
      <c r="D240" s="94"/>
      <c r="E240" s="94"/>
      <c r="F240" s="109" t="s">
        <v>255</v>
      </c>
      <c r="G240" s="110">
        <v>100</v>
      </c>
      <c r="H240" s="110">
        <v>1</v>
      </c>
      <c r="I240" s="110">
        <v>100</v>
      </c>
      <c r="J240" s="110">
        <v>0.3</v>
      </c>
      <c r="K240" s="110">
        <v>130</v>
      </c>
      <c r="L240" s="94"/>
      <c r="M240" s="94"/>
      <c r="N240" s="94"/>
      <c r="O240" s="94"/>
      <c r="P240" s="94"/>
      <c r="Q240" s="94"/>
      <c r="R240" s="94"/>
      <c r="S240" s="94"/>
      <c r="T240" s="94"/>
      <c r="U240" s="94"/>
    </row>
    <row r="241" spans="4:20">
      <c r="D241" s="94"/>
      <c r="E241" s="94"/>
      <c r="F241" s="109" t="s">
        <v>256</v>
      </c>
      <c r="G241" s="110">
        <v>200</v>
      </c>
      <c r="H241" s="110">
        <v>1</v>
      </c>
      <c r="I241" s="110">
        <v>250</v>
      </c>
      <c r="J241" s="110">
        <v>0.25</v>
      </c>
      <c r="K241" s="110">
        <v>312.5</v>
      </c>
      <c r="L241" s="94"/>
      <c r="M241" s="94"/>
      <c r="N241" s="94"/>
      <c r="O241" s="94"/>
      <c r="P241" s="94"/>
      <c r="Q241" s="94"/>
      <c r="R241" s="94"/>
      <c r="S241" s="94"/>
      <c r="T241" s="94"/>
    </row>
    <row r="242" spans="4:20">
      <c r="D242" s="94"/>
      <c r="E242" s="94"/>
      <c r="F242" s="94"/>
      <c r="G242" s="94"/>
      <c r="H242" s="94"/>
      <c r="I242" s="94"/>
      <c r="J242" s="94"/>
      <c r="K242" s="94"/>
      <c r="L242" s="111">
        <v>7322.9</v>
      </c>
      <c r="M242" s="94">
        <v>2440.9666666666667</v>
      </c>
      <c r="N242" s="94"/>
      <c r="O242" s="94"/>
      <c r="P242" s="94"/>
      <c r="Q242" s="94"/>
      <c r="R242" s="94"/>
      <c r="S242" s="94"/>
      <c r="T242" s="94"/>
    </row>
    <row r="243" spans="4:20">
      <c r="D243" s="94" t="s">
        <v>257</v>
      </c>
      <c r="E243" s="94"/>
      <c r="F243" s="94"/>
      <c r="G243" s="94"/>
      <c r="H243" s="94"/>
      <c r="I243" s="94"/>
      <c r="J243" s="94"/>
      <c r="K243" s="94"/>
      <c r="L243" s="94">
        <v>7319</v>
      </c>
      <c r="M243" s="94"/>
      <c r="N243" s="94"/>
      <c r="O243" s="94"/>
      <c r="P243" s="94"/>
      <c r="Q243" s="94"/>
      <c r="R243" s="94"/>
      <c r="S243" s="94"/>
      <c r="T243" s="94"/>
    </row>
    <row r="244" spans="4:20">
      <c r="D244" s="94"/>
      <c r="E244" s="94"/>
      <c r="F244" s="109" t="s">
        <v>258</v>
      </c>
      <c r="G244" s="110">
        <v>50</v>
      </c>
      <c r="H244" s="110">
        <v>1</v>
      </c>
      <c r="I244" s="110">
        <v>50</v>
      </c>
      <c r="J244" s="110">
        <v>0.2</v>
      </c>
      <c r="K244" s="110">
        <v>60</v>
      </c>
      <c r="L244" s="94"/>
      <c r="M244" s="94"/>
      <c r="N244" s="94"/>
      <c r="O244" s="94"/>
      <c r="P244" s="94"/>
      <c r="Q244" s="94"/>
      <c r="R244" s="94"/>
      <c r="S244" s="94"/>
      <c r="T244" s="94"/>
    </row>
    <row r="245" spans="4:20">
      <c r="D245" s="94"/>
      <c r="E245" s="94"/>
      <c r="F245" s="109" t="s">
        <v>259</v>
      </c>
      <c r="G245" s="110">
        <v>30</v>
      </c>
      <c r="H245" s="110">
        <v>2</v>
      </c>
      <c r="I245" s="110">
        <v>60</v>
      </c>
      <c r="J245" s="110">
        <v>0.2</v>
      </c>
      <c r="K245" s="110">
        <v>72</v>
      </c>
      <c r="L245" s="94"/>
      <c r="M245" s="94"/>
      <c r="N245" s="94"/>
      <c r="O245" s="94"/>
      <c r="P245" s="94"/>
      <c r="Q245" s="94"/>
      <c r="R245" s="94"/>
      <c r="S245" s="94"/>
      <c r="T245" s="94"/>
    </row>
    <row r="246" spans="4:20">
      <c r="D246" s="94"/>
      <c r="E246" s="94"/>
      <c r="F246" s="109" t="s">
        <v>260</v>
      </c>
      <c r="G246" s="110">
        <v>0.25</v>
      </c>
      <c r="H246" s="110">
        <v>2400</v>
      </c>
      <c r="I246" s="110">
        <v>600</v>
      </c>
      <c r="J246" s="110">
        <v>0.2</v>
      </c>
      <c r="K246" s="110">
        <v>720</v>
      </c>
      <c r="L246" s="94"/>
      <c r="M246" s="94"/>
      <c r="N246" s="94"/>
      <c r="O246" s="94"/>
      <c r="P246" s="94"/>
      <c r="Q246" s="94"/>
      <c r="R246" s="94"/>
      <c r="S246" s="94"/>
      <c r="T246" s="94"/>
    </row>
    <row r="247" spans="4:20">
      <c r="D247" s="94"/>
      <c r="E247" s="94"/>
      <c r="F247" s="112" t="s">
        <v>261</v>
      </c>
      <c r="G247" s="113">
        <v>20</v>
      </c>
      <c r="H247" s="113">
        <v>16</v>
      </c>
      <c r="I247" s="110">
        <v>320</v>
      </c>
      <c r="J247" s="113">
        <v>0.2</v>
      </c>
      <c r="K247" s="110">
        <v>320</v>
      </c>
      <c r="L247" s="94"/>
      <c r="M247" s="94"/>
      <c r="N247" s="94">
        <v>850</v>
      </c>
      <c r="O247" s="94">
        <v>55</v>
      </c>
      <c r="P247" s="94">
        <v>15.454545454545455</v>
      </c>
      <c r="Q247" s="94">
        <v>3.125E-2</v>
      </c>
      <c r="R247" s="94">
        <v>2.3009033203125001E-2</v>
      </c>
      <c r="S247" s="94">
        <v>55.2216796875</v>
      </c>
      <c r="T247" s="94">
        <v>16.566503906249999</v>
      </c>
    </row>
    <row r="248" spans="4:20">
      <c r="D248" s="94" t="s">
        <v>262</v>
      </c>
      <c r="E248" s="94"/>
      <c r="F248" s="112"/>
      <c r="G248" s="114"/>
      <c r="H248" s="114"/>
      <c r="I248" s="94"/>
      <c r="J248" s="115"/>
      <c r="K248" s="94"/>
      <c r="L248" s="111">
        <v>1172</v>
      </c>
      <c r="M248" s="94">
        <v>390.66666666666669</v>
      </c>
      <c r="N248" s="94"/>
      <c r="O248" s="94"/>
      <c r="P248" s="94"/>
      <c r="Q248" s="94"/>
      <c r="R248" s="94"/>
      <c r="S248" s="94"/>
      <c r="T248" s="94"/>
    </row>
    <row r="249" spans="4:20">
      <c r="D249" s="94"/>
      <c r="E249" s="94"/>
      <c r="F249" s="109" t="s">
        <v>263</v>
      </c>
      <c r="G249" s="116">
        <v>120</v>
      </c>
      <c r="H249" s="116">
        <v>4</v>
      </c>
      <c r="I249" s="117">
        <v>480</v>
      </c>
      <c r="J249" s="116"/>
      <c r="K249" s="116">
        <v>480</v>
      </c>
      <c r="L249" s="94"/>
      <c r="M249" s="94"/>
      <c r="N249" s="94"/>
      <c r="O249" s="94"/>
      <c r="P249" s="94"/>
      <c r="Q249" s="94"/>
      <c r="R249" s="94"/>
      <c r="S249" s="94"/>
      <c r="T249" s="94"/>
    </row>
    <row r="250" spans="4:20">
      <c r="D250" s="94"/>
      <c r="E250" s="94"/>
      <c r="F250" s="112" t="s">
        <v>264</v>
      </c>
      <c r="G250" s="116">
        <v>6</v>
      </c>
      <c r="H250" s="116">
        <v>333.33333333333337</v>
      </c>
      <c r="I250" s="116">
        <v>2000.0000000000002</v>
      </c>
      <c r="J250" s="116"/>
      <c r="K250" s="116">
        <v>2000.0000000000002</v>
      </c>
      <c r="L250" s="94"/>
      <c r="M250" s="94"/>
      <c r="N250" s="94"/>
      <c r="O250" s="94">
        <v>200</v>
      </c>
      <c r="P250" s="94">
        <v>3</v>
      </c>
      <c r="Q250" s="94">
        <v>5</v>
      </c>
      <c r="R250" s="94">
        <v>3000</v>
      </c>
      <c r="S250" s="118">
        <v>111.11111111111111</v>
      </c>
      <c r="T250" s="94"/>
    </row>
    <row r="251" spans="4:20">
      <c r="D251" s="94"/>
      <c r="E251" s="94"/>
      <c r="F251" s="112" t="s">
        <v>265</v>
      </c>
      <c r="G251" s="116">
        <v>60</v>
      </c>
      <c r="H251" s="116">
        <v>2</v>
      </c>
      <c r="I251" s="116">
        <v>120</v>
      </c>
      <c r="J251" s="116"/>
      <c r="K251" s="116">
        <v>120</v>
      </c>
      <c r="L251" s="94"/>
      <c r="M251" s="94"/>
      <c r="N251" s="94"/>
      <c r="O251" s="94"/>
      <c r="P251" s="94"/>
      <c r="Q251" s="94"/>
      <c r="R251" s="94"/>
      <c r="S251" s="94"/>
      <c r="T251" s="94"/>
    </row>
    <row r="252" spans="4:20">
      <c r="D252" s="94"/>
      <c r="E252" s="94"/>
      <c r="F252" s="112" t="s">
        <v>266</v>
      </c>
      <c r="G252" s="116">
        <v>60</v>
      </c>
      <c r="H252" s="116">
        <v>1</v>
      </c>
      <c r="I252" s="116">
        <v>60</v>
      </c>
      <c r="J252" s="116"/>
      <c r="K252" s="116">
        <v>60</v>
      </c>
      <c r="L252" s="94"/>
      <c r="M252" s="94"/>
      <c r="N252" s="94"/>
      <c r="O252" s="94"/>
      <c r="P252" s="94"/>
      <c r="Q252" s="94"/>
      <c r="R252" s="94"/>
      <c r="S252" s="94"/>
      <c r="T252" s="94"/>
    </row>
    <row r="253" spans="4:20">
      <c r="D253" s="94"/>
      <c r="E253" s="94"/>
      <c r="F253" s="112" t="s">
        <v>267</v>
      </c>
      <c r="G253" s="116">
        <v>60</v>
      </c>
      <c r="H253" s="116">
        <v>2</v>
      </c>
      <c r="I253" s="116">
        <v>120</v>
      </c>
      <c r="J253" s="116"/>
      <c r="K253" s="116">
        <v>120</v>
      </c>
      <c r="L253" s="94"/>
      <c r="M253" s="94"/>
      <c r="N253" s="94"/>
      <c r="O253" s="94"/>
      <c r="P253" s="94"/>
      <c r="Q253" s="94"/>
      <c r="R253" s="94"/>
      <c r="S253" s="94"/>
      <c r="T253" s="94"/>
    </row>
    <row r="254" spans="4:20">
      <c r="D254" s="94"/>
      <c r="E254" s="94"/>
      <c r="F254" s="112" t="s">
        <v>268</v>
      </c>
      <c r="G254" s="116">
        <v>60</v>
      </c>
      <c r="H254" s="116">
        <v>1</v>
      </c>
      <c r="I254" s="116">
        <v>60</v>
      </c>
      <c r="J254" s="116"/>
      <c r="K254" s="116">
        <v>60</v>
      </c>
      <c r="L254" s="94"/>
      <c r="M254" s="94"/>
      <c r="N254" s="94"/>
      <c r="O254" s="94"/>
      <c r="P254" s="94"/>
      <c r="Q254" s="94"/>
      <c r="R254" s="94"/>
      <c r="S254" s="94"/>
      <c r="T254" s="94"/>
    </row>
    <row r="255" spans="4:20">
      <c r="D255" s="94"/>
      <c r="E255" s="94"/>
      <c r="F255" s="112" t="s">
        <v>269</v>
      </c>
      <c r="G255" s="116">
        <v>60</v>
      </c>
      <c r="H255" s="116">
        <v>6</v>
      </c>
      <c r="I255" s="116">
        <v>360</v>
      </c>
      <c r="J255" s="116"/>
      <c r="K255" s="116">
        <v>360</v>
      </c>
      <c r="L255" s="94"/>
      <c r="M255" s="94"/>
      <c r="N255" s="94"/>
      <c r="O255" s="94"/>
      <c r="P255" s="94"/>
      <c r="Q255" s="94"/>
      <c r="R255" s="94"/>
      <c r="S255" s="94"/>
      <c r="T255" s="94"/>
    </row>
    <row r="256" spans="4:20">
      <c r="D256" s="94"/>
      <c r="E256" s="94"/>
      <c r="F256" s="112" t="s">
        <v>270</v>
      </c>
      <c r="G256" s="116">
        <v>3</v>
      </c>
      <c r="H256" s="116">
        <v>333.33333333333337</v>
      </c>
      <c r="I256" s="116">
        <v>1000.0000000000001</v>
      </c>
      <c r="J256" s="116"/>
      <c r="K256" s="116">
        <v>1000.0000000000001</v>
      </c>
      <c r="L256" s="94"/>
      <c r="M256" s="94"/>
      <c r="N256" s="94"/>
      <c r="O256" s="94"/>
      <c r="P256" s="94"/>
      <c r="Q256" s="94"/>
      <c r="R256" s="94"/>
      <c r="S256" s="94"/>
      <c r="T256" s="94"/>
    </row>
    <row r="257" spans="3:13">
      <c r="C257" s="94"/>
      <c r="D257" s="94"/>
      <c r="E257" s="94"/>
      <c r="F257" s="112"/>
      <c r="G257" s="116"/>
      <c r="H257" s="116"/>
      <c r="I257" s="116"/>
      <c r="J257" s="116"/>
      <c r="K257" s="116"/>
      <c r="L257" s="94"/>
      <c r="M257" s="94"/>
    </row>
    <row r="258" spans="3:13">
      <c r="C258" s="94"/>
      <c r="D258" s="94"/>
      <c r="E258" s="94"/>
      <c r="F258" s="94"/>
      <c r="G258" s="94"/>
      <c r="H258" s="94"/>
      <c r="I258" s="94"/>
      <c r="J258" s="94"/>
      <c r="K258" s="94" t="s">
        <v>271</v>
      </c>
      <c r="L258" s="119">
        <v>4200</v>
      </c>
      <c r="M258" s="94">
        <v>1400</v>
      </c>
    </row>
    <row r="260" spans="3:13">
      <c r="C260" s="94"/>
      <c r="D260" s="94"/>
      <c r="E260" s="94"/>
      <c r="F260" s="94"/>
      <c r="G260" s="94"/>
      <c r="H260" s="94"/>
      <c r="I260" s="94"/>
      <c r="J260" s="94"/>
      <c r="K260" s="94" t="s">
        <v>272</v>
      </c>
      <c r="L260" s="119">
        <v>12694.9</v>
      </c>
      <c r="M260" s="94">
        <v>4231.6333333333332</v>
      </c>
    </row>
    <row r="262" spans="3:13">
      <c r="C262" s="94"/>
      <c r="D262" s="94"/>
      <c r="E262" s="94"/>
      <c r="F262" s="109" t="s">
        <v>273</v>
      </c>
      <c r="G262" s="120">
        <v>7322.9</v>
      </c>
      <c r="H262" s="116">
        <v>2440.9666666666667</v>
      </c>
      <c r="I262" s="94"/>
      <c r="J262" s="94"/>
      <c r="K262" s="94"/>
      <c r="L262" s="94"/>
      <c r="M262" s="94"/>
    </row>
    <row r="263" spans="3:13">
      <c r="C263" s="94"/>
      <c r="D263" s="94"/>
      <c r="E263" s="94"/>
      <c r="F263" s="109" t="s">
        <v>274</v>
      </c>
      <c r="G263" s="120">
        <v>5372</v>
      </c>
      <c r="H263" s="116">
        <v>1790.6666666666667</v>
      </c>
      <c r="I263" s="94"/>
      <c r="J263" s="94"/>
      <c r="K263" s="94"/>
      <c r="L263" s="94"/>
      <c r="M263" s="94"/>
    </row>
    <row r="267" spans="3:13">
      <c r="C267" s="94"/>
      <c r="D267" s="94"/>
      <c r="E267" s="94"/>
      <c r="F267" s="94"/>
      <c r="G267" s="95"/>
      <c r="H267" s="95"/>
      <c r="I267" s="95"/>
      <c r="J267" s="94"/>
      <c r="K267" s="94"/>
      <c r="L267" s="94"/>
      <c r="M267" s="94"/>
    </row>
    <row r="268" spans="3:13">
      <c r="C268" s="94"/>
      <c r="D268" s="94"/>
      <c r="E268" s="94"/>
      <c r="F268" s="109"/>
      <c r="G268" s="110"/>
      <c r="H268" s="110"/>
      <c r="I268" s="110"/>
      <c r="J268" s="94"/>
      <c r="K268" s="94"/>
      <c r="L268" s="94"/>
      <c r="M268" s="94"/>
    </row>
    <row r="271" spans="3:13">
      <c r="C271" s="172"/>
      <c r="D271" s="189" t="s">
        <v>499</v>
      </c>
      <c r="E271" s="190" t="s">
        <v>500</v>
      </c>
      <c r="F271" s="190" t="s">
        <v>501</v>
      </c>
      <c r="G271" s="94"/>
      <c r="H271" s="94"/>
      <c r="I271" s="94"/>
      <c r="J271" s="94"/>
      <c r="K271" s="94"/>
      <c r="L271" s="94"/>
      <c r="M271" s="94"/>
    </row>
    <row r="272" spans="3:13">
      <c r="C272" s="94"/>
      <c r="D272" s="190" t="s">
        <v>218</v>
      </c>
      <c r="E272" s="190" t="s">
        <v>502</v>
      </c>
      <c r="F272" s="190" t="s">
        <v>503</v>
      </c>
      <c r="G272" s="94"/>
      <c r="H272" s="94"/>
      <c r="I272" s="94"/>
      <c r="J272" s="94"/>
      <c r="K272" s="94"/>
      <c r="L272" s="94"/>
      <c r="M272" s="94"/>
    </row>
    <row r="273" spans="2:8">
      <c r="B273" s="94"/>
      <c r="C273" s="172" t="s">
        <v>504</v>
      </c>
      <c r="D273" s="191" t="s">
        <v>505</v>
      </c>
      <c r="E273" s="192">
        <v>8000</v>
      </c>
      <c r="F273" s="193">
        <v>7322.9</v>
      </c>
      <c r="G273" s="94"/>
      <c r="H273" s="94"/>
    </row>
    <row r="274" spans="2:8">
      <c r="B274" s="94"/>
      <c r="C274" s="94" t="s">
        <v>506</v>
      </c>
      <c r="D274" s="191" t="s">
        <v>505</v>
      </c>
      <c r="E274" s="191">
        <v>14000</v>
      </c>
      <c r="F274" s="191">
        <v>5372</v>
      </c>
      <c r="G274" s="194">
        <v>1790.6666666666667</v>
      </c>
      <c r="H274" s="194">
        <v>4666.666666666667</v>
      </c>
    </row>
    <row r="275" spans="2:8">
      <c r="B275" s="94"/>
      <c r="C275" s="108" t="s">
        <v>507</v>
      </c>
      <c r="D275" s="191" t="s">
        <v>505</v>
      </c>
      <c r="E275" s="191">
        <v>1000</v>
      </c>
      <c r="F275" s="191">
        <v>1000</v>
      </c>
      <c r="G275" s="94"/>
      <c r="H275" s="94"/>
    </row>
    <row r="276" spans="2:8">
      <c r="B276" s="94"/>
      <c r="C276" s="195" t="s">
        <v>508</v>
      </c>
      <c r="D276" s="196">
        <v>13305</v>
      </c>
      <c r="E276" s="197">
        <v>23000</v>
      </c>
      <c r="F276" s="196">
        <v>13694.9</v>
      </c>
      <c r="G276" s="94"/>
      <c r="H276" s="94"/>
    </row>
    <row r="277" spans="2:8">
      <c r="B277" s="94">
        <v>3</v>
      </c>
      <c r="C277" s="108" t="s">
        <v>509</v>
      </c>
      <c r="D277" s="196">
        <v>4435</v>
      </c>
      <c r="E277" s="198">
        <v>7666.666666666667</v>
      </c>
      <c r="F277" s="198">
        <v>4564.9666666666662</v>
      </c>
      <c r="G277" s="94"/>
      <c r="H277" s="94"/>
    </row>
    <row r="278" spans="2:8">
      <c r="B278" s="94"/>
      <c r="C278" s="108"/>
      <c r="D278" s="108"/>
      <c r="E278" s="108"/>
      <c r="F278" s="108"/>
      <c r="G278" s="94"/>
      <c r="H278" s="94"/>
    </row>
    <row r="279" spans="2:8">
      <c r="B279" s="94"/>
      <c r="C279" s="108"/>
      <c r="D279" s="108"/>
      <c r="E279" s="108"/>
      <c r="F279" s="108"/>
      <c r="G279" s="94"/>
      <c r="H279" s="94"/>
    </row>
    <row r="280" spans="2:8">
      <c r="B280" s="94" t="s">
        <v>510</v>
      </c>
      <c r="C280" s="108"/>
      <c r="D280" s="108"/>
      <c r="E280" s="108"/>
      <c r="F280" s="108"/>
      <c r="G280" s="94"/>
      <c r="H280" s="94"/>
    </row>
    <row r="282" spans="2:8">
      <c r="B282" s="647" t="s">
        <v>511</v>
      </c>
      <c r="C282" s="646"/>
      <c r="D282" s="646"/>
      <c r="E282" s="646"/>
      <c r="F282" s="646"/>
      <c r="G282" s="646"/>
      <c r="H282" s="94"/>
    </row>
    <row r="284" spans="2:8">
      <c r="B284" s="199" t="s">
        <v>512</v>
      </c>
      <c r="C284" s="94"/>
      <c r="D284" s="94"/>
      <c r="E284" s="94"/>
      <c r="F284" s="94"/>
      <c r="G284" s="94"/>
      <c r="H284" s="94"/>
    </row>
    <row r="285" spans="2:8">
      <c r="B285" s="199"/>
      <c r="C285" s="94"/>
      <c r="D285" s="94"/>
      <c r="E285" s="94"/>
      <c r="F285" s="94"/>
      <c r="G285" s="94"/>
      <c r="H285" s="94"/>
    </row>
    <row r="286" spans="2:8">
      <c r="B286" s="200" t="s">
        <v>513</v>
      </c>
      <c r="C286" s="94"/>
      <c r="D286" s="94"/>
      <c r="E286" s="94"/>
      <c r="F286" s="94"/>
      <c r="G286" s="94"/>
      <c r="H286" s="94"/>
    </row>
    <row r="287" spans="2:8">
      <c r="B287" s="199"/>
      <c r="C287" s="94"/>
      <c r="D287" s="94"/>
      <c r="E287" s="94"/>
      <c r="F287" s="94"/>
      <c r="G287" s="94"/>
      <c r="H287" s="94"/>
    </row>
    <row r="288" spans="2:8">
      <c r="B288" s="201" t="s">
        <v>514</v>
      </c>
      <c r="C288" s="94"/>
      <c r="D288" s="94"/>
      <c r="E288" s="94"/>
      <c r="F288" s="94"/>
      <c r="G288" s="94"/>
      <c r="H288" s="94"/>
    </row>
    <row r="289" spans="2:20">
      <c r="B289" s="201" t="s">
        <v>515</v>
      </c>
      <c r="C289" s="94"/>
      <c r="D289" s="94"/>
      <c r="E289" s="94"/>
      <c r="F289" s="94"/>
      <c r="G289" s="94"/>
      <c r="H289" s="94"/>
      <c r="I289" s="94"/>
      <c r="J289" s="94"/>
      <c r="K289" s="94"/>
      <c r="L289" s="94"/>
      <c r="M289" s="94"/>
      <c r="N289" s="94"/>
      <c r="O289" s="94"/>
      <c r="P289" s="94"/>
      <c r="Q289" s="94"/>
      <c r="R289" s="94"/>
      <c r="S289" s="94"/>
      <c r="T289" s="94"/>
    </row>
    <row r="290" spans="2:20">
      <c r="B290" s="201" t="s">
        <v>516</v>
      </c>
      <c r="C290" s="94"/>
      <c r="D290" s="94"/>
      <c r="E290" s="94"/>
      <c r="F290" s="94"/>
      <c r="G290" s="94"/>
      <c r="H290" s="94"/>
      <c r="I290" s="94"/>
      <c r="J290" s="94"/>
      <c r="K290" s="94"/>
      <c r="L290" s="94"/>
      <c r="M290" s="94"/>
      <c r="N290" s="94"/>
      <c r="O290" s="94"/>
      <c r="P290" s="94"/>
      <c r="Q290" s="94"/>
      <c r="R290" s="94"/>
      <c r="S290" s="94"/>
      <c r="T290" s="94"/>
    </row>
    <row r="291" spans="2:20">
      <c r="B291" s="201" t="s">
        <v>517</v>
      </c>
      <c r="C291" s="94"/>
      <c r="D291" s="94"/>
      <c r="E291" s="94"/>
      <c r="F291" s="94"/>
      <c r="G291" s="94"/>
      <c r="H291" s="94"/>
      <c r="I291" s="94"/>
      <c r="J291" s="94"/>
      <c r="K291" s="94"/>
      <c r="L291" s="94"/>
      <c r="M291" s="94"/>
      <c r="N291" s="94"/>
      <c r="O291" s="94"/>
      <c r="P291" s="94"/>
      <c r="Q291" s="94"/>
      <c r="R291" s="94"/>
      <c r="S291" s="94"/>
      <c r="T291" s="94"/>
    </row>
    <row r="292" spans="2:20">
      <c r="B292" s="201" t="s">
        <v>518</v>
      </c>
      <c r="C292" s="94"/>
      <c r="D292" s="94"/>
      <c r="E292" s="94"/>
      <c r="F292" s="94"/>
      <c r="G292" s="94"/>
      <c r="H292" s="94"/>
      <c r="I292" s="94"/>
      <c r="J292" s="94"/>
      <c r="K292" s="94"/>
      <c r="L292" s="94"/>
      <c r="M292" s="94"/>
      <c r="N292" s="94"/>
      <c r="O292" s="94"/>
      <c r="P292" s="94"/>
      <c r="Q292" s="94"/>
      <c r="R292" s="94"/>
      <c r="S292" s="94"/>
      <c r="T292" s="94"/>
    </row>
    <row r="293" spans="2:20">
      <c r="B293" s="199"/>
      <c r="C293" s="94"/>
      <c r="D293" s="94"/>
      <c r="E293" s="94"/>
      <c r="F293" s="94"/>
      <c r="G293" s="94"/>
      <c r="H293" s="94"/>
      <c r="I293" s="94"/>
      <c r="J293" s="94"/>
      <c r="K293" s="94"/>
      <c r="L293" s="94"/>
      <c r="M293" s="94"/>
      <c r="N293" s="94"/>
      <c r="O293" s="94"/>
      <c r="P293" s="94"/>
      <c r="Q293" s="94"/>
      <c r="R293" s="94"/>
      <c r="S293" s="94"/>
      <c r="T293" s="94"/>
    </row>
    <row r="294" spans="2:20">
      <c r="B294" s="201" t="s">
        <v>519</v>
      </c>
      <c r="C294" s="94"/>
      <c r="D294" s="94"/>
      <c r="E294" s="94"/>
      <c r="F294" s="94"/>
      <c r="G294" s="94"/>
      <c r="H294" s="94"/>
      <c r="I294" s="94"/>
      <c r="J294" s="94"/>
      <c r="K294" s="94"/>
      <c r="L294" s="94"/>
      <c r="M294" s="94"/>
      <c r="N294" s="94"/>
      <c r="O294" s="94"/>
      <c r="P294" s="94"/>
      <c r="Q294" s="94"/>
      <c r="R294" s="94"/>
      <c r="S294" s="94"/>
      <c r="T294" s="94"/>
    </row>
    <row r="295" spans="2:20">
      <c r="B295" s="199"/>
      <c r="C295" s="94"/>
      <c r="D295" s="94"/>
      <c r="E295" s="94"/>
      <c r="F295" s="94"/>
      <c r="G295" s="94"/>
      <c r="H295" s="94"/>
      <c r="I295" s="94"/>
      <c r="J295" s="94"/>
      <c r="K295" s="94"/>
      <c r="L295" s="94"/>
      <c r="M295" s="94"/>
      <c r="N295" s="94"/>
      <c r="O295" s="94"/>
      <c r="P295" s="94"/>
      <c r="Q295" s="94"/>
      <c r="R295" s="94"/>
      <c r="S295" s="94"/>
      <c r="T295" s="94"/>
    </row>
    <row r="296" spans="2:20">
      <c r="B296" s="201" t="s">
        <v>520</v>
      </c>
      <c r="C296" s="94"/>
      <c r="D296" s="94"/>
      <c r="E296" s="94"/>
      <c r="F296" s="94"/>
      <c r="G296" s="94"/>
      <c r="H296" s="94"/>
      <c r="I296" s="94"/>
      <c r="J296" s="94"/>
      <c r="K296" s="94"/>
      <c r="L296" s="94"/>
      <c r="M296" s="94"/>
      <c r="N296" s="94"/>
      <c r="O296" s="94"/>
      <c r="P296" s="94"/>
      <c r="Q296" s="94"/>
      <c r="R296" s="94"/>
      <c r="S296" s="94"/>
      <c r="T296" s="94"/>
    </row>
    <row r="297" spans="2:20">
      <c r="B297" s="199"/>
      <c r="C297" s="94"/>
      <c r="D297" s="94"/>
      <c r="E297" s="94"/>
      <c r="F297" s="94"/>
      <c r="G297" s="94"/>
      <c r="H297" s="94"/>
      <c r="I297" s="94"/>
      <c r="J297" s="94"/>
      <c r="K297" s="94"/>
      <c r="L297" s="94"/>
      <c r="M297" s="94"/>
      <c r="N297" s="94"/>
      <c r="O297" s="94"/>
      <c r="P297" s="94"/>
      <c r="Q297" s="94"/>
      <c r="R297" s="94"/>
      <c r="S297" s="94"/>
      <c r="T297" s="94"/>
    </row>
    <row r="298" spans="2:20">
      <c r="B298" s="201" t="s">
        <v>521</v>
      </c>
      <c r="C298" s="94"/>
      <c r="D298" s="94"/>
      <c r="E298" s="94"/>
      <c r="F298" s="94"/>
      <c r="G298" s="94"/>
      <c r="H298" s="94"/>
      <c r="I298" s="94"/>
      <c r="J298" s="94"/>
      <c r="K298" s="94"/>
      <c r="L298" s="94"/>
      <c r="M298" s="94"/>
      <c r="N298" s="94"/>
      <c r="O298" s="94"/>
      <c r="P298" s="94"/>
      <c r="Q298" s="94"/>
      <c r="R298" s="94"/>
      <c r="S298" s="94"/>
      <c r="T298" s="94"/>
    </row>
    <row r="299" spans="2:20">
      <c r="B299" s="199"/>
      <c r="C299" s="94"/>
      <c r="D299" s="94"/>
      <c r="E299" s="94"/>
      <c r="F299" s="94"/>
      <c r="G299" s="94"/>
      <c r="H299" s="94"/>
      <c r="I299" s="94"/>
      <c r="J299" s="94"/>
      <c r="K299" s="94"/>
      <c r="L299" s="94"/>
      <c r="M299" s="94"/>
      <c r="N299" s="94"/>
      <c r="O299" s="94"/>
      <c r="P299" s="94"/>
      <c r="Q299" s="94"/>
      <c r="R299" s="94"/>
      <c r="S299" s="94"/>
      <c r="T299" s="94"/>
    </row>
    <row r="300" spans="2:20">
      <c r="B300" s="201" t="s">
        <v>522</v>
      </c>
      <c r="C300" s="94"/>
      <c r="D300" s="94"/>
      <c r="E300" s="94"/>
      <c r="F300" s="94"/>
      <c r="G300" s="94"/>
      <c r="H300" s="94"/>
      <c r="I300" s="94"/>
      <c r="J300" s="94"/>
      <c r="K300" s="94"/>
      <c r="L300" s="94"/>
      <c r="M300" s="94"/>
      <c r="N300" s="94"/>
      <c r="O300" s="94"/>
      <c r="P300" s="94"/>
      <c r="Q300" s="94"/>
      <c r="R300" s="94"/>
      <c r="S300" s="94"/>
      <c r="T300" s="94"/>
    </row>
    <row r="301" spans="2:20">
      <c r="B301" s="199"/>
      <c r="C301" s="94"/>
      <c r="D301" s="94"/>
      <c r="E301" s="94"/>
      <c r="F301" s="94"/>
      <c r="G301" s="94"/>
      <c r="H301" s="94"/>
      <c r="I301" s="94"/>
      <c r="J301" s="94"/>
      <c r="K301" s="94"/>
      <c r="L301" s="94"/>
      <c r="M301" s="94"/>
      <c r="N301" s="94"/>
      <c r="O301" s="94"/>
      <c r="P301" s="94"/>
      <c r="Q301" s="94"/>
      <c r="R301" s="94"/>
      <c r="S301" s="94"/>
      <c r="T301" s="94"/>
    </row>
    <row r="303" spans="2:20">
      <c r="B303" s="199" t="s">
        <v>523</v>
      </c>
      <c r="C303" s="94"/>
      <c r="D303" s="94"/>
      <c r="E303" s="94"/>
      <c r="F303" s="94"/>
      <c r="G303" s="94"/>
      <c r="H303" s="94"/>
      <c r="I303" s="94"/>
      <c r="J303" s="94"/>
      <c r="K303" s="94"/>
      <c r="L303" s="94"/>
      <c r="M303" s="94"/>
      <c r="N303" s="94"/>
      <c r="O303" s="94"/>
      <c r="P303" s="94"/>
      <c r="Q303" s="94"/>
      <c r="R303" s="94"/>
      <c r="S303" s="94"/>
      <c r="T303" s="94"/>
    </row>
    <row r="304" spans="2:20">
      <c r="B304" s="199" t="s">
        <v>524</v>
      </c>
      <c r="C304" s="94"/>
      <c r="D304" s="94"/>
      <c r="E304" s="94"/>
      <c r="F304" s="94"/>
      <c r="G304" s="94"/>
      <c r="H304" s="94"/>
      <c r="I304" s="95"/>
      <c r="J304" s="96"/>
      <c r="K304" s="96"/>
      <c r="L304" s="96"/>
      <c r="M304" s="96"/>
      <c r="N304" s="96"/>
      <c r="O304" s="94"/>
      <c r="P304" s="94"/>
      <c r="Q304" s="94"/>
      <c r="R304" s="95"/>
      <c r="S304" s="202"/>
      <c r="T304" s="202"/>
    </row>
    <row r="305" spans="2:25">
      <c r="B305" s="199" t="s">
        <v>525</v>
      </c>
      <c r="C305" s="94"/>
      <c r="D305" s="94"/>
      <c r="E305" s="94"/>
      <c r="F305" s="94"/>
      <c r="G305" s="94"/>
      <c r="H305" s="94"/>
      <c r="I305" s="95"/>
      <c r="J305" s="101"/>
      <c r="K305" s="101"/>
      <c r="L305" s="101"/>
      <c r="M305" s="101"/>
      <c r="N305" s="101"/>
      <c r="O305" s="94"/>
      <c r="P305" s="94"/>
      <c r="Q305" s="94"/>
      <c r="R305" s="95"/>
      <c r="S305" s="192"/>
      <c r="T305" s="192"/>
      <c r="U305" s="94"/>
      <c r="V305" s="94"/>
      <c r="W305" s="94"/>
      <c r="X305" s="94"/>
      <c r="Y305" s="94"/>
    </row>
    <row r="306" spans="2:25">
      <c r="B306" s="199" t="s">
        <v>526</v>
      </c>
      <c r="C306" s="94"/>
      <c r="D306" s="94"/>
      <c r="E306" s="94"/>
      <c r="F306" s="94"/>
      <c r="G306" s="94"/>
      <c r="H306" s="94"/>
      <c r="I306" s="95"/>
      <c r="J306" s="101"/>
      <c r="K306" s="101"/>
      <c r="L306" s="101"/>
      <c r="M306" s="101"/>
      <c r="N306" s="101"/>
      <c r="O306" s="94"/>
      <c r="P306" s="94"/>
      <c r="Q306" s="94"/>
      <c r="R306" s="95"/>
      <c r="S306" s="192"/>
      <c r="T306" s="192"/>
      <c r="U306" s="94"/>
      <c r="V306" s="94"/>
      <c r="W306" s="94"/>
      <c r="X306" s="94"/>
      <c r="Y306" s="94"/>
    </row>
    <row r="307" spans="2:25">
      <c r="B307" s="199" t="s">
        <v>527</v>
      </c>
      <c r="C307" s="94"/>
      <c r="D307" s="94"/>
      <c r="E307" s="94"/>
      <c r="F307" s="94"/>
      <c r="G307" s="94"/>
      <c r="H307" s="94"/>
      <c r="I307" s="95"/>
      <c r="J307" s="101"/>
      <c r="K307" s="101"/>
      <c r="L307" s="101"/>
      <c r="M307" s="101"/>
      <c r="N307" s="101"/>
      <c r="O307" s="94"/>
      <c r="P307" s="94"/>
      <c r="Q307" s="94"/>
      <c r="R307" s="95"/>
      <c r="S307" s="192"/>
      <c r="T307" s="192"/>
      <c r="U307" s="94"/>
      <c r="V307" s="94"/>
      <c r="W307" s="94"/>
      <c r="X307" s="94"/>
      <c r="Y307" s="94"/>
    </row>
    <row r="308" spans="2:25">
      <c r="B308" s="199" t="s">
        <v>528</v>
      </c>
      <c r="C308" s="94"/>
      <c r="D308" s="94"/>
      <c r="E308" s="94"/>
      <c r="F308" s="94"/>
      <c r="G308" s="94"/>
      <c r="H308" s="94"/>
      <c r="I308" s="95"/>
      <c r="J308" s="101"/>
      <c r="K308" s="101"/>
      <c r="L308" s="101"/>
      <c r="M308" s="101"/>
      <c r="N308" s="101"/>
      <c r="O308" s="94"/>
      <c r="P308" s="94"/>
      <c r="Q308" s="94"/>
      <c r="R308" s="95"/>
      <c r="S308" s="192"/>
      <c r="T308" s="192"/>
      <c r="U308" s="94"/>
      <c r="V308" s="94"/>
      <c r="W308" s="94"/>
      <c r="X308" s="94"/>
      <c r="Y308" s="94"/>
    </row>
    <row r="309" spans="2:25">
      <c r="B309" s="199" t="s">
        <v>529</v>
      </c>
      <c r="C309" s="94"/>
      <c r="D309" s="94"/>
      <c r="E309" s="94"/>
      <c r="F309" s="94"/>
      <c r="G309" s="94"/>
      <c r="H309" s="94"/>
      <c r="I309" s="95"/>
      <c r="J309" s="101"/>
      <c r="K309" s="101"/>
      <c r="L309" s="101"/>
      <c r="M309" s="101"/>
      <c r="N309" s="101"/>
      <c r="O309" s="94"/>
      <c r="P309" s="94"/>
      <c r="Q309" s="94"/>
      <c r="R309" s="95"/>
      <c r="S309" s="192"/>
      <c r="T309" s="192"/>
      <c r="U309" s="94"/>
      <c r="V309" s="94"/>
      <c r="W309" s="94"/>
      <c r="X309" s="94"/>
      <c r="Y309" s="94"/>
    </row>
    <row r="310" spans="2:25">
      <c r="B310" s="94"/>
      <c r="C310" s="94"/>
      <c r="D310" s="94"/>
      <c r="E310" s="94"/>
      <c r="F310" s="94"/>
      <c r="G310" s="94"/>
      <c r="H310" s="94"/>
      <c r="I310" s="94"/>
      <c r="J310" s="94"/>
      <c r="K310" s="94"/>
      <c r="L310" s="94"/>
      <c r="M310" s="94"/>
      <c r="N310" s="94"/>
      <c r="O310" s="94"/>
      <c r="P310" s="121"/>
      <c r="Q310" s="94"/>
      <c r="R310" s="94"/>
      <c r="S310" s="94"/>
      <c r="T310" s="94"/>
      <c r="U310" s="94"/>
      <c r="V310" s="94"/>
      <c r="W310" s="94"/>
      <c r="X310" s="94"/>
      <c r="Y310" s="94"/>
    </row>
    <row r="311" spans="2:25">
      <c r="B311" s="94"/>
      <c r="C311" s="94"/>
      <c r="D311" s="94"/>
      <c r="E311" s="94"/>
      <c r="F311" s="94"/>
      <c r="G311" s="94"/>
      <c r="H311" s="94"/>
      <c r="I311" s="94"/>
      <c r="J311" s="94"/>
      <c r="K311" s="94"/>
      <c r="L311" s="94"/>
      <c r="M311" s="94"/>
      <c r="N311" s="94"/>
      <c r="O311" s="94"/>
      <c r="P311" s="121"/>
      <c r="Q311" s="94"/>
      <c r="R311" s="94"/>
      <c r="S311" s="94"/>
      <c r="T311" s="94"/>
      <c r="U311" s="94"/>
      <c r="V311" s="94"/>
      <c r="W311" s="94"/>
      <c r="X311" s="94"/>
      <c r="Y311" s="94"/>
    </row>
    <row r="312" spans="2:25">
      <c r="B312" s="94"/>
      <c r="C312" s="94"/>
      <c r="D312" s="94"/>
      <c r="E312" s="94"/>
      <c r="F312" s="94"/>
      <c r="G312" s="94"/>
      <c r="H312" s="94"/>
      <c r="I312" s="94"/>
      <c r="J312" s="94"/>
      <c r="K312" s="94"/>
      <c r="L312" s="94"/>
      <c r="M312" s="94"/>
      <c r="N312" s="94"/>
      <c r="O312" s="94"/>
      <c r="P312" s="121"/>
      <c r="Q312" s="94"/>
      <c r="R312" s="94"/>
      <c r="S312" s="94"/>
      <c r="T312" s="94"/>
      <c r="U312" s="94"/>
      <c r="V312" s="94"/>
      <c r="W312" s="94"/>
      <c r="X312" s="94"/>
      <c r="Y312" s="94"/>
    </row>
    <row r="313" spans="2:25">
      <c r="B313" s="94"/>
      <c r="C313" s="94"/>
      <c r="D313" s="94"/>
      <c r="E313" s="94"/>
      <c r="F313" s="94"/>
      <c r="G313" s="94"/>
      <c r="H313" s="94"/>
      <c r="I313" s="94"/>
      <c r="J313" s="94"/>
      <c r="K313" s="94"/>
      <c r="L313" s="94"/>
      <c r="M313" s="94"/>
      <c r="N313" s="94"/>
      <c r="O313" s="106"/>
      <c r="P313" s="107"/>
      <c r="Q313" s="94"/>
      <c r="R313" s="94"/>
      <c r="S313" s="94"/>
      <c r="T313" s="94"/>
      <c r="U313" s="94"/>
      <c r="V313" s="94"/>
      <c r="W313" s="94"/>
      <c r="X313" s="94"/>
      <c r="Y313" s="94"/>
    </row>
    <row r="314" spans="2:25">
      <c r="B314" s="203" t="s">
        <v>530</v>
      </c>
      <c r="C314" s="94"/>
      <c r="D314" s="94"/>
      <c r="E314" s="94"/>
      <c r="F314" s="94"/>
      <c r="G314" s="94"/>
      <c r="H314" s="94"/>
      <c r="I314" s="94"/>
      <c r="J314" s="94"/>
      <c r="K314" s="94"/>
      <c r="L314" s="94"/>
      <c r="M314" s="94"/>
      <c r="N314" s="94"/>
      <c r="O314" s="94"/>
      <c r="P314" s="94"/>
      <c r="Q314" s="94"/>
      <c r="R314" s="94"/>
      <c r="S314" s="94"/>
      <c r="T314" s="94"/>
      <c r="U314" s="94"/>
      <c r="V314" s="94"/>
      <c r="W314" s="94"/>
      <c r="X314" s="94"/>
      <c r="Y314" s="94"/>
    </row>
    <row r="315" spans="2:25">
      <c r="B315" s="106" t="s">
        <v>531</v>
      </c>
      <c r="C315" s="94"/>
      <c r="D315" s="94"/>
      <c r="E315" s="94"/>
      <c r="F315" s="94"/>
      <c r="G315" s="94"/>
      <c r="H315" s="94"/>
      <c r="I315" s="95"/>
      <c r="J315" s="96"/>
      <c r="K315" s="96"/>
      <c r="L315" s="96"/>
      <c r="M315" s="96"/>
      <c r="N315" s="96"/>
      <c r="O315" s="96"/>
      <c r="P315" s="94"/>
      <c r="Q315" s="101"/>
      <c r="R315" s="94"/>
      <c r="S315" s="94"/>
      <c r="T315" s="96"/>
      <c r="U315" s="96"/>
      <c r="V315" s="96"/>
      <c r="W315" s="96"/>
      <c r="X315" s="202"/>
      <c r="Y315" s="202"/>
    </row>
    <row r="316" spans="2:25">
      <c r="B316" s="95">
        <v>3</v>
      </c>
      <c r="C316" s="95">
        <v>1100</v>
      </c>
      <c r="D316" s="94" t="s">
        <v>532</v>
      </c>
      <c r="E316" s="94"/>
      <c r="F316" s="94"/>
      <c r="G316" s="94"/>
      <c r="H316" s="94"/>
      <c r="I316" s="95"/>
      <c r="J316" s="101"/>
      <c r="K316" s="101"/>
      <c r="L316" s="101"/>
      <c r="M316" s="101"/>
      <c r="N316" s="101"/>
      <c r="O316" s="101"/>
      <c r="P316" s="94"/>
      <c r="Q316" s="192"/>
      <c r="R316" s="94"/>
      <c r="S316" s="94"/>
      <c r="T316" s="95"/>
      <c r="U316" s="101"/>
      <c r="V316" s="192"/>
      <c r="W316" s="192"/>
      <c r="X316" s="192"/>
      <c r="Y316" s="192"/>
    </row>
    <row r="317" spans="2:25">
      <c r="B317" s="95">
        <v>5</v>
      </c>
      <c r="C317" s="95">
        <v>1300</v>
      </c>
      <c r="D317" s="94" t="s">
        <v>532</v>
      </c>
      <c r="E317" s="94"/>
      <c r="F317" s="94"/>
      <c r="G317" s="94"/>
      <c r="H317" s="94"/>
      <c r="I317" s="95"/>
      <c r="J317" s="101"/>
      <c r="K317" s="101"/>
      <c r="L317" s="101"/>
      <c r="M317" s="101"/>
      <c r="N317" s="101"/>
      <c r="O317" s="101"/>
      <c r="P317" s="94"/>
      <c r="Q317" s="192"/>
      <c r="R317" s="94"/>
      <c r="S317" s="94"/>
      <c r="T317" s="95"/>
      <c r="U317" s="101"/>
      <c r="V317" s="192"/>
      <c r="W317" s="192"/>
      <c r="X317" s="192"/>
      <c r="Y317" s="192"/>
    </row>
    <row r="318" spans="2:25">
      <c r="B318" s="94"/>
      <c r="C318" s="94"/>
      <c r="D318" s="94"/>
      <c r="E318" s="94"/>
      <c r="F318" s="94"/>
      <c r="G318" s="94"/>
      <c r="H318" s="94"/>
      <c r="I318" s="95"/>
      <c r="J318" s="101"/>
      <c r="K318" s="101"/>
      <c r="L318" s="101"/>
      <c r="M318" s="101"/>
      <c r="N318" s="101"/>
      <c r="O318" s="101"/>
      <c r="P318" s="94"/>
      <c r="Q318" s="192"/>
      <c r="R318" s="94"/>
      <c r="S318" s="94"/>
      <c r="T318" s="95"/>
      <c r="U318" s="101"/>
      <c r="V318" s="192"/>
      <c r="W318" s="192"/>
      <c r="X318" s="192"/>
      <c r="Y318" s="192"/>
    </row>
    <row r="319" spans="2:25">
      <c r="B319" s="94"/>
      <c r="C319" s="94"/>
      <c r="D319" s="94"/>
      <c r="E319" s="94"/>
      <c r="F319" s="94"/>
      <c r="G319" s="94"/>
      <c r="H319" s="94"/>
      <c r="I319" s="95"/>
      <c r="J319" s="101"/>
      <c r="K319" s="101"/>
      <c r="L319" s="101"/>
      <c r="M319" s="101"/>
      <c r="N319" s="101"/>
      <c r="O319" s="101"/>
      <c r="P319" s="94"/>
      <c r="Q319" s="192"/>
      <c r="R319" s="94"/>
      <c r="S319" s="94"/>
      <c r="T319" s="95"/>
      <c r="U319" s="101"/>
      <c r="V319" s="192"/>
      <c r="W319" s="192"/>
      <c r="X319" s="192"/>
      <c r="Y319" s="192"/>
    </row>
    <row r="320" spans="2:25">
      <c r="B320" s="94"/>
      <c r="C320" s="94"/>
      <c r="D320" s="94"/>
      <c r="E320" s="94"/>
      <c r="F320" s="94"/>
      <c r="G320" s="94"/>
      <c r="H320" s="94"/>
      <c r="I320" s="95"/>
      <c r="J320" s="101"/>
      <c r="K320" s="101"/>
      <c r="L320" s="101"/>
      <c r="M320" s="101"/>
      <c r="N320" s="101"/>
      <c r="O320" s="101"/>
      <c r="P320" s="94"/>
      <c r="Q320" s="192"/>
      <c r="R320" s="94"/>
      <c r="S320" s="94"/>
      <c r="T320" s="95"/>
      <c r="U320" s="101"/>
      <c r="V320" s="192"/>
      <c r="W320" s="192"/>
      <c r="X320" s="192"/>
      <c r="Y320" s="192"/>
    </row>
    <row r="321" spans="2:25">
      <c r="B321" s="204" t="s">
        <v>533</v>
      </c>
      <c r="C321" s="94"/>
      <c r="D321" s="94"/>
      <c r="E321" s="94"/>
      <c r="F321" s="94"/>
      <c r="G321" s="94"/>
      <c r="H321" s="94"/>
      <c r="I321" s="95"/>
      <c r="J321" s="101"/>
      <c r="K321" s="101"/>
      <c r="L321" s="101"/>
      <c r="M321" s="101"/>
      <c r="N321" s="101"/>
      <c r="O321" s="101"/>
      <c r="P321" s="94"/>
      <c r="Q321" s="192"/>
      <c r="R321" s="94"/>
      <c r="S321" s="94"/>
      <c r="T321" s="95"/>
      <c r="U321" s="101"/>
      <c r="V321" s="192"/>
      <c r="W321" s="192"/>
      <c r="X321" s="192"/>
      <c r="Y321" s="192"/>
    </row>
    <row r="322" spans="2:25" ht="18">
      <c r="B322" s="205" t="s">
        <v>534</v>
      </c>
      <c r="C322" s="94"/>
      <c r="D322" s="94"/>
      <c r="E322" s="94"/>
      <c r="F322" s="94"/>
      <c r="G322" s="94"/>
      <c r="H322" s="94"/>
      <c r="I322" s="95"/>
      <c r="J322" s="101"/>
      <c r="K322" s="192"/>
      <c r="L322" s="101"/>
      <c r="M322" s="101"/>
      <c r="N322" s="101"/>
      <c r="O322" s="101"/>
      <c r="P322" s="94"/>
      <c r="Q322" s="192"/>
      <c r="R322" s="94"/>
      <c r="S322" s="94"/>
      <c r="T322" s="95"/>
      <c r="U322" s="101"/>
      <c r="V322" s="192"/>
      <c r="W322" s="192"/>
      <c r="X322" s="192"/>
      <c r="Y322" s="192"/>
    </row>
    <row r="323" spans="2:25">
      <c r="B323" s="206" t="s">
        <v>535</v>
      </c>
      <c r="C323" s="94"/>
      <c r="D323" s="94"/>
      <c r="E323" s="94"/>
      <c r="F323" s="94"/>
      <c r="G323" s="94"/>
      <c r="H323" s="94"/>
      <c r="I323" s="94"/>
      <c r="J323" s="94"/>
      <c r="K323" s="94"/>
      <c r="L323" s="94"/>
      <c r="M323" s="94"/>
      <c r="N323" s="94"/>
      <c r="O323" s="94"/>
      <c r="P323" s="94"/>
      <c r="Q323" s="94"/>
      <c r="R323" s="94"/>
      <c r="S323" s="94"/>
      <c r="T323" s="94"/>
      <c r="U323" s="121"/>
      <c r="V323" s="94"/>
      <c r="W323" s="94"/>
      <c r="X323" s="94"/>
      <c r="Y323" s="94"/>
    </row>
    <row r="324" spans="2:25">
      <c r="B324" s="206" t="s">
        <v>536</v>
      </c>
      <c r="C324" s="94"/>
      <c r="D324" s="94"/>
      <c r="E324" s="94"/>
      <c r="F324" s="94"/>
      <c r="G324" s="94"/>
      <c r="H324" s="94"/>
      <c r="I324" s="94"/>
      <c r="J324" s="94"/>
      <c r="K324" s="94"/>
      <c r="L324" s="94"/>
      <c r="M324" s="94"/>
      <c r="N324" s="106"/>
      <c r="O324" s="107"/>
      <c r="P324" s="107"/>
      <c r="Q324" s="94"/>
      <c r="R324" s="94"/>
      <c r="S324" s="94"/>
      <c r="T324" s="94"/>
      <c r="U324" s="122"/>
      <c r="V324" s="94"/>
      <c r="W324" s="94"/>
      <c r="X324" s="94"/>
      <c r="Y324" s="94"/>
    </row>
    <row r="325" spans="2:25">
      <c r="B325" s="206" t="s">
        <v>537</v>
      </c>
      <c r="C325" s="94"/>
      <c r="D325" s="94"/>
      <c r="E325" s="94"/>
      <c r="F325" s="94"/>
      <c r="G325" s="94"/>
      <c r="H325" s="94"/>
      <c r="I325" s="94"/>
      <c r="J325" s="94"/>
      <c r="K325" s="94"/>
      <c r="L325" s="94"/>
      <c r="M325" s="94"/>
      <c r="N325" s="94"/>
      <c r="O325" s="94"/>
      <c r="P325" s="94"/>
      <c r="Q325" s="94"/>
      <c r="R325" s="94"/>
      <c r="S325" s="94"/>
      <c r="T325" s="94"/>
      <c r="U325" s="94"/>
      <c r="V325" s="94"/>
      <c r="W325" s="94"/>
      <c r="X325" s="94"/>
      <c r="Y325" s="94"/>
    </row>
    <row r="326" spans="2:25">
      <c r="B326" s="206" t="s">
        <v>538</v>
      </c>
      <c r="C326" s="94"/>
      <c r="D326" s="94"/>
      <c r="E326" s="94"/>
      <c r="F326" s="94"/>
      <c r="G326" s="94"/>
      <c r="H326" s="94"/>
      <c r="I326" s="94"/>
      <c r="J326" s="94"/>
      <c r="K326" s="94"/>
      <c r="L326" s="94"/>
      <c r="M326" s="94"/>
      <c r="N326" s="94"/>
      <c r="O326" s="94"/>
      <c r="P326" s="94"/>
      <c r="Q326" s="94"/>
      <c r="R326" s="94"/>
      <c r="S326" s="94"/>
      <c r="T326" s="94"/>
      <c r="U326" s="94"/>
      <c r="V326" s="94"/>
      <c r="W326" s="94"/>
      <c r="X326" s="94"/>
      <c r="Y326" s="94"/>
    </row>
    <row r="327" spans="2:25" ht="15">
      <c r="B327" s="206" t="s">
        <v>539</v>
      </c>
      <c r="C327" s="123"/>
      <c r="D327" s="123"/>
      <c r="E327" s="123"/>
      <c r="F327" s="123"/>
      <c r="G327" s="123"/>
      <c r="H327" s="94"/>
      <c r="I327" s="123"/>
      <c r="J327" s="123"/>
      <c r="K327" s="123"/>
      <c r="L327" s="123"/>
      <c r="M327" s="94"/>
      <c r="N327" s="94"/>
      <c r="O327" s="94"/>
      <c r="P327" s="94"/>
      <c r="Q327" s="94"/>
      <c r="R327" s="94"/>
      <c r="S327" s="94"/>
      <c r="T327" s="94"/>
      <c r="U327" s="94"/>
      <c r="V327" s="94"/>
      <c r="W327" s="94"/>
      <c r="X327" s="94"/>
      <c r="Y327" s="94"/>
    </row>
    <row r="328" spans="2:25" ht="15">
      <c r="B328" s="206"/>
      <c r="C328" s="123"/>
      <c r="D328" s="123"/>
      <c r="E328" s="123"/>
      <c r="F328" s="123"/>
      <c r="G328" s="123"/>
      <c r="H328" s="94"/>
      <c r="I328" s="123"/>
      <c r="J328" s="123"/>
      <c r="K328" s="123"/>
      <c r="L328" s="123"/>
      <c r="M328" s="94"/>
      <c r="N328" s="94"/>
      <c r="O328" s="94"/>
      <c r="P328" s="94">
        <v>13000</v>
      </c>
      <c r="Q328" s="94"/>
      <c r="R328" s="94"/>
      <c r="S328" s="94"/>
      <c r="T328" s="94"/>
      <c r="U328" s="94"/>
      <c r="V328" s="94"/>
      <c r="W328" s="94"/>
      <c r="X328" s="94"/>
      <c r="Y328" s="94"/>
    </row>
    <row r="329" spans="2:25" ht="21">
      <c r="B329" s="207" t="s">
        <v>540</v>
      </c>
      <c r="C329" s="208"/>
      <c r="D329" s="123"/>
      <c r="E329" s="123"/>
      <c r="F329" s="123"/>
      <c r="G329" s="123"/>
      <c r="H329" s="94"/>
      <c r="I329" s="123"/>
      <c r="J329" s="123"/>
      <c r="K329" s="123"/>
      <c r="L329" s="123"/>
      <c r="M329" s="94"/>
      <c r="N329" s="94"/>
      <c r="O329" s="94"/>
      <c r="P329" s="94">
        <v>17600</v>
      </c>
      <c r="Q329" s="94"/>
      <c r="R329" s="94"/>
      <c r="S329" s="94"/>
      <c r="T329" s="94"/>
      <c r="U329" s="94"/>
      <c r="V329" s="94"/>
      <c r="W329" s="94"/>
      <c r="X329" s="94"/>
      <c r="Y329" s="94"/>
    </row>
    <row r="330" spans="2:25" ht="195">
      <c r="B330" s="209" t="s">
        <v>541</v>
      </c>
      <c r="C330" s="210" t="s">
        <v>542</v>
      </c>
      <c r="D330" s="211" t="s">
        <v>543</v>
      </c>
      <c r="E330" s="211" t="s">
        <v>544</v>
      </c>
      <c r="F330" s="211" t="s">
        <v>545</v>
      </c>
      <c r="G330" s="211" t="s">
        <v>546</v>
      </c>
      <c r="H330" s="94"/>
      <c r="I330" s="211" t="s">
        <v>547</v>
      </c>
      <c r="J330" s="211" t="s">
        <v>548</v>
      </c>
      <c r="K330" s="211" t="s">
        <v>549</v>
      </c>
      <c r="L330" s="212" t="s">
        <v>550</v>
      </c>
      <c r="M330" s="94"/>
      <c r="N330" s="94"/>
      <c r="O330" s="94"/>
      <c r="P330" s="94"/>
      <c r="Q330" s="94"/>
      <c r="R330" s="94"/>
      <c r="S330" s="94"/>
      <c r="T330" s="94"/>
      <c r="U330" s="94"/>
      <c r="V330" s="94"/>
      <c r="W330" s="94"/>
      <c r="X330" s="94"/>
      <c r="Y330" s="94"/>
    </row>
    <row r="331" spans="2:25" ht="180">
      <c r="B331" s="213" t="s">
        <v>551</v>
      </c>
      <c r="C331" s="214" t="s">
        <v>552</v>
      </c>
      <c r="D331" s="214" t="s">
        <v>553</v>
      </c>
      <c r="E331" s="214" t="s">
        <v>554</v>
      </c>
      <c r="F331" s="214" t="s">
        <v>555</v>
      </c>
      <c r="G331" s="214" t="s">
        <v>556</v>
      </c>
      <c r="H331" s="94"/>
      <c r="I331" s="215">
        <v>33000</v>
      </c>
      <c r="J331" s="214" t="s">
        <v>453</v>
      </c>
      <c r="K331" s="214" t="s">
        <v>556</v>
      </c>
      <c r="L331" s="214" t="s">
        <v>557</v>
      </c>
      <c r="M331" s="94"/>
      <c r="N331" s="94"/>
      <c r="O331" s="94"/>
      <c r="P331" s="94"/>
      <c r="Q331" s="94"/>
      <c r="R331" s="94"/>
      <c r="S331" s="94"/>
      <c r="T331" s="94"/>
      <c r="U331" s="94"/>
      <c r="V331" s="94"/>
      <c r="W331" s="94"/>
      <c r="X331" s="94"/>
      <c r="Y331" s="94"/>
    </row>
    <row r="332" spans="2:25" ht="150">
      <c r="B332" s="213" t="s">
        <v>558</v>
      </c>
      <c r="C332" s="214" t="s">
        <v>559</v>
      </c>
      <c r="D332" s="214" t="s">
        <v>560</v>
      </c>
      <c r="E332" s="214" t="s">
        <v>561</v>
      </c>
      <c r="F332" s="214" t="s">
        <v>562</v>
      </c>
      <c r="G332" s="214" t="s">
        <v>563</v>
      </c>
      <c r="H332" s="94"/>
      <c r="I332" s="214" t="s">
        <v>564</v>
      </c>
      <c r="J332" s="214" t="s">
        <v>453</v>
      </c>
      <c r="K332" s="214" t="s">
        <v>556</v>
      </c>
      <c r="L332" s="214" t="s">
        <v>565</v>
      </c>
      <c r="M332" s="94"/>
      <c r="N332" s="94"/>
      <c r="O332" s="94"/>
      <c r="P332" s="94"/>
      <c r="Q332" s="94"/>
      <c r="R332" s="94"/>
      <c r="S332" s="94"/>
      <c r="T332" s="94"/>
      <c r="U332" s="94"/>
      <c r="V332" s="94"/>
      <c r="W332" s="94"/>
      <c r="X332" s="94"/>
      <c r="Y332" s="94"/>
    </row>
    <row r="333" spans="2:25" ht="409.5">
      <c r="B333" s="213" t="s">
        <v>566</v>
      </c>
      <c r="C333" s="214" t="s">
        <v>567</v>
      </c>
      <c r="D333" s="214" t="s">
        <v>568</v>
      </c>
      <c r="E333" s="214" t="s">
        <v>561</v>
      </c>
      <c r="F333" s="214" t="s">
        <v>569</v>
      </c>
      <c r="G333" s="214" t="s">
        <v>570</v>
      </c>
      <c r="H333" s="94"/>
      <c r="I333" s="215">
        <v>27000</v>
      </c>
      <c r="J333" s="214" t="s">
        <v>453</v>
      </c>
      <c r="K333" s="214" t="s">
        <v>571</v>
      </c>
      <c r="L333" s="214" t="s">
        <v>572</v>
      </c>
      <c r="M333" s="94"/>
      <c r="N333" s="206" t="s">
        <v>573</v>
      </c>
      <c r="O333" s="94"/>
      <c r="P333" s="94"/>
      <c r="Q333" s="94"/>
      <c r="R333" s="94"/>
      <c r="S333" s="94"/>
      <c r="T333" s="94"/>
      <c r="U333" s="94"/>
      <c r="V333" s="94"/>
      <c r="W333" s="94"/>
      <c r="X333" s="94"/>
      <c r="Y333" s="94"/>
    </row>
    <row r="334" spans="2:25" ht="210">
      <c r="B334" s="213" t="s">
        <v>574</v>
      </c>
      <c r="C334" s="214" t="s">
        <v>575</v>
      </c>
      <c r="D334" s="214" t="s">
        <v>576</v>
      </c>
      <c r="E334" s="214" t="s">
        <v>577</v>
      </c>
      <c r="F334" s="214" t="s">
        <v>578</v>
      </c>
      <c r="G334" s="214" t="s">
        <v>579</v>
      </c>
      <c r="H334" s="94"/>
      <c r="I334" s="214" t="s">
        <v>580</v>
      </c>
      <c r="J334" s="214" t="s">
        <v>556</v>
      </c>
      <c r="K334" s="214" t="s">
        <v>556</v>
      </c>
      <c r="L334" s="214" t="s">
        <v>581</v>
      </c>
      <c r="M334" s="94"/>
      <c r="N334" s="135" t="s">
        <v>582</v>
      </c>
      <c r="O334" s="94"/>
      <c r="P334" s="94"/>
      <c r="Q334" s="94"/>
      <c r="R334" s="94"/>
      <c r="S334" s="94"/>
      <c r="T334" s="94"/>
      <c r="U334" s="94"/>
      <c r="V334" s="94"/>
      <c r="W334" s="94"/>
      <c r="X334" s="94"/>
      <c r="Y334" s="94"/>
    </row>
    <row r="335" spans="2:25" ht="90">
      <c r="B335" s="213" t="s">
        <v>583</v>
      </c>
      <c r="C335" s="214" t="s">
        <v>584</v>
      </c>
      <c r="D335" s="214" t="s">
        <v>585</v>
      </c>
      <c r="E335" s="214" t="s">
        <v>586</v>
      </c>
      <c r="F335" s="214" t="s">
        <v>453</v>
      </c>
      <c r="G335" s="214" t="s">
        <v>563</v>
      </c>
      <c r="H335" s="94"/>
      <c r="I335" s="214" t="s">
        <v>587</v>
      </c>
      <c r="J335" s="214" t="s">
        <v>587</v>
      </c>
      <c r="K335" s="214" t="s">
        <v>587</v>
      </c>
      <c r="L335" s="214" t="s">
        <v>556</v>
      </c>
      <c r="M335" s="94"/>
      <c r="N335" s="94"/>
      <c r="O335" s="94"/>
      <c r="P335" s="94"/>
      <c r="Q335" s="94"/>
      <c r="R335" s="94"/>
      <c r="S335" s="94"/>
      <c r="T335" s="94"/>
      <c r="U335" s="94"/>
      <c r="V335" s="94"/>
      <c r="W335" s="94"/>
      <c r="X335" s="94"/>
      <c r="Y335" s="94"/>
    </row>
    <row r="336" spans="2:25" ht="270">
      <c r="B336" s="213" t="s">
        <v>588</v>
      </c>
      <c r="C336" s="214" t="s">
        <v>589</v>
      </c>
      <c r="D336" s="214" t="s">
        <v>590</v>
      </c>
      <c r="E336" s="214" t="s">
        <v>591</v>
      </c>
      <c r="F336" s="214" t="s">
        <v>592</v>
      </c>
      <c r="G336" s="214" t="s">
        <v>563</v>
      </c>
      <c r="H336" s="94"/>
      <c r="I336" s="214" t="s">
        <v>593</v>
      </c>
      <c r="J336" s="214" t="s">
        <v>594</v>
      </c>
      <c r="K336" s="214" t="s">
        <v>595</v>
      </c>
      <c r="L336" s="214" t="s">
        <v>596</v>
      </c>
      <c r="M336" s="94"/>
      <c r="N336" s="216" t="s">
        <v>597</v>
      </c>
      <c r="O336" s="94"/>
      <c r="P336" s="94"/>
      <c r="Q336" s="94"/>
      <c r="R336" s="94"/>
      <c r="S336" s="94"/>
      <c r="T336" s="94"/>
      <c r="U336" s="94"/>
      <c r="V336" s="94"/>
      <c r="W336" s="94"/>
      <c r="X336" s="94"/>
      <c r="Y336" s="94"/>
    </row>
    <row r="337" spans="2:12" ht="409.5">
      <c r="B337" s="213" t="s">
        <v>598</v>
      </c>
      <c r="C337" s="214" t="s">
        <v>599</v>
      </c>
      <c r="D337" s="214" t="s">
        <v>401</v>
      </c>
      <c r="E337" s="214" t="s">
        <v>577</v>
      </c>
      <c r="F337" s="214" t="s">
        <v>453</v>
      </c>
      <c r="G337" s="214"/>
      <c r="H337" s="214" t="s">
        <v>600</v>
      </c>
      <c r="I337" s="214" t="s">
        <v>601</v>
      </c>
      <c r="J337" s="214" t="s">
        <v>556</v>
      </c>
      <c r="K337" s="214" t="s">
        <v>556</v>
      </c>
      <c r="L337" s="214" t="s">
        <v>602</v>
      </c>
    </row>
    <row r="338" spans="2:12" ht="165">
      <c r="B338" s="213" t="s">
        <v>603</v>
      </c>
      <c r="C338" s="214" t="s">
        <v>604</v>
      </c>
      <c r="D338" s="214" t="s">
        <v>605</v>
      </c>
      <c r="E338" s="214" t="s">
        <v>577</v>
      </c>
      <c r="F338" s="214" t="s">
        <v>453</v>
      </c>
      <c r="G338" s="214" t="s">
        <v>563</v>
      </c>
      <c r="H338" s="214"/>
      <c r="I338" s="214" t="s">
        <v>606</v>
      </c>
      <c r="J338" s="214" t="s">
        <v>607</v>
      </c>
      <c r="K338" s="214" t="s">
        <v>556</v>
      </c>
      <c r="L338" s="214" t="s">
        <v>608</v>
      </c>
    </row>
    <row r="339" spans="2:12" ht="150">
      <c r="B339" s="213" t="s">
        <v>609</v>
      </c>
      <c r="C339" s="214" t="s">
        <v>610</v>
      </c>
      <c r="D339" s="214" t="s">
        <v>611</v>
      </c>
      <c r="E339" s="214" t="s">
        <v>612</v>
      </c>
      <c r="F339" s="214" t="s">
        <v>613</v>
      </c>
      <c r="G339" s="214" t="s">
        <v>563</v>
      </c>
      <c r="H339" s="214"/>
      <c r="I339" s="214" t="s">
        <v>593</v>
      </c>
      <c r="J339" s="214" t="s">
        <v>614</v>
      </c>
      <c r="K339" s="214" t="s">
        <v>556</v>
      </c>
      <c r="L339" s="214" t="s">
        <v>615</v>
      </c>
    </row>
    <row r="340" spans="2:12" ht="225">
      <c r="B340" s="213" t="s">
        <v>616</v>
      </c>
      <c r="C340" s="214" t="s">
        <v>617</v>
      </c>
      <c r="D340" s="214" t="s">
        <v>618</v>
      </c>
      <c r="E340" s="214" t="s">
        <v>619</v>
      </c>
      <c r="F340" s="214" t="s">
        <v>453</v>
      </c>
      <c r="G340" s="214"/>
      <c r="H340" s="214"/>
      <c r="I340" s="214" t="s">
        <v>620</v>
      </c>
      <c r="J340" s="214" t="s">
        <v>621</v>
      </c>
      <c r="K340" s="214" t="s">
        <v>556</v>
      </c>
      <c r="L340" s="214" t="s">
        <v>453</v>
      </c>
    </row>
    <row r="341" spans="2:12" ht="195">
      <c r="B341" s="213" t="s">
        <v>622</v>
      </c>
      <c r="C341" s="214" t="s">
        <v>623</v>
      </c>
      <c r="D341" s="214" t="s">
        <v>453</v>
      </c>
      <c r="E341" s="214" t="s">
        <v>561</v>
      </c>
      <c r="F341" s="214" t="s">
        <v>624</v>
      </c>
      <c r="G341" s="214" t="s">
        <v>625</v>
      </c>
      <c r="H341" s="214"/>
      <c r="I341" s="214" t="s">
        <v>626</v>
      </c>
      <c r="J341" s="214" t="s">
        <v>453</v>
      </c>
      <c r="K341" s="214" t="s">
        <v>556</v>
      </c>
      <c r="L341" s="214" t="s">
        <v>627</v>
      </c>
    </row>
    <row r="342" spans="2:12" ht="90">
      <c r="B342" s="213" t="s">
        <v>628</v>
      </c>
      <c r="C342" s="214" t="s">
        <v>629</v>
      </c>
      <c r="D342" s="214" t="s">
        <v>630</v>
      </c>
      <c r="E342" s="214" t="s">
        <v>561</v>
      </c>
      <c r="F342" s="214" t="s">
        <v>631</v>
      </c>
      <c r="G342" s="214" t="s">
        <v>632</v>
      </c>
      <c r="H342" s="214"/>
      <c r="I342" s="214" t="s">
        <v>633</v>
      </c>
      <c r="J342" s="214" t="s">
        <v>634</v>
      </c>
      <c r="K342" s="214" t="s">
        <v>595</v>
      </c>
      <c r="L342" s="214" t="s">
        <v>635</v>
      </c>
    </row>
    <row r="343" spans="2:12" ht="375">
      <c r="B343" s="213" t="s">
        <v>636</v>
      </c>
      <c r="C343" s="214" t="s">
        <v>637</v>
      </c>
      <c r="D343" s="214" t="s">
        <v>453</v>
      </c>
      <c r="E343" s="214" t="s">
        <v>561</v>
      </c>
      <c r="F343" s="214" t="s">
        <v>614</v>
      </c>
      <c r="G343" s="214" t="s">
        <v>632</v>
      </c>
      <c r="H343" s="214"/>
      <c r="I343" s="214" t="s">
        <v>638</v>
      </c>
      <c r="J343" s="214" t="s">
        <v>639</v>
      </c>
      <c r="K343" s="214" t="s">
        <v>640</v>
      </c>
      <c r="L343" s="214" t="s">
        <v>641</v>
      </c>
    </row>
    <row r="344" spans="2:12" ht="150">
      <c r="B344" s="213" t="s">
        <v>642</v>
      </c>
      <c r="C344" s="214" t="s">
        <v>643</v>
      </c>
      <c r="D344" s="214" t="s">
        <v>453</v>
      </c>
      <c r="E344" s="214" t="s">
        <v>644</v>
      </c>
      <c r="F344" s="214" t="s">
        <v>645</v>
      </c>
      <c r="G344" s="214" t="s">
        <v>646</v>
      </c>
      <c r="H344" s="214"/>
      <c r="I344" s="214" t="s">
        <v>647</v>
      </c>
      <c r="J344" s="214" t="s">
        <v>453</v>
      </c>
      <c r="K344" s="214" t="s">
        <v>648</v>
      </c>
      <c r="L344" s="214" t="s">
        <v>649</v>
      </c>
    </row>
    <row r="345" spans="2:12" ht="165">
      <c r="B345" s="213" t="s">
        <v>650</v>
      </c>
      <c r="C345" s="214" t="s">
        <v>651</v>
      </c>
      <c r="D345" s="214" t="s">
        <v>453</v>
      </c>
      <c r="E345" s="214" t="s">
        <v>644</v>
      </c>
      <c r="F345" s="214" t="s">
        <v>652</v>
      </c>
      <c r="G345" s="214"/>
      <c r="H345" s="214"/>
      <c r="I345" s="214" t="s">
        <v>653</v>
      </c>
      <c r="J345" s="214" t="s">
        <v>639</v>
      </c>
      <c r="K345" s="214" t="s">
        <v>556</v>
      </c>
      <c r="L345" s="214" t="s">
        <v>654</v>
      </c>
    </row>
    <row r="346" spans="2:12" ht="240">
      <c r="B346" s="213" t="s">
        <v>655</v>
      </c>
      <c r="C346" s="214" t="s">
        <v>656</v>
      </c>
      <c r="D346" s="214" t="s">
        <v>453</v>
      </c>
      <c r="E346" s="214" t="s">
        <v>657</v>
      </c>
      <c r="F346" s="214" t="s">
        <v>658</v>
      </c>
      <c r="G346" s="214" t="s">
        <v>563</v>
      </c>
      <c r="H346" s="214"/>
      <c r="I346" s="214" t="s">
        <v>659</v>
      </c>
      <c r="J346" s="214" t="s">
        <v>556</v>
      </c>
      <c r="K346" s="214" t="s">
        <v>556</v>
      </c>
      <c r="L346" s="214" t="s">
        <v>660</v>
      </c>
    </row>
    <row r="347" spans="2:12" ht="165">
      <c r="B347" s="213" t="s">
        <v>661</v>
      </c>
      <c r="C347" s="214" t="s">
        <v>662</v>
      </c>
      <c r="D347" s="214" t="s">
        <v>663</v>
      </c>
      <c r="E347" s="214" t="s">
        <v>644</v>
      </c>
      <c r="F347" s="214" t="s">
        <v>614</v>
      </c>
      <c r="G347" s="214" t="s">
        <v>632</v>
      </c>
      <c r="H347" s="214"/>
      <c r="I347" s="214" t="s">
        <v>664</v>
      </c>
      <c r="J347" s="214" t="s">
        <v>556</v>
      </c>
      <c r="K347" s="214" t="s">
        <v>556</v>
      </c>
      <c r="L347" s="214" t="s">
        <v>654</v>
      </c>
    </row>
    <row r="348" spans="2:12" ht="195">
      <c r="B348" s="213" t="s">
        <v>665</v>
      </c>
      <c r="C348" s="214" t="s">
        <v>666</v>
      </c>
      <c r="D348" s="214" t="s">
        <v>667</v>
      </c>
      <c r="E348" s="214" t="s">
        <v>668</v>
      </c>
      <c r="F348" s="214" t="s">
        <v>669</v>
      </c>
      <c r="G348" s="214" t="s">
        <v>563</v>
      </c>
      <c r="H348" s="214"/>
      <c r="I348" s="214" t="s">
        <v>626</v>
      </c>
      <c r="J348" s="214" t="s">
        <v>639</v>
      </c>
      <c r="K348" s="214" t="s">
        <v>670</v>
      </c>
      <c r="L348" s="214" t="s">
        <v>671</v>
      </c>
    </row>
    <row r="349" spans="2:12" ht="195">
      <c r="B349" s="213" t="s">
        <v>672</v>
      </c>
      <c r="C349" s="214" t="s">
        <v>673</v>
      </c>
      <c r="D349" s="214" t="s">
        <v>640</v>
      </c>
      <c r="E349" s="214" t="s">
        <v>644</v>
      </c>
      <c r="F349" s="214" t="s">
        <v>674</v>
      </c>
      <c r="G349" s="214" t="s">
        <v>632</v>
      </c>
      <c r="H349" s="214"/>
      <c r="I349" s="214" t="s">
        <v>675</v>
      </c>
      <c r="J349" s="214" t="s">
        <v>676</v>
      </c>
      <c r="K349" s="214" t="s">
        <v>401</v>
      </c>
      <c r="L349" s="214" t="s">
        <v>453</v>
      </c>
    </row>
    <row r="350" spans="2:12" ht="409.5">
      <c r="B350" s="213" t="s">
        <v>677</v>
      </c>
      <c r="C350" s="214" t="s">
        <v>678</v>
      </c>
      <c r="D350" s="214" t="s">
        <v>453</v>
      </c>
      <c r="E350" s="214" t="s">
        <v>561</v>
      </c>
      <c r="F350" s="214" t="s">
        <v>631</v>
      </c>
      <c r="G350" s="214" t="s">
        <v>632</v>
      </c>
      <c r="H350" s="214"/>
      <c r="I350" s="214" t="s">
        <v>593</v>
      </c>
      <c r="J350" s="214" t="s">
        <v>453</v>
      </c>
      <c r="K350" s="214" t="s">
        <v>401</v>
      </c>
      <c r="L350" s="214" t="s">
        <v>679</v>
      </c>
    </row>
    <row r="351" spans="2:12" ht="225">
      <c r="B351" s="213" t="s">
        <v>680</v>
      </c>
      <c r="C351" s="214" t="s">
        <v>681</v>
      </c>
      <c r="D351" s="214" t="s">
        <v>453</v>
      </c>
      <c r="E351" s="214" t="s">
        <v>644</v>
      </c>
      <c r="F351" s="214" t="s">
        <v>682</v>
      </c>
      <c r="G351" s="214" t="s">
        <v>563</v>
      </c>
      <c r="H351" s="214"/>
      <c r="I351" s="214" t="s">
        <v>683</v>
      </c>
      <c r="J351" s="214" t="s">
        <v>453</v>
      </c>
      <c r="K351" s="214" t="s">
        <v>684</v>
      </c>
      <c r="L351" s="214" t="s">
        <v>685</v>
      </c>
    </row>
    <row r="352" spans="2:12" ht="165">
      <c r="B352" s="213" t="s">
        <v>686</v>
      </c>
      <c r="C352" s="214" t="s">
        <v>687</v>
      </c>
      <c r="D352" s="214" t="s">
        <v>401</v>
      </c>
      <c r="E352" s="214" t="s">
        <v>644</v>
      </c>
      <c r="F352" s="214" t="s">
        <v>688</v>
      </c>
      <c r="G352" s="214" t="s">
        <v>563</v>
      </c>
      <c r="H352" s="214"/>
      <c r="I352" s="214" t="s">
        <v>683</v>
      </c>
      <c r="J352" s="214" t="s">
        <v>401</v>
      </c>
      <c r="K352" s="214" t="s">
        <v>689</v>
      </c>
      <c r="L352" s="214" t="s">
        <v>690</v>
      </c>
    </row>
    <row r="353" spans="2:12" ht="180">
      <c r="B353" s="213" t="s">
        <v>691</v>
      </c>
      <c r="C353" s="214" t="s">
        <v>692</v>
      </c>
      <c r="D353" s="214" t="s">
        <v>401</v>
      </c>
      <c r="E353" s="214" t="s">
        <v>644</v>
      </c>
      <c r="F353" s="214" t="s">
        <v>453</v>
      </c>
      <c r="G353" s="214" t="s">
        <v>563</v>
      </c>
      <c r="H353" s="214"/>
      <c r="I353" s="214" t="s">
        <v>633</v>
      </c>
      <c r="J353" s="214" t="s">
        <v>639</v>
      </c>
      <c r="K353" s="214" t="s">
        <v>401</v>
      </c>
      <c r="L353" s="214" t="s">
        <v>693</v>
      </c>
    </row>
    <row r="354" spans="2:12" ht="195">
      <c r="B354" s="213" t="s">
        <v>694</v>
      </c>
      <c r="C354" s="214" t="s">
        <v>695</v>
      </c>
      <c r="D354" s="214" t="s">
        <v>696</v>
      </c>
      <c r="E354" s="214" t="s">
        <v>697</v>
      </c>
      <c r="F354" s="214" t="s">
        <v>614</v>
      </c>
      <c r="G354" s="214"/>
      <c r="H354" s="214"/>
      <c r="I354" s="214" t="s">
        <v>698</v>
      </c>
      <c r="J354" s="214" t="s">
        <v>699</v>
      </c>
      <c r="K354" s="214" t="s">
        <v>401</v>
      </c>
      <c r="L354" s="214" t="s">
        <v>700</v>
      </c>
    </row>
    <row r="355" spans="2:12" ht="195">
      <c r="B355" s="213" t="s">
        <v>701</v>
      </c>
      <c r="C355" s="214" t="s">
        <v>702</v>
      </c>
      <c r="D355" s="214" t="s">
        <v>453</v>
      </c>
      <c r="E355" s="214" t="s">
        <v>703</v>
      </c>
      <c r="F355" s="214" t="s">
        <v>704</v>
      </c>
      <c r="G355" s="214" t="s">
        <v>705</v>
      </c>
      <c r="H355" s="214"/>
      <c r="I355" s="214" t="s">
        <v>706</v>
      </c>
      <c r="J355" s="214" t="s">
        <v>453</v>
      </c>
      <c r="K355" s="214" t="s">
        <v>707</v>
      </c>
      <c r="L355" s="214" t="s">
        <v>708</v>
      </c>
    </row>
    <row r="356" spans="2:12" ht="150">
      <c r="B356" s="213" t="s">
        <v>709</v>
      </c>
      <c r="C356" s="214" t="s">
        <v>710</v>
      </c>
      <c r="D356" s="214" t="s">
        <v>711</v>
      </c>
      <c r="E356" s="214" t="s">
        <v>712</v>
      </c>
      <c r="F356" s="214" t="s">
        <v>713</v>
      </c>
      <c r="G356" s="214" t="s">
        <v>632</v>
      </c>
      <c r="H356" s="214"/>
      <c r="I356" s="214" t="s">
        <v>714</v>
      </c>
      <c r="J356" s="214" t="s">
        <v>715</v>
      </c>
      <c r="K356" s="214" t="s">
        <v>401</v>
      </c>
      <c r="L356" s="214" t="s">
        <v>716</v>
      </c>
    </row>
    <row r="357" spans="2:12" ht="255">
      <c r="B357" s="213" t="s">
        <v>717</v>
      </c>
      <c r="C357" s="214" t="s">
        <v>718</v>
      </c>
      <c r="D357" s="214" t="s">
        <v>711</v>
      </c>
      <c r="E357" s="214" t="s">
        <v>577</v>
      </c>
      <c r="F357" s="214" t="s">
        <v>719</v>
      </c>
      <c r="G357" s="214" t="s">
        <v>632</v>
      </c>
      <c r="H357" s="214"/>
      <c r="I357" s="214" t="s">
        <v>720</v>
      </c>
      <c r="J357" s="214" t="s">
        <v>453</v>
      </c>
      <c r="K357" s="214" t="s">
        <v>401</v>
      </c>
      <c r="L357" s="214" t="s">
        <v>721</v>
      </c>
    </row>
    <row r="358" spans="2:12" ht="120">
      <c r="B358" s="213" t="s">
        <v>722</v>
      </c>
      <c r="C358" s="214" t="s">
        <v>723</v>
      </c>
      <c r="D358" s="214" t="s">
        <v>724</v>
      </c>
      <c r="E358" s="214" t="s">
        <v>725</v>
      </c>
      <c r="F358" s="214" t="s">
        <v>726</v>
      </c>
      <c r="G358" s="214" t="s">
        <v>563</v>
      </c>
      <c r="H358" s="214"/>
      <c r="I358" s="214" t="s">
        <v>727</v>
      </c>
      <c r="J358" s="214" t="s">
        <v>728</v>
      </c>
      <c r="K358" s="214" t="s">
        <v>453</v>
      </c>
      <c r="L358" s="214" t="s">
        <v>729</v>
      </c>
    </row>
    <row r="359" spans="2:12" ht="135">
      <c r="B359" s="213" t="s">
        <v>730</v>
      </c>
      <c r="C359" s="214" t="s">
        <v>731</v>
      </c>
      <c r="D359" s="214" t="s">
        <v>453</v>
      </c>
      <c r="E359" s="214" t="s">
        <v>732</v>
      </c>
      <c r="F359" s="214" t="s">
        <v>453</v>
      </c>
      <c r="G359" s="214" t="s">
        <v>632</v>
      </c>
      <c r="H359" s="214"/>
      <c r="I359" s="214" t="s">
        <v>556</v>
      </c>
      <c r="J359" s="214" t="s">
        <v>733</v>
      </c>
      <c r="K359" s="214" t="s">
        <v>556</v>
      </c>
      <c r="L359" s="214" t="s">
        <v>734</v>
      </c>
    </row>
    <row r="360" spans="2:12" ht="285">
      <c r="B360" s="213" t="s">
        <v>735</v>
      </c>
      <c r="C360" s="214" t="s">
        <v>736</v>
      </c>
      <c r="D360" s="214" t="s">
        <v>737</v>
      </c>
      <c r="E360" s="214" t="s">
        <v>738</v>
      </c>
      <c r="F360" s="214" t="s">
        <v>453</v>
      </c>
      <c r="G360" s="214" t="s">
        <v>632</v>
      </c>
      <c r="H360" s="214"/>
      <c r="I360" s="214" t="s">
        <v>714</v>
      </c>
      <c r="J360" s="214" t="s">
        <v>453</v>
      </c>
      <c r="K360" s="214" t="s">
        <v>739</v>
      </c>
      <c r="L360" s="214" t="s">
        <v>740</v>
      </c>
    </row>
    <row r="361" spans="2:12" ht="409.5">
      <c r="B361" s="213" t="s">
        <v>741</v>
      </c>
      <c r="C361" s="214" t="s">
        <v>604</v>
      </c>
      <c r="D361" s="214" t="s">
        <v>742</v>
      </c>
      <c r="E361" s="214" t="s">
        <v>577</v>
      </c>
      <c r="F361" s="214" t="s">
        <v>743</v>
      </c>
      <c r="G361" s="214" t="s">
        <v>632</v>
      </c>
      <c r="H361" s="214" t="s">
        <v>744</v>
      </c>
      <c r="I361" s="215" t="s">
        <v>593</v>
      </c>
      <c r="J361" s="214" t="s">
        <v>453</v>
      </c>
      <c r="K361" s="214" t="s">
        <v>745</v>
      </c>
      <c r="L361" s="214" t="s">
        <v>746</v>
      </c>
    </row>
  </sheetData>
  <autoFilter ref="A3:K113"/>
  <mergeCells count="2">
    <mergeCell ref="C99:I100"/>
    <mergeCell ref="B282:G282"/>
  </mergeCells>
  <hyperlinks>
    <hyperlink ref="B140" r:id="rId1" display="mailto:sean.dillon@waterfurnace.com"/>
    <hyperlink ref="B141" r:id="rId2" display="http://www.northwest-geothermal.com/"/>
    <hyperlink ref="B142" r:id="rId3" display="http://www.waterfurnace.com/"/>
    <hyperlink ref="N334" r:id="rId4" display="http://www.ecosconsulting.com/"/>
  </hyperlinks>
  <pageMargins left="0.7" right="0.7" top="0.75" bottom="0.75" header="0.3" footer="0.3"/>
</worksheet>
</file>

<file path=xl/worksheets/sheet17.xml><?xml version="1.0" encoding="utf-8"?>
<worksheet xmlns="http://schemas.openxmlformats.org/spreadsheetml/2006/main" xmlns:r="http://schemas.openxmlformats.org/officeDocument/2006/relationships">
  <sheetPr codeName="Sheet16"/>
  <dimension ref="A1:BF66"/>
  <sheetViews>
    <sheetView topLeftCell="AA24" workbookViewId="0">
      <selection activeCell="AG43" sqref="AG43"/>
    </sheetView>
  </sheetViews>
  <sheetFormatPr defaultRowHeight="12.75"/>
  <cols>
    <col min="1" max="1" width="9.140625" style="9"/>
    <col min="2" max="2" width="35.5703125" style="9" bestFit="1" customWidth="1"/>
    <col min="3" max="17" width="9.140625" style="9"/>
    <col min="18" max="18" width="16.140625" style="9" customWidth="1"/>
    <col min="19" max="19" width="12.140625" style="9" customWidth="1"/>
    <col min="20" max="20" width="11.28515625" style="9" customWidth="1"/>
    <col min="21" max="28" width="9.140625" style="9"/>
    <col min="29" max="29" width="17" style="9" customWidth="1"/>
    <col min="30" max="31" width="9.140625" style="9"/>
    <col min="32" max="32" width="13.140625" style="9" customWidth="1"/>
    <col min="33" max="33" width="10.28515625" style="9" bestFit="1" customWidth="1"/>
    <col min="34" max="34" width="9.140625" style="9"/>
    <col min="35" max="35" width="13.5703125" style="9" customWidth="1"/>
    <col min="36" max="36" width="10" style="9" customWidth="1"/>
    <col min="37" max="37" width="12.42578125" style="9" customWidth="1"/>
    <col min="38" max="38" width="13.85546875" style="9" customWidth="1"/>
    <col min="39" max="39" width="17" style="9" customWidth="1"/>
    <col min="40" max="41" width="8.42578125" style="9" customWidth="1"/>
    <col min="42" max="42" width="10.28515625" style="9" customWidth="1"/>
    <col min="43" max="43" width="13" style="9" customWidth="1"/>
    <col min="44" max="44" width="14.42578125" style="9" customWidth="1"/>
    <col min="45" max="16384" width="9.140625" style="9"/>
  </cols>
  <sheetData>
    <row r="1" spans="1:52">
      <c r="A1" s="311" t="s">
        <v>1063</v>
      </c>
      <c r="B1" s="312"/>
      <c r="C1" s="312"/>
      <c r="D1" s="312"/>
      <c r="E1" s="312"/>
      <c r="F1" s="312"/>
      <c r="G1" s="312"/>
      <c r="H1" s="312"/>
      <c r="I1" s="312"/>
      <c r="J1" s="312"/>
      <c r="K1" s="312"/>
      <c r="L1" s="312"/>
      <c r="M1" s="312"/>
      <c r="N1" s="312"/>
      <c r="O1" s="312"/>
      <c r="P1" s="312"/>
      <c r="Q1" s="312"/>
      <c r="R1" s="312"/>
      <c r="S1" s="312"/>
      <c r="T1" s="312"/>
      <c r="U1" s="312"/>
      <c r="V1" s="312"/>
      <c r="W1" s="312"/>
      <c r="X1" s="312"/>
      <c r="Y1" s="312"/>
      <c r="Z1" s="312"/>
      <c r="AA1" s="312"/>
      <c r="AB1" s="312"/>
      <c r="AC1" s="312"/>
      <c r="AD1" s="312"/>
      <c r="AE1" s="312"/>
      <c r="AF1" s="312"/>
      <c r="AG1" s="312"/>
      <c r="AH1" s="312"/>
      <c r="AI1" s="312"/>
      <c r="AJ1" s="312"/>
      <c r="AK1" s="312"/>
      <c r="AL1" s="312"/>
      <c r="AM1" s="312"/>
      <c r="AN1" s="312"/>
      <c r="AO1" s="312"/>
      <c r="AP1" s="312"/>
      <c r="AQ1" s="312"/>
      <c r="AR1" s="312"/>
      <c r="AS1" s="312"/>
      <c r="AT1" s="312"/>
      <c r="AU1" s="312"/>
      <c r="AV1" s="312"/>
      <c r="AW1" s="312"/>
      <c r="AX1" s="312"/>
      <c r="AY1" s="312"/>
      <c r="AZ1" s="312"/>
    </row>
    <row r="2" spans="1:52">
      <c r="A2" s="312" t="s">
        <v>1170</v>
      </c>
      <c r="B2" s="312"/>
      <c r="C2" s="312"/>
      <c r="D2" s="312"/>
      <c r="E2" s="312"/>
      <c r="F2" s="312"/>
      <c r="G2" s="312"/>
      <c r="H2" s="312"/>
      <c r="I2" s="312"/>
      <c r="J2" s="312"/>
      <c r="K2" s="312"/>
      <c r="L2" s="312"/>
      <c r="M2" s="312"/>
      <c r="N2" s="312"/>
      <c r="O2" s="312"/>
      <c r="P2" s="312"/>
      <c r="Q2" s="312"/>
      <c r="R2" s="312"/>
      <c r="S2" s="312"/>
      <c r="T2" s="312"/>
      <c r="U2" s="312"/>
      <c r="V2" s="312"/>
      <c r="W2" s="312"/>
      <c r="X2" s="312"/>
      <c r="Y2" s="312"/>
      <c r="Z2" s="312"/>
      <c r="AA2" s="312"/>
      <c r="AB2" s="312"/>
      <c r="AC2" s="312" t="s">
        <v>1064</v>
      </c>
      <c r="AD2" s="312"/>
      <c r="AE2" s="312"/>
      <c r="AF2" s="312"/>
      <c r="AG2" s="312"/>
      <c r="AH2" s="312"/>
      <c r="AI2" s="312" t="s">
        <v>1065</v>
      </c>
      <c r="AJ2" s="312"/>
      <c r="AK2" s="312"/>
      <c r="AL2" s="312"/>
      <c r="AM2" s="312"/>
      <c r="AN2" s="312"/>
      <c r="AO2" s="312"/>
      <c r="AP2" s="312"/>
      <c r="AQ2" s="312"/>
      <c r="AR2" s="312"/>
      <c r="AS2" s="312"/>
      <c r="AT2" s="312"/>
      <c r="AU2" s="312"/>
      <c r="AV2" s="312"/>
      <c r="AW2" s="312"/>
      <c r="AX2" s="312"/>
      <c r="AY2" s="312"/>
      <c r="AZ2" s="312"/>
    </row>
    <row r="3" spans="1:52" ht="13.5" thickBot="1">
      <c r="A3" s="312"/>
      <c r="B3" s="312"/>
      <c r="C3" s="312"/>
      <c r="D3" s="312"/>
      <c r="E3" s="312"/>
      <c r="F3" s="312"/>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v>1300</v>
      </c>
      <c r="AG3" s="312">
        <v>1.5</v>
      </c>
      <c r="AH3" s="312"/>
      <c r="AI3" s="312"/>
      <c r="AJ3" s="312"/>
      <c r="AK3" s="312"/>
      <c r="AL3" s="312"/>
      <c r="AM3" s="312"/>
      <c r="AN3" s="312"/>
      <c r="AO3" s="312"/>
      <c r="AP3" s="312"/>
      <c r="AQ3" s="312"/>
      <c r="AR3" s="312"/>
      <c r="AS3" s="312"/>
      <c r="AT3" s="312"/>
      <c r="AU3" s="312"/>
      <c r="AV3" s="312"/>
      <c r="AW3" s="312"/>
      <c r="AX3" s="312"/>
      <c r="AY3" s="312"/>
      <c r="AZ3" s="312"/>
    </row>
    <row r="4" spans="1:52" ht="51">
      <c r="A4" s="312"/>
      <c r="B4" s="312"/>
      <c r="C4" s="312"/>
      <c r="D4" s="312"/>
      <c r="E4" s="312">
        <v>40</v>
      </c>
      <c r="F4" s="312">
        <v>1.33</v>
      </c>
      <c r="G4" s="312" t="s">
        <v>1066</v>
      </c>
      <c r="H4" s="312"/>
      <c r="I4" s="312"/>
      <c r="J4" s="312"/>
      <c r="K4" s="313" t="s">
        <v>1067</v>
      </c>
      <c r="L4" s="313" t="s">
        <v>1068</v>
      </c>
      <c r="M4" s="312"/>
      <c r="N4" s="314" t="s">
        <v>1069</v>
      </c>
      <c r="O4" s="312"/>
      <c r="P4" s="312"/>
      <c r="Q4" s="315" t="s">
        <v>1070</v>
      </c>
      <c r="R4" s="316" t="s">
        <v>1071</v>
      </c>
      <c r="S4" s="315" t="s">
        <v>1072</v>
      </c>
      <c r="T4" s="315" t="s">
        <v>1073</v>
      </c>
      <c r="U4" s="317" t="s">
        <v>1074</v>
      </c>
      <c r="V4" s="317" t="s">
        <v>1074</v>
      </c>
      <c r="W4" s="312"/>
      <c r="X4" s="312"/>
      <c r="Y4" s="318" t="s">
        <v>1075</v>
      </c>
      <c r="Z4" s="319" t="s">
        <v>1076</v>
      </c>
      <c r="AA4" s="318" t="s">
        <v>1075</v>
      </c>
      <c r="AB4" s="319" t="s">
        <v>1076</v>
      </c>
      <c r="AC4" s="320" t="s">
        <v>1077</v>
      </c>
      <c r="AD4" s="320" t="s">
        <v>1078</v>
      </c>
      <c r="AE4" s="318" t="s">
        <v>1079</v>
      </c>
      <c r="AF4" s="320" t="s">
        <v>1080</v>
      </c>
      <c r="AG4" s="320" t="s">
        <v>1081</v>
      </c>
      <c r="AH4" s="320" t="s">
        <v>1082</v>
      </c>
      <c r="AI4" s="321" t="s">
        <v>235</v>
      </c>
      <c r="AJ4" s="322" t="s">
        <v>235</v>
      </c>
      <c r="AK4" s="312"/>
      <c r="AL4" s="323" t="s">
        <v>1083</v>
      </c>
      <c r="AM4" s="323" t="s">
        <v>1084</v>
      </c>
      <c r="AN4" s="324" t="s">
        <v>1085</v>
      </c>
      <c r="AO4" s="325" t="s">
        <v>1086</v>
      </c>
      <c r="AP4" s="648" t="s">
        <v>747</v>
      </c>
      <c r="AQ4" s="649"/>
      <c r="AR4" s="650"/>
      <c r="AS4" s="312"/>
      <c r="AT4" s="312"/>
      <c r="AU4" s="312"/>
      <c r="AV4" s="312"/>
      <c r="AW4" s="312"/>
      <c r="AX4" s="312"/>
      <c r="AY4" s="312"/>
      <c r="AZ4" s="312"/>
    </row>
    <row r="5" spans="1:52" ht="25.5">
      <c r="A5" s="312"/>
      <c r="B5" s="312"/>
      <c r="C5" s="316" t="s">
        <v>1047</v>
      </c>
      <c r="D5" s="316" t="s">
        <v>1087</v>
      </c>
      <c r="E5" s="316" t="s">
        <v>1088</v>
      </c>
      <c r="F5" s="316" t="s">
        <v>1089</v>
      </c>
      <c r="G5" s="316" t="s">
        <v>1090</v>
      </c>
      <c r="H5" s="316" t="s">
        <v>1091</v>
      </c>
      <c r="I5" s="316" t="s">
        <v>1092</v>
      </c>
      <c r="J5" s="312"/>
      <c r="K5" s="326" t="s">
        <v>1058</v>
      </c>
      <c r="L5" s="326" t="s">
        <v>1058</v>
      </c>
      <c r="M5" s="312"/>
      <c r="N5" s="312"/>
      <c r="O5" s="312" t="s">
        <v>1093</v>
      </c>
      <c r="P5" s="312"/>
      <c r="Q5" s="312"/>
      <c r="R5" s="312" t="s">
        <v>1094</v>
      </c>
      <c r="S5" s="312"/>
      <c r="T5" s="312"/>
      <c r="U5" s="316" t="s">
        <v>1095</v>
      </c>
      <c r="V5" s="316" t="s">
        <v>1096</v>
      </c>
      <c r="W5" s="316" t="s">
        <v>1097</v>
      </c>
      <c r="X5" s="314"/>
      <c r="Y5" s="327" t="s">
        <v>1098</v>
      </c>
      <c r="Z5" s="328" t="s">
        <v>1098</v>
      </c>
      <c r="AA5" s="327" t="s">
        <v>1081</v>
      </c>
      <c r="AB5" s="328" t="s">
        <v>1081</v>
      </c>
      <c r="AC5" s="327" t="s">
        <v>1099</v>
      </c>
      <c r="AD5" s="327" t="s">
        <v>1100</v>
      </c>
      <c r="AE5" s="322" t="s">
        <v>1101</v>
      </c>
      <c r="AF5" s="327" t="s">
        <v>1102</v>
      </c>
      <c r="AG5" s="327" t="s">
        <v>1103</v>
      </c>
      <c r="AH5" s="321" t="s">
        <v>1104</v>
      </c>
      <c r="AI5" s="327" t="s">
        <v>1105</v>
      </c>
      <c r="AJ5" s="327" t="s">
        <v>1106</v>
      </c>
      <c r="AK5" s="312"/>
      <c r="AL5" s="322"/>
      <c r="AM5" s="322"/>
      <c r="AN5" s="329"/>
      <c r="AO5" s="330"/>
      <c r="AP5" s="331" t="s">
        <v>749</v>
      </c>
      <c r="AQ5" s="332" t="s">
        <v>750</v>
      </c>
      <c r="AR5" s="333" t="s">
        <v>751</v>
      </c>
      <c r="AS5" s="312"/>
      <c r="AT5" s="312"/>
      <c r="AU5" s="312"/>
      <c r="AV5" s="312"/>
      <c r="AW5" s="312"/>
      <c r="AX5" s="312"/>
      <c r="AY5" s="312"/>
      <c r="AZ5" s="312"/>
    </row>
    <row r="6" spans="1:52" ht="14.25">
      <c r="A6" s="312"/>
      <c r="B6" s="334" t="s">
        <v>1107</v>
      </c>
      <c r="C6" s="335">
        <v>354.24428399999999</v>
      </c>
      <c r="D6" s="335">
        <v>390.42571838690145</v>
      </c>
      <c r="E6" s="335">
        <v>15617.028735476059</v>
      </c>
      <c r="F6" s="335">
        <v>20770.64821818316</v>
      </c>
      <c r="G6" s="336">
        <v>2</v>
      </c>
      <c r="H6" s="337">
        <f>70-23</f>
        <v>47</v>
      </c>
      <c r="I6" s="338">
        <f>H6*D6</f>
        <v>18350.008764184367</v>
      </c>
      <c r="J6" s="339"/>
      <c r="K6" s="335">
        <v>8461.6425930000005</v>
      </c>
      <c r="L6" s="335">
        <v>9424.2019319999999</v>
      </c>
      <c r="M6" s="322">
        <v>0.102136960343731</v>
      </c>
      <c r="N6" s="322">
        <v>1.1021369603437301</v>
      </c>
      <c r="O6" s="340">
        <f>Q6/12000</f>
        <v>2</v>
      </c>
      <c r="P6" s="312" t="s">
        <v>1108</v>
      </c>
      <c r="Q6" s="341">
        <v>24000</v>
      </c>
      <c r="R6" s="342">
        <v>9264.5552580000003</v>
      </c>
      <c r="S6" s="341">
        <v>1317.4969623147501</v>
      </c>
      <c r="T6" s="341">
        <v>1776.4003986266293</v>
      </c>
      <c r="U6" s="343">
        <v>964</v>
      </c>
      <c r="V6" s="344">
        <v>750</v>
      </c>
      <c r="W6" s="322"/>
      <c r="X6" s="312"/>
      <c r="Y6" s="345">
        <f>U6/Q6*12000</f>
        <v>482.00000000000006</v>
      </c>
      <c r="Z6" s="346">
        <f>U6/I6*12000</f>
        <v>630.40841825528037</v>
      </c>
      <c r="AA6" s="345">
        <f>V6/Q6*12000</f>
        <v>375</v>
      </c>
      <c r="AB6" s="346">
        <f>V6/I6*12000</f>
        <v>490.4629810077389</v>
      </c>
      <c r="AC6" s="345">
        <f>Q6</f>
        <v>24000</v>
      </c>
      <c r="AD6" s="342">
        <f>I6</f>
        <v>18350.008764184367</v>
      </c>
      <c r="AE6" s="347">
        <f>AD6/12000</f>
        <v>1.5291673970153639</v>
      </c>
      <c r="AF6" s="347">
        <f>AE6*Z6/600*$AF$3</f>
        <v>2088.6666666666665</v>
      </c>
      <c r="AG6" s="347">
        <f>AE6*AB6/600*$AF$3*$AG$3</f>
        <v>2437.4999999999995</v>
      </c>
      <c r="AH6" s="348">
        <f t="shared" ref="AH6:AH29" si="0">VLOOKUP(O6,$AH$40:$AI$47,2,FALSE)</f>
        <v>6632.5</v>
      </c>
      <c r="AI6" s="345">
        <f>AH6+AF6</f>
        <v>8721.1666666666661</v>
      </c>
      <c r="AJ6" s="345">
        <f>AH6+AG6</f>
        <v>9070</v>
      </c>
      <c r="AK6" s="312" t="s">
        <v>1107</v>
      </c>
      <c r="AL6" s="349">
        <f>IF(MID(AK6,5,1)="3",AJ6,AI6)</f>
        <v>8721.1666666666661</v>
      </c>
      <c r="AM6" s="349">
        <f>VLOOKUP(O6,$AH$40:$AN$47,3,FALSE)</f>
        <v>5399</v>
      </c>
      <c r="AN6" s="350">
        <f t="shared" ref="AN6:AN29" si="1">VLOOKUP(O6,$AH$40:$AO$47,8,FALSE)</f>
        <v>802.5</v>
      </c>
      <c r="AO6" s="351">
        <f>VLOOKUP(O6,$AH$40:$AP$47,9,FALSE)</f>
        <v>1346</v>
      </c>
      <c r="AP6" s="352">
        <f>AL6-AM6</f>
        <v>3322.1666666666661</v>
      </c>
      <c r="AQ6" s="349">
        <f>AL6-AN6</f>
        <v>7918.6666666666661</v>
      </c>
      <c r="AR6" s="353">
        <f>AQ6-AO6</f>
        <v>6572.6666666666661</v>
      </c>
      <c r="AS6" s="312"/>
      <c r="AT6" s="312"/>
      <c r="AU6" s="312"/>
      <c r="AV6" s="312"/>
      <c r="AW6" s="312"/>
      <c r="AX6" s="312"/>
      <c r="AY6" s="312"/>
      <c r="AZ6" s="312"/>
    </row>
    <row r="7" spans="1:52" ht="14.25">
      <c r="A7" s="312"/>
      <c r="B7" s="334" t="s">
        <v>1109</v>
      </c>
      <c r="C7" s="335">
        <v>393.41449399999999</v>
      </c>
      <c r="D7" s="335">
        <v>433.0558439340283</v>
      </c>
      <c r="E7" s="335">
        <v>17322.233757361133</v>
      </c>
      <c r="F7" s="335">
        <v>23038.570897290308</v>
      </c>
      <c r="G7" s="336">
        <v>2</v>
      </c>
      <c r="H7" s="337">
        <f>70-23</f>
        <v>47</v>
      </c>
      <c r="I7" s="338">
        <f t="shared" ref="I7:I29" si="2">H7*D7</f>
        <v>20353.624664899329</v>
      </c>
      <c r="J7" s="339"/>
      <c r="K7" s="335">
        <v>9699.3173189999998</v>
      </c>
      <c r="L7" s="335">
        <v>10786.155137</v>
      </c>
      <c r="M7" s="322">
        <v>0.10076230169097</v>
      </c>
      <c r="N7" s="322">
        <v>1.10076230169097</v>
      </c>
      <c r="O7" s="340">
        <f t="shared" ref="O7:O29" si="3">Q7/12000</f>
        <v>2</v>
      </c>
      <c r="P7" s="312" t="s">
        <v>1108</v>
      </c>
      <c r="Q7" s="341">
        <v>24000</v>
      </c>
      <c r="R7" s="342">
        <v>10580.684733</v>
      </c>
      <c r="S7" s="341">
        <v>1504.6615414053751</v>
      </c>
      <c r="T7" s="341">
        <v>2028.7571344791575</v>
      </c>
      <c r="U7" s="343">
        <v>981</v>
      </c>
      <c r="V7" s="344">
        <v>762</v>
      </c>
      <c r="W7" s="322"/>
      <c r="X7" s="312"/>
      <c r="Y7" s="345">
        <f t="shared" ref="Y7:Y29" si="4">U7/Q7*12000</f>
        <v>490.5</v>
      </c>
      <c r="Z7" s="346">
        <f t="shared" ref="Z7:Z29" si="5">U7/I7*12000</f>
        <v>578.37364075506912</v>
      </c>
      <c r="AA7" s="345">
        <f t="shared" ref="AA7:AA29" si="6">V7/Q7*12000</f>
        <v>381</v>
      </c>
      <c r="AB7" s="346">
        <f t="shared" ref="AB7:AB29" si="7">V7/I7*12000</f>
        <v>449.25658945500788</v>
      </c>
      <c r="AC7" s="345">
        <f t="shared" ref="AC7:AC29" si="8">Q7</f>
        <v>24000</v>
      </c>
      <c r="AD7" s="342">
        <f t="shared" ref="AD7:AD29" si="9">I7</f>
        <v>20353.624664899329</v>
      </c>
      <c r="AE7" s="347">
        <f t="shared" ref="AE7:AE29" si="10">AD7/12000</f>
        <v>1.6961353887416108</v>
      </c>
      <c r="AF7" s="347">
        <f>AE7*Z7/600*$AF$3</f>
        <v>2125.4999999999995</v>
      </c>
      <c r="AG7" s="347">
        <f t="shared" ref="AG7:AG29" si="11">AE7*AB7/600*$AF$3*$AG$3</f>
        <v>2476.5000000000005</v>
      </c>
      <c r="AH7" s="348">
        <f t="shared" si="0"/>
        <v>6632.5</v>
      </c>
      <c r="AI7" s="345">
        <f t="shared" ref="AI7:AI29" si="12">AH7+AF7</f>
        <v>8758</v>
      </c>
      <c r="AJ7" s="345">
        <f t="shared" ref="AJ7:AJ29" si="13">AH7+AG7</f>
        <v>9109</v>
      </c>
      <c r="AK7" s="312" t="s">
        <v>1109</v>
      </c>
      <c r="AL7" s="349">
        <f t="shared" ref="AL7:AL29" si="14">IF(MID(AK7,5,1)="3",AJ7,AI7)</f>
        <v>8758</v>
      </c>
      <c r="AM7" s="349">
        <f t="shared" ref="AM7:AM29" si="15">VLOOKUP(O7,$AH$40:$AN$47,3,FALSE)</f>
        <v>5399</v>
      </c>
      <c r="AN7" s="350">
        <f t="shared" si="1"/>
        <v>802.5</v>
      </c>
      <c r="AO7" s="351">
        <f t="shared" ref="AO7:AO29" si="16">VLOOKUP(O7,$AH$40:$AP$47,9,FALSE)</f>
        <v>1346</v>
      </c>
      <c r="AP7" s="352">
        <f t="shared" ref="AP7:AP29" si="17">AL7-AM7</f>
        <v>3359</v>
      </c>
      <c r="AQ7" s="349">
        <f t="shared" ref="AQ7:AQ29" si="18">AL7-AN7</f>
        <v>7955.5</v>
      </c>
      <c r="AR7" s="353">
        <f t="shared" ref="AR7:AR29" si="19">AQ7-AO7</f>
        <v>6609.5</v>
      </c>
      <c r="AS7" s="312"/>
      <c r="AT7" s="312"/>
      <c r="AU7" s="312"/>
      <c r="AV7" s="312"/>
      <c r="AW7" s="312"/>
      <c r="AX7" s="312"/>
      <c r="AY7" s="312"/>
      <c r="AZ7" s="312"/>
    </row>
    <row r="8" spans="1:52" ht="14.25">
      <c r="A8" s="312"/>
      <c r="B8" s="334" t="s">
        <v>1110</v>
      </c>
      <c r="C8" s="335">
        <v>350.00863199999998</v>
      </c>
      <c r="D8" s="335">
        <v>389.82781523026375</v>
      </c>
      <c r="E8" s="335">
        <v>15593.11260921055</v>
      </c>
      <c r="F8" s="335">
        <v>20738.839770250033</v>
      </c>
      <c r="G8" s="336">
        <v>2</v>
      </c>
      <c r="H8" s="337">
        <f>70-7</f>
        <v>63</v>
      </c>
      <c r="I8" s="338">
        <f t="shared" si="2"/>
        <v>24559.152359506617</v>
      </c>
      <c r="J8" s="339"/>
      <c r="K8" s="335">
        <v>11622.496367</v>
      </c>
      <c r="L8" s="335">
        <v>13114.482359</v>
      </c>
      <c r="M8" s="322">
        <v>0.11376628914187403</v>
      </c>
      <c r="N8" s="322">
        <v>1.113766289141874</v>
      </c>
      <c r="O8" s="340">
        <f t="shared" si="3"/>
        <v>2</v>
      </c>
      <c r="P8" s="312" t="s">
        <v>1111</v>
      </c>
      <c r="Q8" s="341">
        <v>24000</v>
      </c>
      <c r="R8" s="342">
        <v>12485.338318</v>
      </c>
      <c r="S8" s="341">
        <v>1775.5191533055834</v>
      </c>
      <c r="T8" s="341">
        <v>2393.9584089513482</v>
      </c>
      <c r="U8" s="343">
        <v>2544</v>
      </c>
      <c r="V8" s="344">
        <v>1959</v>
      </c>
      <c r="W8" s="322"/>
      <c r="X8" s="312"/>
      <c r="Y8" s="345">
        <f t="shared" si="4"/>
        <v>1272</v>
      </c>
      <c r="Z8" s="346">
        <f t="shared" si="5"/>
        <v>1243.0396437596471</v>
      </c>
      <c r="AA8" s="345">
        <f t="shared" si="6"/>
        <v>979.5</v>
      </c>
      <c r="AB8" s="346">
        <f t="shared" si="7"/>
        <v>957.19915964038864</v>
      </c>
      <c r="AC8" s="345">
        <f t="shared" si="8"/>
        <v>24000</v>
      </c>
      <c r="AD8" s="342">
        <f t="shared" si="9"/>
        <v>24559.152359506617</v>
      </c>
      <c r="AE8" s="347">
        <f t="shared" si="10"/>
        <v>2.0465960299588848</v>
      </c>
      <c r="AF8" s="347">
        <f t="shared" ref="AF8:AF29" si="20">AE8*Z8/600*$AF$3</f>
        <v>5512</v>
      </c>
      <c r="AG8" s="347">
        <f t="shared" si="11"/>
        <v>6366.7500000000018</v>
      </c>
      <c r="AH8" s="348">
        <f t="shared" si="0"/>
        <v>6632.5</v>
      </c>
      <c r="AI8" s="345">
        <f t="shared" si="12"/>
        <v>12144.5</v>
      </c>
      <c r="AJ8" s="345">
        <f t="shared" si="13"/>
        <v>12999.250000000002</v>
      </c>
      <c r="AK8" s="312" t="s">
        <v>1110</v>
      </c>
      <c r="AL8" s="349">
        <f t="shared" si="14"/>
        <v>12144.5</v>
      </c>
      <c r="AM8" s="349">
        <f t="shared" si="15"/>
        <v>5399</v>
      </c>
      <c r="AN8" s="350">
        <f t="shared" si="1"/>
        <v>802.5</v>
      </c>
      <c r="AO8" s="351">
        <f t="shared" si="16"/>
        <v>1346</v>
      </c>
      <c r="AP8" s="352">
        <f t="shared" si="17"/>
        <v>6745.5</v>
      </c>
      <c r="AQ8" s="349">
        <f t="shared" si="18"/>
        <v>11342</v>
      </c>
      <c r="AR8" s="353">
        <f t="shared" si="19"/>
        <v>9996</v>
      </c>
      <c r="AS8" s="312"/>
      <c r="AT8" s="312"/>
      <c r="AU8" s="312"/>
      <c r="AV8" s="312"/>
      <c r="AW8" s="312"/>
      <c r="AX8" s="312"/>
      <c r="AY8" s="312"/>
      <c r="AZ8" s="312"/>
    </row>
    <row r="9" spans="1:52" ht="14.25">
      <c r="A9" s="312"/>
      <c r="B9" s="334" t="s">
        <v>1112</v>
      </c>
      <c r="C9" s="335">
        <v>389.07732099999998</v>
      </c>
      <c r="D9" s="335">
        <v>432.54438740448666</v>
      </c>
      <c r="E9" s="335">
        <v>17301.775496179467</v>
      </c>
      <c r="F9" s="335">
        <v>23011.361409918693</v>
      </c>
      <c r="G9" s="336">
        <v>2</v>
      </c>
      <c r="H9" s="337">
        <f>70-7</f>
        <v>63</v>
      </c>
      <c r="I9" s="338">
        <f t="shared" si="2"/>
        <v>27250.296406482659</v>
      </c>
      <c r="J9" s="339"/>
      <c r="K9" s="335">
        <v>13177.459362</v>
      </c>
      <c r="L9" s="335">
        <v>14834.775641</v>
      </c>
      <c r="M9" s="322">
        <v>0.11171832450364461</v>
      </c>
      <c r="N9" s="322">
        <v>1.1117183245036446</v>
      </c>
      <c r="O9" s="340">
        <f t="shared" si="3"/>
        <v>2</v>
      </c>
      <c r="P9" s="312" t="s">
        <v>1111</v>
      </c>
      <c r="Q9" s="341">
        <v>24000</v>
      </c>
      <c r="R9" s="342">
        <v>14011.226838</v>
      </c>
      <c r="S9" s="341">
        <v>1992.5132165872501</v>
      </c>
      <c r="T9" s="341">
        <v>2686.534674050225</v>
      </c>
      <c r="U9" s="343">
        <v>2576</v>
      </c>
      <c r="V9" s="344">
        <v>2001</v>
      </c>
      <c r="W9" s="322"/>
      <c r="X9" s="312"/>
      <c r="Y9" s="345">
        <f t="shared" si="4"/>
        <v>1288</v>
      </c>
      <c r="Z9" s="346">
        <f t="shared" si="5"/>
        <v>1134.3729821832781</v>
      </c>
      <c r="AA9" s="345">
        <f t="shared" si="6"/>
        <v>1000.5</v>
      </c>
      <c r="AB9" s="346">
        <f t="shared" si="7"/>
        <v>881.16472723165361</v>
      </c>
      <c r="AC9" s="345">
        <f t="shared" si="8"/>
        <v>24000</v>
      </c>
      <c r="AD9" s="342">
        <f t="shared" si="9"/>
        <v>27250.296406482659</v>
      </c>
      <c r="AE9" s="347">
        <f t="shared" si="10"/>
        <v>2.2708580338735551</v>
      </c>
      <c r="AF9" s="347">
        <f t="shared" si="20"/>
        <v>5581.333333333333</v>
      </c>
      <c r="AG9" s="347">
        <f t="shared" si="11"/>
        <v>6503.2500000000018</v>
      </c>
      <c r="AH9" s="348">
        <f t="shared" si="0"/>
        <v>6632.5</v>
      </c>
      <c r="AI9" s="345">
        <f t="shared" si="12"/>
        <v>12213.833333333332</v>
      </c>
      <c r="AJ9" s="345">
        <f t="shared" si="13"/>
        <v>13135.750000000002</v>
      </c>
      <c r="AK9" s="312" t="s">
        <v>1112</v>
      </c>
      <c r="AL9" s="349">
        <f t="shared" si="14"/>
        <v>12213.833333333332</v>
      </c>
      <c r="AM9" s="349">
        <f t="shared" si="15"/>
        <v>5399</v>
      </c>
      <c r="AN9" s="350">
        <f t="shared" si="1"/>
        <v>802.5</v>
      </c>
      <c r="AO9" s="351">
        <f t="shared" si="16"/>
        <v>1346</v>
      </c>
      <c r="AP9" s="352">
        <f t="shared" si="17"/>
        <v>6814.8333333333321</v>
      </c>
      <c r="AQ9" s="349">
        <f t="shared" si="18"/>
        <v>11411.333333333332</v>
      </c>
      <c r="AR9" s="353">
        <f t="shared" si="19"/>
        <v>10065.333333333332</v>
      </c>
      <c r="AS9" s="312"/>
      <c r="AT9" s="312"/>
      <c r="AU9" s="312"/>
      <c r="AV9" s="312"/>
      <c r="AW9" s="312"/>
      <c r="AX9" s="312"/>
      <c r="AY9" s="312"/>
      <c r="AZ9" s="312"/>
    </row>
    <row r="10" spans="1:52" ht="14.25">
      <c r="A10" s="312"/>
      <c r="B10" s="334" t="s">
        <v>1113</v>
      </c>
      <c r="C10" s="335">
        <v>348.59311200000002</v>
      </c>
      <c r="D10" s="335">
        <v>390.02018843633061</v>
      </c>
      <c r="E10" s="335">
        <v>15600.807537453224</v>
      </c>
      <c r="F10" s="335">
        <v>20749.074024812788</v>
      </c>
      <c r="G10" s="336">
        <v>2</v>
      </c>
      <c r="H10" s="337">
        <f>70--3</f>
        <v>73</v>
      </c>
      <c r="I10" s="338">
        <f t="shared" si="2"/>
        <v>28471.473755852134</v>
      </c>
      <c r="J10" s="339"/>
      <c r="K10" s="335">
        <v>14248.435191</v>
      </c>
      <c r="L10" s="335">
        <v>16170.102776</v>
      </c>
      <c r="M10" s="322">
        <v>0.11884077742858745</v>
      </c>
      <c r="N10" s="322">
        <v>1.1188407774285873</v>
      </c>
      <c r="O10" s="340">
        <f t="shared" si="3"/>
        <v>2</v>
      </c>
      <c r="P10" s="312" t="s">
        <v>1114</v>
      </c>
      <c r="Q10" s="341">
        <v>24000</v>
      </c>
      <c r="R10" s="342">
        <v>14546.135401</v>
      </c>
      <c r="S10" s="341">
        <v>2068.5816718172082</v>
      </c>
      <c r="T10" s="341">
        <v>2789.0988833490451</v>
      </c>
      <c r="U10" s="343">
        <v>4572</v>
      </c>
      <c r="V10" s="344">
        <v>2936</v>
      </c>
      <c r="W10" s="344">
        <v>2503</v>
      </c>
      <c r="X10" s="312"/>
      <c r="Y10" s="345">
        <f t="shared" si="4"/>
        <v>2286</v>
      </c>
      <c r="Z10" s="346">
        <f t="shared" si="5"/>
        <v>1926.9813874219649</v>
      </c>
      <c r="AA10" s="345">
        <f t="shared" si="6"/>
        <v>1468</v>
      </c>
      <c r="AB10" s="346">
        <f t="shared" si="7"/>
        <v>1237.4491149323903</v>
      </c>
      <c r="AC10" s="345">
        <f t="shared" si="8"/>
        <v>24000</v>
      </c>
      <c r="AD10" s="342">
        <f t="shared" si="9"/>
        <v>28471.473755852134</v>
      </c>
      <c r="AE10" s="347">
        <f t="shared" si="10"/>
        <v>2.3726228129876779</v>
      </c>
      <c r="AF10" s="347">
        <f t="shared" si="20"/>
        <v>9906.0000000000018</v>
      </c>
      <c r="AG10" s="347">
        <f t="shared" si="11"/>
        <v>9542</v>
      </c>
      <c r="AH10" s="348">
        <f t="shared" si="0"/>
        <v>6632.5</v>
      </c>
      <c r="AI10" s="345">
        <f t="shared" si="12"/>
        <v>16538.5</v>
      </c>
      <c r="AJ10" s="345">
        <f t="shared" si="13"/>
        <v>16174.5</v>
      </c>
      <c r="AK10" s="312" t="s">
        <v>1113</v>
      </c>
      <c r="AL10" s="349">
        <f t="shared" si="14"/>
        <v>16174.5</v>
      </c>
      <c r="AM10" s="349">
        <f t="shared" si="15"/>
        <v>5399</v>
      </c>
      <c r="AN10" s="350">
        <f t="shared" si="1"/>
        <v>802.5</v>
      </c>
      <c r="AO10" s="351">
        <f t="shared" si="16"/>
        <v>1346</v>
      </c>
      <c r="AP10" s="352">
        <f t="shared" si="17"/>
        <v>10775.5</v>
      </c>
      <c r="AQ10" s="349">
        <f t="shared" si="18"/>
        <v>15372</v>
      </c>
      <c r="AR10" s="353">
        <f t="shared" si="19"/>
        <v>14026</v>
      </c>
      <c r="AS10" s="312"/>
      <c r="AT10" s="312"/>
      <c r="AU10" s="312" t="s">
        <v>1115</v>
      </c>
      <c r="AV10" s="312"/>
      <c r="AW10" s="312"/>
      <c r="AX10" s="312"/>
      <c r="AY10" s="312"/>
      <c r="AZ10" s="312"/>
    </row>
    <row r="11" spans="1:52" ht="14.25">
      <c r="A11" s="312"/>
      <c r="B11" s="334" t="s">
        <v>1116</v>
      </c>
      <c r="C11" s="335">
        <v>387.62654199999997</v>
      </c>
      <c r="D11" s="335">
        <v>432.59522161509193</v>
      </c>
      <c r="E11" s="335">
        <v>17303.808864603678</v>
      </c>
      <c r="F11" s="335">
        <v>23014.065789922894</v>
      </c>
      <c r="G11" s="336">
        <v>2</v>
      </c>
      <c r="H11" s="337">
        <f>70--3</f>
        <v>73</v>
      </c>
      <c r="I11" s="338">
        <f t="shared" si="2"/>
        <v>31579.451177901712</v>
      </c>
      <c r="J11" s="339"/>
      <c r="K11" s="335">
        <v>16121.128579</v>
      </c>
      <c r="L11" s="335">
        <v>18236.783714000001</v>
      </c>
      <c r="M11" s="322">
        <v>0.11601032112783438</v>
      </c>
      <c r="N11" s="322">
        <v>1.1160103211278343</v>
      </c>
      <c r="O11" s="340">
        <f t="shared" si="3"/>
        <v>2</v>
      </c>
      <c r="P11" s="312" t="s">
        <v>1114</v>
      </c>
      <c r="Q11" s="341">
        <v>24000</v>
      </c>
      <c r="R11" s="342">
        <v>16143.502926000001</v>
      </c>
      <c r="S11" s="341">
        <v>2295.7406452682503</v>
      </c>
      <c r="T11" s="341">
        <v>3095.3806453055058</v>
      </c>
      <c r="U11" s="343">
        <v>4618</v>
      </c>
      <c r="V11" s="344">
        <v>2989</v>
      </c>
      <c r="W11" s="344">
        <v>2559</v>
      </c>
      <c r="X11" s="312"/>
      <c r="Y11" s="345">
        <f t="shared" si="4"/>
        <v>2309</v>
      </c>
      <c r="Z11" s="346">
        <f t="shared" si="5"/>
        <v>1754.8120037873975</v>
      </c>
      <c r="AA11" s="345">
        <f t="shared" si="6"/>
        <v>1494.5</v>
      </c>
      <c r="AB11" s="346">
        <f t="shared" si="7"/>
        <v>1135.8018794544244</v>
      </c>
      <c r="AC11" s="345">
        <f t="shared" si="8"/>
        <v>24000</v>
      </c>
      <c r="AD11" s="342">
        <f t="shared" si="9"/>
        <v>31579.451177901712</v>
      </c>
      <c r="AE11" s="347">
        <f t="shared" si="10"/>
        <v>2.6316209314918093</v>
      </c>
      <c r="AF11" s="347">
        <f t="shared" si="20"/>
        <v>10005.666666666664</v>
      </c>
      <c r="AG11" s="347">
        <f t="shared" si="11"/>
        <v>9714.25</v>
      </c>
      <c r="AH11" s="348">
        <f t="shared" si="0"/>
        <v>6632.5</v>
      </c>
      <c r="AI11" s="345">
        <f t="shared" si="12"/>
        <v>16638.166666666664</v>
      </c>
      <c r="AJ11" s="345">
        <f t="shared" si="13"/>
        <v>16346.75</v>
      </c>
      <c r="AK11" s="312" t="s">
        <v>1116</v>
      </c>
      <c r="AL11" s="349">
        <f t="shared" si="14"/>
        <v>16346.75</v>
      </c>
      <c r="AM11" s="349">
        <f t="shared" si="15"/>
        <v>5399</v>
      </c>
      <c r="AN11" s="350">
        <f t="shared" si="1"/>
        <v>802.5</v>
      </c>
      <c r="AO11" s="351">
        <f t="shared" si="16"/>
        <v>1346</v>
      </c>
      <c r="AP11" s="352">
        <f t="shared" si="17"/>
        <v>10947.75</v>
      </c>
      <c r="AQ11" s="349">
        <f t="shared" si="18"/>
        <v>15544.25</v>
      </c>
      <c r="AR11" s="353">
        <f t="shared" si="19"/>
        <v>14198.25</v>
      </c>
      <c r="AS11" s="312"/>
      <c r="AT11" s="312"/>
      <c r="AU11" s="354" t="s">
        <v>1117</v>
      </c>
      <c r="AV11" s="327" t="s">
        <v>1105</v>
      </c>
      <c r="AW11" s="327" t="s">
        <v>1105</v>
      </c>
      <c r="AX11" s="327" t="s">
        <v>1106</v>
      </c>
      <c r="AY11" s="312"/>
      <c r="AZ11" s="312"/>
    </row>
    <row r="12" spans="1:52" ht="14.25">
      <c r="A12" s="312"/>
      <c r="B12" s="334" t="s">
        <v>1118</v>
      </c>
      <c r="C12" s="335">
        <v>415.59762000000001</v>
      </c>
      <c r="D12" s="335">
        <v>501.31521277015111</v>
      </c>
      <c r="E12" s="335">
        <v>20052.608510806043</v>
      </c>
      <c r="F12" s="335">
        <v>26669.969319372038</v>
      </c>
      <c r="G12" s="336">
        <v>2.5</v>
      </c>
      <c r="H12" s="337">
        <f>70-23</f>
        <v>47</v>
      </c>
      <c r="I12" s="338">
        <f t="shared" si="2"/>
        <v>23561.815000197101</v>
      </c>
      <c r="J12" s="339"/>
      <c r="K12" s="335">
        <v>9864.6195200000002</v>
      </c>
      <c r="L12" s="335">
        <v>12427.8891</v>
      </c>
      <c r="M12" s="322">
        <v>0.20625140435152423</v>
      </c>
      <c r="N12" s="322">
        <v>1.2062514043515242</v>
      </c>
      <c r="O12" s="340">
        <f t="shared" si="3"/>
        <v>2.5</v>
      </c>
      <c r="P12" s="312" t="s">
        <v>1108</v>
      </c>
      <c r="Q12" s="341">
        <v>30000</v>
      </c>
      <c r="R12" s="342">
        <v>12108.490589000001</v>
      </c>
      <c r="S12" s="341">
        <v>1377.5426126752334</v>
      </c>
      <c r="T12" s="341">
        <v>1857.3608260789665</v>
      </c>
      <c r="U12" s="343">
        <v>1345</v>
      </c>
      <c r="V12" s="344">
        <v>1285</v>
      </c>
      <c r="W12" s="322"/>
      <c r="X12" s="312"/>
      <c r="Y12" s="345">
        <f t="shared" si="4"/>
        <v>538</v>
      </c>
      <c r="Z12" s="346">
        <f t="shared" si="5"/>
        <v>685.00665164653003</v>
      </c>
      <c r="AA12" s="345">
        <f t="shared" si="6"/>
        <v>514</v>
      </c>
      <c r="AB12" s="346">
        <f t="shared" si="7"/>
        <v>654.44873410095988</v>
      </c>
      <c r="AC12" s="345">
        <f t="shared" si="8"/>
        <v>30000</v>
      </c>
      <c r="AD12" s="342">
        <f t="shared" si="9"/>
        <v>23561.815000197101</v>
      </c>
      <c r="AE12" s="347">
        <f t="shared" si="10"/>
        <v>1.9634845833497585</v>
      </c>
      <c r="AF12" s="347">
        <f t="shared" si="20"/>
        <v>2914.1666666666674</v>
      </c>
      <c r="AG12" s="347">
        <f t="shared" si="11"/>
        <v>4176.25</v>
      </c>
      <c r="AH12" s="348">
        <f t="shared" si="0"/>
        <v>6975.75</v>
      </c>
      <c r="AI12" s="345">
        <f t="shared" si="12"/>
        <v>9889.9166666666679</v>
      </c>
      <c r="AJ12" s="345">
        <f t="shared" si="13"/>
        <v>11152</v>
      </c>
      <c r="AK12" s="312" t="s">
        <v>1118</v>
      </c>
      <c r="AL12" s="349">
        <f t="shared" si="14"/>
        <v>9889.9166666666679</v>
      </c>
      <c r="AM12" s="349">
        <f t="shared" si="15"/>
        <v>5701</v>
      </c>
      <c r="AN12" s="350">
        <f t="shared" si="1"/>
        <v>828.75</v>
      </c>
      <c r="AO12" s="351">
        <f t="shared" si="16"/>
        <v>1502</v>
      </c>
      <c r="AP12" s="352">
        <f t="shared" si="17"/>
        <v>4188.9166666666679</v>
      </c>
      <c r="AQ12" s="349">
        <f t="shared" si="18"/>
        <v>9061.1666666666679</v>
      </c>
      <c r="AR12" s="353">
        <f t="shared" si="19"/>
        <v>7559.1666666666679</v>
      </c>
      <c r="AS12" s="312"/>
      <c r="AT12" s="312"/>
      <c r="AU12" s="322"/>
      <c r="AV12" s="355" t="s">
        <v>1119</v>
      </c>
      <c r="AW12" s="355" t="s">
        <v>1120</v>
      </c>
      <c r="AX12" s="355" t="s">
        <v>1121</v>
      </c>
      <c r="AY12" s="356"/>
      <c r="AZ12" s="356"/>
    </row>
    <row r="13" spans="1:52" ht="14.25">
      <c r="A13" s="312"/>
      <c r="B13" s="334" t="s">
        <v>1040</v>
      </c>
      <c r="C13" s="335">
        <v>497.89774699999998</v>
      </c>
      <c r="D13" s="335">
        <v>603.1344363149542</v>
      </c>
      <c r="E13" s="335">
        <v>24125.377452598168</v>
      </c>
      <c r="F13" s="335">
        <v>32086.752011955567</v>
      </c>
      <c r="G13" s="336">
        <v>3</v>
      </c>
      <c r="H13" s="337">
        <f>70-23</f>
        <v>47</v>
      </c>
      <c r="I13" s="338">
        <f t="shared" si="2"/>
        <v>28347.318506802847</v>
      </c>
      <c r="J13" s="339"/>
      <c r="K13" s="335">
        <v>12697.717516000001</v>
      </c>
      <c r="L13" s="335">
        <v>16100.819828</v>
      </c>
      <c r="M13" s="322">
        <v>0.21136205164421884</v>
      </c>
      <c r="N13" s="322">
        <v>1.211362051644219</v>
      </c>
      <c r="O13" s="340">
        <f t="shared" si="3"/>
        <v>3</v>
      </c>
      <c r="P13" s="312" t="s">
        <v>1108</v>
      </c>
      <c r="Q13" s="341">
        <v>36000</v>
      </c>
      <c r="R13" s="342">
        <v>15726.993528999999</v>
      </c>
      <c r="S13" s="341">
        <v>1491.0063587354721</v>
      </c>
      <c r="T13" s="341">
        <v>2010.3456522276028</v>
      </c>
      <c r="U13" s="343">
        <v>1660</v>
      </c>
      <c r="V13" s="344">
        <v>1649</v>
      </c>
      <c r="W13" s="322"/>
      <c r="X13" s="312"/>
      <c r="Y13" s="345">
        <f t="shared" si="4"/>
        <v>553.33333333333337</v>
      </c>
      <c r="Z13" s="346">
        <f t="shared" si="5"/>
        <v>702.7119688664576</v>
      </c>
      <c r="AA13" s="345">
        <f t="shared" si="6"/>
        <v>549.66666666666674</v>
      </c>
      <c r="AB13" s="346">
        <f t="shared" si="7"/>
        <v>698.05544377155945</v>
      </c>
      <c r="AC13" s="345">
        <f t="shared" si="8"/>
        <v>36000</v>
      </c>
      <c r="AD13" s="342">
        <f t="shared" si="9"/>
        <v>28347.318506802847</v>
      </c>
      <c r="AE13" s="347">
        <f t="shared" si="10"/>
        <v>2.3622765422335705</v>
      </c>
      <c r="AF13" s="347">
        <f t="shared" si="20"/>
        <v>3596.6666666666665</v>
      </c>
      <c r="AG13" s="347">
        <f t="shared" si="11"/>
        <v>5359.25</v>
      </c>
      <c r="AH13" s="348">
        <f t="shared" si="0"/>
        <v>7319</v>
      </c>
      <c r="AI13" s="345">
        <f t="shared" si="12"/>
        <v>10915.666666666666</v>
      </c>
      <c r="AJ13" s="345">
        <f t="shared" si="13"/>
        <v>12678.25</v>
      </c>
      <c r="AK13" s="312" t="s">
        <v>1040</v>
      </c>
      <c r="AL13" s="349">
        <f t="shared" si="14"/>
        <v>10915.666666666666</v>
      </c>
      <c r="AM13" s="349">
        <f t="shared" si="15"/>
        <v>6003</v>
      </c>
      <c r="AN13" s="350">
        <f t="shared" si="1"/>
        <v>855</v>
      </c>
      <c r="AO13" s="351">
        <f t="shared" si="16"/>
        <v>1574.6666666666667</v>
      </c>
      <c r="AP13" s="352">
        <f t="shared" si="17"/>
        <v>4912.6666666666661</v>
      </c>
      <c r="AQ13" s="349">
        <f t="shared" si="18"/>
        <v>10060.666666666666</v>
      </c>
      <c r="AR13" s="353">
        <f t="shared" si="19"/>
        <v>8486</v>
      </c>
      <c r="AS13" s="312"/>
      <c r="AT13" s="312"/>
      <c r="AU13" s="322">
        <v>1568</v>
      </c>
      <c r="AV13" s="357">
        <v>8721.1666666666661</v>
      </c>
      <c r="AW13" s="357">
        <v>12145</v>
      </c>
      <c r="AX13" s="357">
        <v>16174.5</v>
      </c>
      <c r="AY13" s="358"/>
      <c r="AZ13" s="356"/>
    </row>
    <row r="14" spans="1:52" ht="14.25">
      <c r="A14" s="312"/>
      <c r="B14" s="334" t="s">
        <v>1122</v>
      </c>
      <c r="C14" s="335">
        <v>410.32125000000002</v>
      </c>
      <c r="D14" s="335">
        <v>506.04918117607468</v>
      </c>
      <c r="E14" s="335">
        <v>20241.967247042987</v>
      </c>
      <c r="F14" s="335">
        <v>26921.816438567173</v>
      </c>
      <c r="G14" s="336">
        <v>2.5</v>
      </c>
      <c r="H14" s="337">
        <f>70-7</f>
        <v>63</v>
      </c>
      <c r="I14" s="338">
        <f t="shared" si="2"/>
        <v>31881.098414092707</v>
      </c>
      <c r="J14" s="339"/>
      <c r="K14" s="335">
        <v>13465.993951</v>
      </c>
      <c r="L14" s="335">
        <v>17563.575384</v>
      </c>
      <c r="M14" s="322">
        <v>0.2332999599120803</v>
      </c>
      <c r="N14" s="322">
        <v>1.2332999599120802</v>
      </c>
      <c r="O14" s="340">
        <f t="shared" si="3"/>
        <v>2.5</v>
      </c>
      <c r="P14" s="312" t="s">
        <v>1111</v>
      </c>
      <c r="Q14" s="341">
        <v>30000</v>
      </c>
      <c r="R14" s="342">
        <v>16301.973324999999</v>
      </c>
      <c r="S14" s="341">
        <v>1854.6211652741665</v>
      </c>
      <c r="T14" s="341">
        <v>2500.6128071112357</v>
      </c>
      <c r="U14" s="343">
        <v>3226</v>
      </c>
      <c r="V14" s="344">
        <v>2225</v>
      </c>
      <c r="W14" s="322"/>
      <c r="X14" s="312"/>
      <c r="Y14" s="345">
        <f t="shared" si="4"/>
        <v>1290.3999999999999</v>
      </c>
      <c r="Z14" s="346">
        <f t="shared" si="5"/>
        <v>1214.2618016852193</v>
      </c>
      <c r="AA14" s="345">
        <f t="shared" si="6"/>
        <v>890.00000000000011</v>
      </c>
      <c r="AB14" s="346">
        <f t="shared" si="7"/>
        <v>837.48682850266982</v>
      </c>
      <c r="AC14" s="345">
        <f t="shared" si="8"/>
        <v>30000</v>
      </c>
      <c r="AD14" s="342">
        <f t="shared" si="9"/>
        <v>31881.098414092707</v>
      </c>
      <c r="AE14" s="347">
        <f t="shared" si="10"/>
        <v>2.6567582011743922</v>
      </c>
      <c r="AF14" s="347">
        <f t="shared" si="20"/>
        <v>6989.666666666667</v>
      </c>
      <c r="AG14" s="347">
        <f t="shared" si="11"/>
        <v>7231.2500000000009</v>
      </c>
      <c r="AH14" s="348">
        <f t="shared" si="0"/>
        <v>6975.75</v>
      </c>
      <c r="AI14" s="345">
        <f t="shared" si="12"/>
        <v>13965.416666666668</v>
      </c>
      <c r="AJ14" s="345">
        <f t="shared" si="13"/>
        <v>14207</v>
      </c>
      <c r="AK14" s="312" t="s">
        <v>1122</v>
      </c>
      <c r="AL14" s="349">
        <f t="shared" si="14"/>
        <v>13965.416666666668</v>
      </c>
      <c r="AM14" s="349">
        <f t="shared" si="15"/>
        <v>5701</v>
      </c>
      <c r="AN14" s="350">
        <f t="shared" si="1"/>
        <v>828.75</v>
      </c>
      <c r="AO14" s="351">
        <f t="shared" si="16"/>
        <v>1502</v>
      </c>
      <c r="AP14" s="352">
        <f t="shared" si="17"/>
        <v>8264.4166666666679</v>
      </c>
      <c r="AQ14" s="349">
        <f t="shared" si="18"/>
        <v>13136.666666666668</v>
      </c>
      <c r="AR14" s="353">
        <f t="shared" si="19"/>
        <v>11634.666666666668</v>
      </c>
      <c r="AS14" s="312"/>
      <c r="AT14" s="312"/>
      <c r="AU14" s="322">
        <v>2200</v>
      </c>
      <c r="AV14" s="357">
        <v>9890</v>
      </c>
      <c r="AW14" s="357">
        <v>13965</v>
      </c>
      <c r="AX14" s="357">
        <v>19095</v>
      </c>
      <c r="AY14" s="358"/>
      <c r="AZ14" s="356"/>
    </row>
    <row r="15" spans="1:52" ht="14.25">
      <c r="A15" s="312"/>
      <c r="B15" s="334" t="s">
        <v>1041</v>
      </c>
      <c r="C15" s="335">
        <v>491.730007</v>
      </c>
      <c r="D15" s="335">
        <v>609.47322202006535</v>
      </c>
      <c r="E15" s="335">
        <v>24378.928880802614</v>
      </c>
      <c r="F15" s="335">
        <v>32423.97541146748</v>
      </c>
      <c r="G15" s="336">
        <v>3</v>
      </c>
      <c r="H15" s="337">
        <f>70-7</f>
        <v>63</v>
      </c>
      <c r="I15" s="338">
        <f t="shared" si="2"/>
        <v>38396.812987264115</v>
      </c>
      <c r="J15" s="339"/>
      <c r="K15" s="335">
        <v>17035.852105000002</v>
      </c>
      <c r="L15" s="335">
        <v>22399.292848000001</v>
      </c>
      <c r="M15" s="322">
        <v>0.23944687805083509</v>
      </c>
      <c r="N15" s="322">
        <v>1.2394468780508352</v>
      </c>
      <c r="O15" s="340">
        <f t="shared" si="3"/>
        <v>3</v>
      </c>
      <c r="P15" s="312" t="s">
        <v>1111</v>
      </c>
      <c r="Q15" s="341">
        <v>36000</v>
      </c>
      <c r="R15" s="342">
        <v>20902.013191000002</v>
      </c>
      <c r="S15" s="341">
        <v>1981.6269728023058</v>
      </c>
      <c r="T15" s="341">
        <v>2671.856592542435</v>
      </c>
      <c r="U15" s="343">
        <v>3962</v>
      </c>
      <c r="V15" s="344">
        <v>3080</v>
      </c>
      <c r="W15" s="322"/>
      <c r="X15" s="312"/>
      <c r="Y15" s="345">
        <f t="shared" si="4"/>
        <v>1320.6666666666667</v>
      </c>
      <c r="Z15" s="346">
        <f t="shared" si="5"/>
        <v>1238.2277668662221</v>
      </c>
      <c r="AA15" s="345">
        <f t="shared" si="6"/>
        <v>1026.6666666666665</v>
      </c>
      <c r="AB15" s="346">
        <f t="shared" si="7"/>
        <v>962.57988943663918</v>
      </c>
      <c r="AC15" s="345">
        <f t="shared" si="8"/>
        <v>36000</v>
      </c>
      <c r="AD15" s="342">
        <f t="shared" si="9"/>
        <v>38396.812987264115</v>
      </c>
      <c r="AE15" s="347">
        <f t="shared" si="10"/>
        <v>3.1997344156053429</v>
      </c>
      <c r="AF15" s="347">
        <f t="shared" si="20"/>
        <v>8584.3333333333339</v>
      </c>
      <c r="AG15" s="347">
        <f t="shared" si="11"/>
        <v>10010</v>
      </c>
      <c r="AH15" s="348">
        <f t="shared" si="0"/>
        <v>7319</v>
      </c>
      <c r="AI15" s="345">
        <f t="shared" si="12"/>
        <v>15903.333333333334</v>
      </c>
      <c r="AJ15" s="345">
        <f t="shared" si="13"/>
        <v>17329</v>
      </c>
      <c r="AK15" s="312" t="s">
        <v>1041</v>
      </c>
      <c r="AL15" s="349">
        <f t="shared" si="14"/>
        <v>15903.333333333334</v>
      </c>
      <c r="AM15" s="349">
        <f t="shared" si="15"/>
        <v>6003</v>
      </c>
      <c r="AN15" s="350">
        <f t="shared" si="1"/>
        <v>855</v>
      </c>
      <c r="AO15" s="351">
        <f t="shared" si="16"/>
        <v>1574.6666666666667</v>
      </c>
      <c r="AP15" s="352">
        <f t="shared" si="17"/>
        <v>9900.3333333333339</v>
      </c>
      <c r="AQ15" s="349">
        <f t="shared" si="18"/>
        <v>15048.333333333334</v>
      </c>
      <c r="AR15" s="353">
        <f t="shared" si="19"/>
        <v>13473.666666666668</v>
      </c>
      <c r="AS15" s="312"/>
      <c r="AT15" s="312"/>
      <c r="AU15" s="322">
        <v>2688</v>
      </c>
      <c r="AV15" s="357">
        <v>9821</v>
      </c>
      <c r="AW15" s="357">
        <v>13831</v>
      </c>
      <c r="AX15" s="357">
        <v>18822</v>
      </c>
      <c r="AY15" s="358"/>
      <c r="AZ15" s="356"/>
    </row>
    <row r="16" spans="1:52" ht="14.25">
      <c r="A16" s="312"/>
      <c r="B16" s="334" t="s">
        <v>1123</v>
      </c>
      <c r="C16" s="335">
        <v>408.55935199999999</v>
      </c>
      <c r="D16" s="335">
        <v>507.81010674351722</v>
      </c>
      <c r="E16" s="335">
        <v>20312.404269740688</v>
      </c>
      <c r="F16" s="335">
        <v>27015.497678755117</v>
      </c>
      <c r="G16" s="336">
        <v>2.5</v>
      </c>
      <c r="H16" s="337">
        <f>70--3</f>
        <v>73</v>
      </c>
      <c r="I16" s="338">
        <f t="shared" si="2"/>
        <v>37070.137792276757</v>
      </c>
      <c r="J16" s="339">
        <f>I16/12000</f>
        <v>3.0891781493563966</v>
      </c>
      <c r="K16" s="335">
        <v>16548.959669</v>
      </c>
      <c r="L16" s="335">
        <v>21859.179791999999</v>
      </c>
      <c r="M16" s="322">
        <v>0.24292860818791695</v>
      </c>
      <c r="N16" s="322">
        <v>1.242928608187917</v>
      </c>
      <c r="O16" s="340">
        <f t="shared" si="3"/>
        <v>2.5</v>
      </c>
      <c r="P16" s="312" t="s">
        <v>1114</v>
      </c>
      <c r="Q16" s="341">
        <v>30000</v>
      </c>
      <c r="R16" s="342">
        <v>18750.544597</v>
      </c>
      <c r="S16" s="341">
        <v>2133.1869569853666</v>
      </c>
      <c r="T16" s="341">
        <v>2876.2071330139775</v>
      </c>
      <c r="U16" s="343">
        <v>5791</v>
      </c>
      <c r="V16" s="344">
        <v>3729</v>
      </c>
      <c r="W16" s="322"/>
      <c r="X16" s="312"/>
      <c r="Y16" s="345">
        <f t="shared" si="4"/>
        <v>2316.4</v>
      </c>
      <c r="Z16" s="346">
        <f t="shared" si="5"/>
        <v>1874.6086240466595</v>
      </c>
      <c r="AA16" s="345">
        <f t="shared" si="6"/>
        <v>1491.6</v>
      </c>
      <c r="AB16" s="346">
        <f t="shared" si="7"/>
        <v>1207.1171747660151</v>
      </c>
      <c r="AC16" s="345">
        <f t="shared" si="8"/>
        <v>30000</v>
      </c>
      <c r="AD16" s="342">
        <f t="shared" si="9"/>
        <v>37070.137792276757</v>
      </c>
      <c r="AE16" s="347">
        <f t="shared" si="10"/>
        <v>3.0891781493563966</v>
      </c>
      <c r="AF16" s="347">
        <f t="shared" si="20"/>
        <v>12547.16666666667</v>
      </c>
      <c r="AG16" s="347">
        <f t="shared" si="11"/>
        <v>12119.250000000002</v>
      </c>
      <c r="AH16" s="348">
        <f t="shared" si="0"/>
        <v>6975.75</v>
      </c>
      <c r="AI16" s="345">
        <f t="shared" si="12"/>
        <v>19522.916666666672</v>
      </c>
      <c r="AJ16" s="345">
        <f t="shared" si="13"/>
        <v>19095</v>
      </c>
      <c r="AK16" s="312" t="s">
        <v>1123</v>
      </c>
      <c r="AL16" s="349">
        <f t="shared" si="14"/>
        <v>19095</v>
      </c>
      <c r="AM16" s="349">
        <f t="shared" si="15"/>
        <v>5701</v>
      </c>
      <c r="AN16" s="350">
        <f t="shared" si="1"/>
        <v>828.75</v>
      </c>
      <c r="AO16" s="351">
        <f t="shared" si="16"/>
        <v>1502</v>
      </c>
      <c r="AP16" s="352">
        <f t="shared" si="17"/>
        <v>13394</v>
      </c>
      <c r="AQ16" s="349">
        <f t="shared" si="18"/>
        <v>18266.25</v>
      </c>
      <c r="AR16" s="353">
        <f t="shared" si="19"/>
        <v>16764.25</v>
      </c>
      <c r="AS16" s="312"/>
      <c r="AT16" s="312"/>
      <c r="AU16" s="322">
        <v>5000</v>
      </c>
      <c r="AV16" s="357">
        <v>12094</v>
      </c>
      <c r="AW16" s="357">
        <v>17810</v>
      </c>
      <c r="AX16" s="357">
        <v>25150</v>
      </c>
      <c r="AY16" s="358"/>
      <c r="AZ16" s="356"/>
    </row>
    <row r="17" spans="2:58" ht="14.25">
      <c r="B17" s="334" t="s">
        <v>1042</v>
      </c>
      <c r="C17" s="335">
        <v>489.670277</v>
      </c>
      <c r="D17" s="335">
        <v>611.86929282372489</v>
      </c>
      <c r="E17" s="335">
        <v>24474.771712948997</v>
      </c>
      <c r="F17" s="335">
        <v>32551.446378222168</v>
      </c>
      <c r="G17" s="336">
        <v>3</v>
      </c>
      <c r="H17" s="337">
        <f>70--3</f>
        <v>73</v>
      </c>
      <c r="I17" s="338">
        <f t="shared" si="2"/>
        <v>44666.458376131915</v>
      </c>
      <c r="J17" s="339">
        <f>J16*1260</f>
        <v>3892.3644681890596</v>
      </c>
      <c r="K17" s="335">
        <v>20788.891575000001</v>
      </c>
      <c r="L17" s="335">
        <v>27702.036517</v>
      </c>
      <c r="M17" s="322">
        <v>0.24955367226368308</v>
      </c>
      <c r="N17" s="322">
        <v>1.2495536722636831</v>
      </c>
      <c r="O17" s="340">
        <f>Q17/12000</f>
        <v>3</v>
      </c>
      <c r="P17" s="312" t="s">
        <v>1114</v>
      </c>
      <c r="Q17" s="341">
        <v>36000</v>
      </c>
      <c r="R17" s="342">
        <v>23985.798833000001</v>
      </c>
      <c r="S17" s="341">
        <v>2273.9869838063614</v>
      </c>
      <c r="T17" s="341">
        <v>3066.0498658063298</v>
      </c>
      <c r="U17" s="343">
        <v>7112</v>
      </c>
      <c r="V17" s="344">
        <v>4606</v>
      </c>
      <c r="W17" s="322"/>
      <c r="X17" s="312"/>
      <c r="Y17" s="345">
        <f t="shared" si="4"/>
        <v>2370.666666666667</v>
      </c>
      <c r="Z17" s="346">
        <f t="shared" si="5"/>
        <v>1910.6954771593137</v>
      </c>
      <c r="AA17" s="345">
        <f t="shared" si="6"/>
        <v>1535.3333333333333</v>
      </c>
      <c r="AB17" s="346">
        <f t="shared" si="7"/>
        <v>1237.4386062705005</v>
      </c>
      <c r="AC17" s="345">
        <f t="shared" si="8"/>
        <v>36000</v>
      </c>
      <c r="AD17" s="342">
        <f t="shared" si="9"/>
        <v>44666.458376131915</v>
      </c>
      <c r="AE17" s="347">
        <f t="shared" si="10"/>
        <v>3.7222048646776598</v>
      </c>
      <c r="AF17" s="347">
        <f t="shared" si="20"/>
        <v>15409.333333333334</v>
      </c>
      <c r="AG17" s="347">
        <f t="shared" si="11"/>
        <v>14969.5</v>
      </c>
      <c r="AH17" s="348">
        <f t="shared" si="0"/>
        <v>7319</v>
      </c>
      <c r="AI17" s="345">
        <f t="shared" si="12"/>
        <v>22728.333333333336</v>
      </c>
      <c r="AJ17" s="345">
        <f t="shared" si="13"/>
        <v>22288.5</v>
      </c>
      <c r="AK17" s="312" t="s">
        <v>1042</v>
      </c>
      <c r="AL17" s="349">
        <f t="shared" si="14"/>
        <v>22288.5</v>
      </c>
      <c r="AM17" s="349">
        <f t="shared" si="15"/>
        <v>6003</v>
      </c>
      <c r="AN17" s="350">
        <f t="shared" si="1"/>
        <v>855</v>
      </c>
      <c r="AO17" s="351">
        <f t="shared" si="16"/>
        <v>1574.6666666666667</v>
      </c>
      <c r="AP17" s="352">
        <f t="shared" si="17"/>
        <v>16285.5</v>
      </c>
      <c r="AQ17" s="349">
        <f t="shared" si="18"/>
        <v>21433.5</v>
      </c>
      <c r="AR17" s="353">
        <f t="shared" si="19"/>
        <v>19858.833333333332</v>
      </c>
      <c r="AS17" s="312"/>
      <c r="AT17" s="312"/>
      <c r="AU17" s="312"/>
      <c r="AV17" s="312"/>
      <c r="AW17" s="312"/>
      <c r="AX17" s="312"/>
      <c r="AY17" s="356"/>
      <c r="AZ17" s="356"/>
      <c r="BA17" s="312"/>
      <c r="BB17" s="312"/>
      <c r="BC17" s="312"/>
      <c r="BD17" s="312"/>
      <c r="BE17" s="312"/>
      <c r="BF17" s="312"/>
    </row>
    <row r="18" spans="2:58" ht="14.25">
      <c r="B18" s="334" t="s">
        <v>1124</v>
      </c>
      <c r="C18" s="335">
        <v>448.51505700000001</v>
      </c>
      <c r="D18" s="335">
        <v>457.57584720998227</v>
      </c>
      <c r="E18" s="335">
        <v>18303.033888399292</v>
      </c>
      <c r="F18" s="335">
        <v>24343.035071571059</v>
      </c>
      <c r="G18" s="336">
        <v>2.5</v>
      </c>
      <c r="H18" s="337">
        <f>70-23</f>
        <v>47</v>
      </c>
      <c r="I18" s="338">
        <f t="shared" si="2"/>
        <v>21506.064818869167</v>
      </c>
      <c r="J18" s="339"/>
      <c r="K18" s="335">
        <v>10143.583461</v>
      </c>
      <c r="L18" s="335">
        <v>10352.726683999999</v>
      </c>
      <c r="M18" s="322">
        <v>2.0201752580141785E-2</v>
      </c>
      <c r="N18" s="322">
        <v>1.0202017525801419</v>
      </c>
      <c r="O18" s="340">
        <f t="shared" si="3"/>
        <v>2.5</v>
      </c>
      <c r="P18" s="312" t="s">
        <v>1108</v>
      </c>
      <c r="Q18" s="341">
        <v>30000</v>
      </c>
      <c r="R18" s="342">
        <v>10224.377402999999</v>
      </c>
      <c r="S18" s="341">
        <v>1163.1933358812998</v>
      </c>
      <c r="T18" s="341">
        <v>1568.3505652332133</v>
      </c>
      <c r="U18" s="343">
        <v>1313</v>
      </c>
      <c r="V18" s="344">
        <v>1276</v>
      </c>
      <c r="W18" s="322"/>
      <c r="X18" s="312"/>
      <c r="Y18" s="345">
        <f t="shared" si="4"/>
        <v>525.20000000000005</v>
      </c>
      <c r="Z18" s="346">
        <f t="shared" si="5"/>
        <v>732.63054550899858</v>
      </c>
      <c r="AA18" s="345">
        <f t="shared" si="6"/>
        <v>510.4</v>
      </c>
      <c r="AB18" s="346">
        <f t="shared" si="7"/>
        <v>711.98520645048143</v>
      </c>
      <c r="AC18" s="345">
        <f t="shared" si="8"/>
        <v>30000</v>
      </c>
      <c r="AD18" s="342">
        <f t="shared" si="9"/>
        <v>21506.064818869167</v>
      </c>
      <c r="AE18" s="347">
        <f t="shared" si="10"/>
        <v>1.7921720682390971</v>
      </c>
      <c r="AF18" s="347">
        <f t="shared" si="20"/>
        <v>2844.8333333333335</v>
      </c>
      <c r="AG18" s="347">
        <f t="shared" si="11"/>
        <v>4147</v>
      </c>
      <c r="AH18" s="348">
        <f t="shared" si="0"/>
        <v>6975.75</v>
      </c>
      <c r="AI18" s="345">
        <f t="shared" si="12"/>
        <v>9820.5833333333339</v>
      </c>
      <c r="AJ18" s="345">
        <f t="shared" si="13"/>
        <v>11122.75</v>
      </c>
      <c r="AK18" s="312" t="s">
        <v>1124</v>
      </c>
      <c r="AL18" s="349">
        <f t="shared" si="14"/>
        <v>9820.5833333333339</v>
      </c>
      <c r="AM18" s="349">
        <f t="shared" si="15"/>
        <v>5701</v>
      </c>
      <c r="AN18" s="350">
        <f t="shared" si="1"/>
        <v>828.75</v>
      </c>
      <c r="AO18" s="351">
        <f t="shared" si="16"/>
        <v>1502</v>
      </c>
      <c r="AP18" s="352">
        <f t="shared" si="17"/>
        <v>4119.5833333333339</v>
      </c>
      <c r="AQ18" s="349">
        <f t="shared" si="18"/>
        <v>8991.8333333333339</v>
      </c>
      <c r="AR18" s="353">
        <f t="shared" si="19"/>
        <v>7489.8333333333339</v>
      </c>
      <c r="AS18" s="312"/>
      <c r="AT18" s="312"/>
      <c r="AU18" s="312"/>
      <c r="AV18" s="312"/>
      <c r="AW18" s="312"/>
      <c r="AX18" s="312"/>
      <c r="AY18" s="356"/>
      <c r="AZ18" s="356"/>
      <c r="BA18" s="312"/>
      <c r="BB18" s="312"/>
      <c r="BC18" s="312"/>
      <c r="BD18" s="327"/>
      <c r="BE18" s="320"/>
      <c r="BF18" s="312"/>
    </row>
    <row r="19" spans="2:58" ht="14.25">
      <c r="B19" s="334" t="s">
        <v>1125</v>
      </c>
      <c r="C19" s="335">
        <v>503.65335299999998</v>
      </c>
      <c r="D19" s="335">
        <v>515.3020809307535</v>
      </c>
      <c r="E19" s="335">
        <v>20612.083237230141</v>
      </c>
      <c r="F19" s="335">
        <v>27414.070705516089</v>
      </c>
      <c r="G19" s="336">
        <v>2.5</v>
      </c>
      <c r="H19" s="337">
        <f>70-23</f>
        <v>47</v>
      </c>
      <c r="I19" s="338">
        <f t="shared" si="2"/>
        <v>24219.197803745414</v>
      </c>
      <c r="J19" s="339"/>
      <c r="K19" s="335">
        <v>12097.948985000001</v>
      </c>
      <c r="L19" s="335">
        <v>12384.380675</v>
      </c>
      <c r="M19" s="322">
        <v>2.3128462982263676E-2</v>
      </c>
      <c r="N19" s="322">
        <v>1.0231284629822637</v>
      </c>
      <c r="O19" s="340">
        <f t="shared" si="3"/>
        <v>2.5</v>
      </c>
      <c r="P19" s="312" t="s">
        <v>1108</v>
      </c>
      <c r="Q19" s="341">
        <v>30000</v>
      </c>
      <c r="R19" s="342">
        <v>12195.451618000001</v>
      </c>
      <c r="S19" s="341">
        <v>1387.4358790744668</v>
      </c>
      <c r="T19" s="341">
        <v>1870.7000616734383</v>
      </c>
      <c r="U19" s="343">
        <v>1346</v>
      </c>
      <c r="V19" s="344">
        <v>1328</v>
      </c>
      <c r="W19" s="322"/>
      <c r="X19" s="312"/>
      <c r="Y19" s="345">
        <f t="shared" si="4"/>
        <v>538.4</v>
      </c>
      <c r="Z19" s="346">
        <f t="shared" si="5"/>
        <v>666.90895920186711</v>
      </c>
      <c r="AA19" s="345">
        <f t="shared" si="6"/>
        <v>531.20000000000005</v>
      </c>
      <c r="AB19" s="346">
        <f t="shared" si="7"/>
        <v>657.99041442799376</v>
      </c>
      <c r="AC19" s="345">
        <f t="shared" si="8"/>
        <v>30000</v>
      </c>
      <c r="AD19" s="342">
        <f t="shared" si="9"/>
        <v>24219.197803745414</v>
      </c>
      <c r="AE19" s="347">
        <f t="shared" si="10"/>
        <v>2.0182664836454514</v>
      </c>
      <c r="AF19" s="347">
        <f t="shared" si="20"/>
        <v>2916.333333333333</v>
      </c>
      <c r="AG19" s="347">
        <f t="shared" si="11"/>
        <v>4316.0000000000009</v>
      </c>
      <c r="AH19" s="348">
        <f t="shared" si="0"/>
        <v>6975.75</v>
      </c>
      <c r="AI19" s="345">
        <f t="shared" si="12"/>
        <v>9892.0833333333321</v>
      </c>
      <c r="AJ19" s="345">
        <f t="shared" si="13"/>
        <v>11291.75</v>
      </c>
      <c r="AK19" s="312" t="s">
        <v>1125</v>
      </c>
      <c r="AL19" s="349">
        <f t="shared" si="14"/>
        <v>9892.0833333333321</v>
      </c>
      <c r="AM19" s="349">
        <f t="shared" si="15"/>
        <v>5701</v>
      </c>
      <c r="AN19" s="350">
        <f t="shared" si="1"/>
        <v>828.75</v>
      </c>
      <c r="AO19" s="351">
        <f t="shared" si="16"/>
        <v>1502</v>
      </c>
      <c r="AP19" s="352">
        <f t="shared" si="17"/>
        <v>4191.0833333333321</v>
      </c>
      <c r="AQ19" s="349">
        <f t="shared" si="18"/>
        <v>9063.3333333333321</v>
      </c>
      <c r="AR19" s="353">
        <f t="shared" si="19"/>
        <v>7561.3333333333321</v>
      </c>
      <c r="AS19" s="312"/>
      <c r="AT19" s="312"/>
      <c r="AU19" s="354"/>
      <c r="AV19" s="359" t="s">
        <v>977</v>
      </c>
      <c r="AW19" s="355" t="s">
        <v>227</v>
      </c>
      <c r="AX19" s="359" t="s">
        <v>977</v>
      </c>
      <c r="AY19" s="355" t="s">
        <v>227</v>
      </c>
      <c r="AZ19" s="359" t="s">
        <v>977</v>
      </c>
      <c r="BA19" s="355" t="s">
        <v>227</v>
      </c>
      <c r="BB19" s="312"/>
      <c r="BC19" s="355">
        <v>1568</v>
      </c>
      <c r="BD19" s="327"/>
      <c r="BE19" s="360"/>
      <c r="BF19" s="312"/>
    </row>
    <row r="20" spans="2:58" ht="14.25">
      <c r="B20" s="334" t="s">
        <v>1126</v>
      </c>
      <c r="C20" s="335">
        <v>442.21446300000002</v>
      </c>
      <c r="D20" s="335">
        <v>453.24702710082863</v>
      </c>
      <c r="E20" s="335">
        <v>18129.881084033146</v>
      </c>
      <c r="F20" s="335">
        <v>24112.741841764087</v>
      </c>
      <c r="G20" s="336">
        <v>2.5</v>
      </c>
      <c r="H20" s="337">
        <f>70-7</f>
        <v>63</v>
      </c>
      <c r="I20" s="338">
        <f t="shared" si="2"/>
        <v>28554.562707352205</v>
      </c>
      <c r="J20" s="339"/>
      <c r="K20" s="335">
        <v>13945.522629999999</v>
      </c>
      <c r="L20" s="335">
        <v>14302.343899</v>
      </c>
      <c r="M20" s="322">
        <v>2.4948447018180553E-2</v>
      </c>
      <c r="N20" s="322">
        <v>1.0249484470181804</v>
      </c>
      <c r="O20" s="340">
        <f t="shared" si="3"/>
        <v>2.5</v>
      </c>
      <c r="P20" s="312" t="s">
        <v>1111</v>
      </c>
      <c r="Q20" s="341">
        <v>30000</v>
      </c>
      <c r="R20" s="342">
        <v>13791.426801</v>
      </c>
      <c r="S20" s="341">
        <v>1569.0046557270998</v>
      </c>
      <c r="T20" s="341">
        <v>2115.5118953623819</v>
      </c>
      <c r="U20" s="343">
        <v>3164</v>
      </c>
      <c r="V20" s="344">
        <v>2412</v>
      </c>
      <c r="W20" s="322"/>
      <c r="X20" s="312"/>
      <c r="Y20" s="345">
        <f t="shared" si="4"/>
        <v>1265.5999999999999</v>
      </c>
      <c r="Z20" s="346">
        <f t="shared" si="5"/>
        <v>1329.6649081662888</v>
      </c>
      <c r="AA20" s="345">
        <f t="shared" si="6"/>
        <v>964.8</v>
      </c>
      <c r="AB20" s="346">
        <f t="shared" si="7"/>
        <v>1013.6383560357422</v>
      </c>
      <c r="AC20" s="345">
        <f t="shared" si="8"/>
        <v>30000</v>
      </c>
      <c r="AD20" s="342">
        <f t="shared" si="9"/>
        <v>28554.562707352205</v>
      </c>
      <c r="AE20" s="347">
        <f t="shared" si="10"/>
        <v>2.3795468922793503</v>
      </c>
      <c r="AF20" s="347">
        <f t="shared" si="20"/>
        <v>6855.3333333333348</v>
      </c>
      <c r="AG20" s="347">
        <f t="shared" si="11"/>
        <v>7838.9999999999982</v>
      </c>
      <c r="AH20" s="348">
        <f t="shared" si="0"/>
        <v>6975.75</v>
      </c>
      <c r="AI20" s="345">
        <f t="shared" si="12"/>
        <v>13831.083333333336</v>
      </c>
      <c r="AJ20" s="345">
        <f t="shared" si="13"/>
        <v>14814.749999999998</v>
      </c>
      <c r="AK20" s="312" t="s">
        <v>1126</v>
      </c>
      <c r="AL20" s="349">
        <f t="shared" si="14"/>
        <v>13831.083333333336</v>
      </c>
      <c r="AM20" s="349">
        <f t="shared" si="15"/>
        <v>5701</v>
      </c>
      <c r="AN20" s="350">
        <f t="shared" si="1"/>
        <v>828.75</v>
      </c>
      <c r="AO20" s="351">
        <f t="shared" si="16"/>
        <v>1502</v>
      </c>
      <c r="AP20" s="352">
        <f t="shared" si="17"/>
        <v>8130.0833333333358</v>
      </c>
      <c r="AQ20" s="349">
        <f t="shared" si="18"/>
        <v>13002.333333333336</v>
      </c>
      <c r="AR20" s="353">
        <f t="shared" si="19"/>
        <v>11500.333333333336</v>
      </c>
      <c r="AS20" s="312"/>
      <c r="AT20" s="312"/>
      <c r="AU20" s="322"/>
      <c r="AV20" s="359" t="s">
        <v>1119</v>
      </c>
      <c r="AW20" s="355" t="s">
        <v>1119</v>
      </c>
      <c r="AX20" s="359" t="s">
        <v>1120</v>
      </c>
      <c r="AY20" s="355" t="s">
        <v>1120</v>
      </c>
      <c r="AZ20" s="359" t="s">
        <v>1121</v>
      </c>
      <c r="BA20" s="355" t="s">
        <v>1121</v>
      </c>
      <c r="BB20" s="312"/>
      <c r="BC20" s="322"/>
      <c r="BD20" s="327"/>
      <c r="BE20" s="360"/>
      <c r="BF20" s="312"/>
    </row>
    <row r="21" spans="2:58" ht="14.25">
      <c r="B21" s="334" t="s">
        <v>1127</v>
      </c>
      <c r="C21" s="335">
        <v>496.30289699999997</v>
      </c>
      <c r="D21" s="335">
        <v>510.4440314687447</v>
      </c>
      <c r="E21" s="335">
        <v>20417.761258749786</v>
      </c>
      <c r="F21" s="335">
        <v>27155.622474137217</v>
      </c>
      <c r="G21" s="336">
        <v>2.5</v>
      </c>
      <c r="H21" s="337">
        <f>70-7</f>
        <v>63</v>
      </c>
      <c r="I21" s="338">
        <f t="shared" si="2"/>
        <v>32157.973982530915</v>
      </c>
      <c r="J21" s="339"/>
      <c r="K21" s="335">
        <v>16400.802013</v>
      </c>
      <c r="L21" s="335">
        <v>16881.814745</v>
      </c>
      <c r="M21" s="322">
        <v>2.8492951691847179E-2</v>
      </c>
      <c r="N21" s="322">
        <v>1.0284929516918471</v>
      </c>
      <c r="O21" s="340">
        <f t="shared" si="3"/>
        <v>2.5</v>
      </c>
      <c r="P21" s="312" t="s">
        <v>1111</v>
      </c>
      <c r="Q21" s="341">
        <v>30000</v>
      </c>
      <c r="R21" s="342">
        <v>16125.457412</v>
      </c>
      <c r="S21" s="341">
        <v>1834.5395382385334</v>
      </c>
      <c r="T21" s="341">
        <v>2473.5364560519552</v>
      </c>
      <c r="U21" s="343">
        <v>3222</v>
      </c>
      <c r="V21" s="344">
        <v>2488</v>
      </c>
      <c r="W21" s="322"/>
      <c r="X21" s="312"/>
      <c r="Y21" s="345">
        <f t="shared" si="4"/>
        <v>1288.8</v>
      </c>
      <c r="Z21" s="346">
        <f t="shared" si="5"/>
        <v>1202.3145494490211</v>
      </c>
      <c r="AA21" s="345">
        <f t="shared" si="6"/>
        <v>995.19999999999993</v>
      </c>
      <c r="AB21" s="346">
        <f t="shared" si="7"/>
        <v>928.41669740197528</v>
      </c>
      <c r="AC21" s="345">
        <f t="shared" si="8"/>
        <v>30000</v>
      </c>
      <c r="AD21" s="342">
        <f t="shared" si="9"/>
        <v>32157.973982530915</v>
      </c>
      <c r="AE21" s="347">
        <f t="shared" si="10"/>
        <v>2.6798311652109095</v>
      </c>
      <c r="AF21" s="347">
        <f t="shared" si="20"/>
        <v>6981</v>
      </c>
      <c r="AG21" s="347">
        <f t="shared" si="11"/>
        <v>8085.9999999999991</v>
      </c>
      <c r="AH21" s="348">
        <f t="shared" si="0"/>
        <v>6975.75</v>
      </c>
      <c r="AI21" s="345">
        <f t="shared" si="12"/>
        <v>13956.75</v>
      </c>
      <c r="AJ21" s="345">
        <f t="shared" si="13"/>
        <v>15061.75</v>
      </c>
      <c r="AK21" s="312" t="s">
        <v>1127</v>
      </c>
      <c r="AL21" s="349">
        <f t="shared" si="14"/>
        <v>13956.75</v>
      </c>
      <c r="AM21" s="349">
        <f t="shared" si="15"/>
        <v>5701</v>
      </c>
      <c r="AN21" s="350">
        <f t="shared" si="1"/>
        <v>828.75</v>
      </c>
      <c r="AO21" s="351">
        <f t="shared" si="16"/>
        <v>1502</v>
      </c>
      <c r="AP21" s="352">
        <f t="shared" si="17"/>
        <v>8255.75</v>
      </c>
      <c r="AQ21" s="349">
        <f t="shared" si="18"/>
        <v>13128</v>
      </c>
      <c r="AR21" s="353">
        <f t="shared" si="19"/>
        <v>11626</v>
      </c>
      <c r="AS21" s="312"/>
      <c r="AT21" s="312"/>
      <c r="AU21" s="355">
        <v>1568</v>
      </c>
      <c r="AV21" s="361">
        <v>8721.1666666666661</v>
      </c>
      <c r="AW21" s="362">
        <v>5273</v>
      </c>
      <c r="AX21" s="361">
        <v>12145</v>
      </c>
      <c r="AY21" s="362">
        <v>5273</v>
      </c>
      <c r="AZ21" s="361">
        <v>16174.5</v>
      </c>
      <c r="BA21" s="362">
        <v>5273</v>
      </c>
      <c r="BB21" s="312"/>
      <c r="BC21" s="312"/>
      <c r="BD21" s="327"/>
      <c r="BE21" s="360"/>
      <c r="BF21" s="312"/>
    </row>
    <row r="22" spans="2:58" ht="14.25">
      <c r="B22" s="334" t="s">
        <v>1128</v>
      </c>
      <c r="C22" s="335">
        <v>440.11301200000003</v>
      </c>
      <c r="D22" s="335">
        <v>452.02946668605125</v>
      </c>
      <c r="E22" s="335">
        <v>18081.178667442051</v>
      </c>
      <c r="F22" s="335">
        <v>24047.96762769793</v>
      </c>
      <c r="G22" s="336">
        <v>2.5</v>
      </c>
      <c r="H22" s="337">
        <f>70--3</f>
        <v>73</v>
      </c>
      <c r="I22" s="338">
        <f t="shared" si="2"/>
        <v>32998.151068081745</v>
      </c>
      <c r="J22" s="339"/>
      <c r="K22" s="335">
        <v>17417.406644999999</v>
      </c>
      <c r="L22" s="335">
        <v>17902.122679</v>
      </c>
      <c r="M22" s="322">
        <v>2.7075897238074131E-2</v>
      </c>
      <c r="N22" s="322">
        <v>1.027075897238074</v>
      </c>
      <c r="O22" s="340">
        <f t="shared" si="3"/>
        <v>2.5</v>
      </c>
      <c r="P22" s="312" t="s">
        <v>1114</v>
      </c>
      <c r="Q22" s="341">
        <v>30000</v>
      </c>
      <c r="R22" s="342">
        <v>16543.014124000001</v>
      </c>
      <c r="S22" s="341">
        <v>1882.0435735070669</v>
      </c>
      <c r="T22" s="341">
        <v>2537.5868406836858</v>
      </c>
      <c r="U22" s="343">
        <v>5716</v>
      </c>
      <c r="V22" s="344">
        <v>3645</v>
      </c>
      <c r="W22" s="322"/>
      <c r="X22" s="312"/>
      <c r="Y22" s="345">
        <f t="shared" si="4"/>
        <v>2286.4</v>
      </c>
      <c r="Z22" s="346">
        <f t="shared" si="5"/>
        <v>2078.6619183141829</v>
      </c>
      <c r="AA22" s="345">
        <f t="shared" si="6"/>
        <v>1458</v>
      </c>
      <c r="AB22" s="346">
        <f t="shared" si="7"/>
        <v>1325.528812500909</v>
      </c>
      <c r="AC22" s="345">
        <f t="shared" si="8"/>
        <v>30000</v>
      </c>
      <c r="AD22" s="342">
        <f t="shared" si="9"/>
        <v>32998.151068081745</v>
      </c>
      <c r="AE22" s="347">
        <f t="shared" si="10"/>
        <v>2.7498459223401452</v>
      </c>
      <c r="AF22" s="347">
        <f t="shared" si="20"/>
        <v>12384.666666666668</v>
      </c>
      <c r="AG22" s="347">
        <f t="shared" si="11"/>
        <v>11846.249999999998</v>
      </c>
      <c r="AH22" s="348">
        <f t="shared" si="0"/>
        <v>6975.75</v>
      </c>
      <c r="AI22" s="345">
        <f t="shared" si="12"/>
        <v>19360.416666666668</v>
      </c>
      <c r="AJ22" s="345">
        <f t="shared" si="13"/>
        <v>18822</v>
      </c>
      <c r="AK22" s="312" t="s">
        <v>1128</v>
      </c>
      <c r="AL22" s="349">
        <f t="shared" si="14"/>
        <v>18822</v>
      </c>
      <c r="AM22" s="349">
        <f t="shared" si="15"/>
        <v>5701</v>
      </c>
      <c r="AN22" s="350">
        <f t="shared" si="1"/>
        <v>828.75</v>
      </c>
      <c r="AO22" s="351">
        <f t="shared" si="16"/>
        <v>1502</v>
      </c>
      <c r="AP22" s="352">
        <f t="shared" si="17"/>
        <v>13121</v>
      </c>
      <c r="AQ22" s="349">
        <f t="shared" si="18"/>
        <v>17993.25</v>
      </c>
      <c r="AR22" s="353">
        <f t="shared" si="19"/>
        <v>16491.25</v>
      </c>
      <c r="AS22" s="312"/>
      <c r="AT22" s="312"/>
      <c r="AU22" s="355">
        <v>2200</v>
      </c>
      <c r="AV22" s="361">
        <v>9890</v>
      </c>
      <c r="AW22" s="362">
        <v>5573</v>
      </c>
      <c r="AX22" s="361">
        <v>13965</v>
      </c>
      <c r="AY22" s="362">
        <v>5273</v>
      </c>
      <c r="AZ22" s="361">
        <v>19095</v>
      </c>
      <c r="BA22" s="362">
        <v>5573</v>
      </c>
      <c r="BB22" s="312"/>
      <c r="BC22" s="355">
        <v>2200</v>
      </c>
      <c r="BD22" s="327"/>
      <c r="BE22" s="360"/>
      <c r="BF22" s="312"/>
    </row>
    <row r="23" spans="2:58" ht="14.25">
      <c r="B23" s="334" t="s">
        <v>1129</v>
      </c>
      <c r="C23" s="335">
        <v>493.85128500000002</v>
      </c>
      <c r="D23" s="335">
        <v>508.94926335922787</v>
      </c>
      <c r="E23" s="335">
        <v>20357.970534369117</v>
      </c>
      <c r="F23" s="335">
        <v>27076.100810710926</v>
      </c>
      <c r="G23" s="336">
        <v>2.5</v>
      </c>
      <c r="H23" s="337">
        <f>70--3</f>
        <v>73</v>
      </c>
      <c r="I23" s="338">
        <f t="shared" si="2"/>
        <v>37153.296225223632</v>
      </c>
      <c r="J23" s="339"/>
      <c r="K23" s="335">
        <v>20350.559057999999</v>
      </c>
      <c r="L23" s="335">
        <v>20992.334887000001</v>
      </c>
      <c r="M23" s="322">
        <v>3.0571912674537072E-2</v>
      </c>
      <c r="N23" s="322">
        <v>1.030571912674537</v>
      </c>
      <c r="O23" s="340">
        <f t="shared" si="3"/>
        <v>2.5</v>
      </c>
      <c r="P23" s="312" t="s">
        <v>1114</v>
      </c>
      <c r="Q23" s="341">
        <v>30000</v>
      </c>
      <c r="R23" s="342">
        <v>18990.066210000001</v>
      </c>
      <c r="S23" s="341">
        <v>2160.436532491</v>
      </c>
      <c r="T23" s="341">
        <v>2912.9481336957301</v>
      </c>
      <c r="U23" s="343">
        <v>5798</v>
      </c>
      <c r="V23" s="344">
        <v>3737</v>
      </c>
      <c r="W23" s="322"/>
      <c r="X23" s="312"/>
      <c r="Y23" s="345">
        <f t="shared" si="4"/>
        <v>2319.1999999999998</v>
      </c>
      <c r="Z23" s="346">
        <f t="shared" si="5"/>
        <v>1872.6736809092156</v>
      </c>
      <c r="AA23" s="345">
        <f t="shared" si="6"/>
        <v>1494.8000000000002</v>
      </c>
      <c r="AB23" s="346">
        <f t="shared" si="7"/>
        <v>1206.9992317277922</v>
      </c>
      <c r="AC23" s="345">
        <f t="shared" si="8"/>
        <v>30000</v>
      </c>
      <c r="AD23" s="342">
        <f t="shared" si="9"/>
        <v>37153.296225223632</v>
      </c>
      <c r="AE23" s="347">
        <f t="shared" si="10"/>
        <v>3.0961080187686361</v>
      </c>
      <c r="AF23" s="347">
        <f t="shared" si="20"/>
        <v>12562.333333333334</v>
      </c>
      <c r="AG23" s="347">
        <f t="shared" si="11"/>
        <v>12145.250000000002</v>
      </c>
      <c r="AH23" s="348">
        <f t="shared" si="0"/>
        <v>6975.75</v>
      </c>
      <c r="AI23" s="345">
        <f t="shared" si="12"/>
        <v>19538.083333333336</v>
      </c>
      <c r="AJ23" s="345">
        <f t="shared" si="13"/>
        <v>19121</v>
      </c>
      <c r="AK23" s="312" t="s">
        <v>1129</v>
      </c>
      <c r="AL23" s="349">
        <f t="shared" si="14"/>
        <v>19121</v>
      </c>
      <c r="AM23" s="349">
        <f t="shared" si="15"/>
        <v>5701</v>
      </c>
      <c r="AN23" s="350">
        <f t="shared" si="1"/>
        <v>828.75</v>
      </c>
      <c r="AO23" s="351">
        <f t="shared" si="16"/>
        <v>1502</v>
      </c>
      <c r="AP23" s="352">
        <f t="shared" si="17"/>
        <v>13420</v>
      </c>
      <c r="AQ23" s="349">
        <f t="shared" si="18"/>
        <v>18292.25</v>
      </c>
      <c r="AR23" s="353">
        <f t="shared" si="19"/>
        <v>16790.25</v>
      </c>
      <c r="AS23" s="312"/>
      <c r="AT23" s="312"/>
      <c r="AU23" s="355">
        <v>2688</v>
      </c>
      <c r="AV23" s="361">
        <v>9821</v>
      </c>
      <c r="AW23" s="362">
        <v>5573</v>
      </c>
      <c r="AX23" s="361">
        <v>13831</v>
      </c>
      <c r="AY23" s="362">
        <v>5573</v>
      </c>
      <c r="AZ23" s="361">
        <v>18822</v>
      </c>
      <c r="BA23" s="362">
        <v>5573</v>
      </c>
      <c r="BB23" s="312"/>
      <c r="BC23" s="355">
        <v>2688</v>
      </c>
      <c r="BD23" s="327"/>
      <c r="BE23" s="360"/>
      <c r="BF23" s="312"/>
    </row>
    <row r="24" spans="2:58" ht="14.25">
      <c r="B24" s="334" t="s">
        <v>1130</v>
      </c>
      <c r="C24" s="335">
        <v>735.24259700000005</v>
      </c>
      <c r="D24" s="335">
        <v>772.17381930524346</v>
      </c>
      <c r="E24" s="335">
        <v>30886.952772209737</v>
      </c>
      <c r="F24" s="335">
        <v>41079.647187038951</v>
      </c>
      <c r="G24" s="336">
        <v>3.5</v>
      </c>
      <c r="H24" s="337">
        <f>70-23</f>
        <v>47</v>
      </c>
      <c r="I24" s="338">
        <f t="shared" si="2"/>
        <v>36292.169507346443</v>
      </c>
      <c r="J24" s="339"/>
      <c r="K24" s="335">
        <v>18217.366993</v>
      </c>
      <c r="L24" s="335">
        <v>19180.819192999999</v>
      </c>
      <c r="M24" s="322">
        <v>5.0229981853518013E-2</v>
      </c>
      <c r="N24" s="322">
        <v>1.0502299818535179</v>
      </c>
      <c r="O24" s="340">
        <f t="shared" si="3"/>
        <v>3.5</v>
      </c>
      <c r="P24" s="312" t="s">
        <v>1108</v>
      </c>
      <c r="Q24" s="341">
        <v>42000</v>
      </c>
      <c r="R24" s="342">
        <v>18741.313191000001</v>
      </c>
      <c r="S24" s="341">
        <v>1522.9548076400715</v>
      </c>
      <c r="T24" s="341">
        <v>2053.4222125484112</v>
      </c>
      <c r="U24" s="343">
        <v>1914</v>
      </c>
      <c r="V24" s="344">
        <v>1905</v>
      </c>
      <c r="W24" s="322"/>
      <c r="X24" s="312"/>
      <c r="Y24" s="345">
        <f t="shared" si="4"/>
        <v>546.85714285714278</v>
      </c>
      <c r="Z24" s="346">
        <f t="shared" si="5"/>
        <v>632.86379160525803</v>
      </c>
      <c r="AA24" s="345">
        <f t="shared" si="6"/>
        <v>544.28571428571433</v>
      </c>
      <c r="AB24" s="346">
        <f t="shared" si="7"/>
        <v>629.88794305539</v>
      </c>
      <c r="AC24" s="345">
        <f t="shared" si="8"/>
        <v>42000</v>
      </c>
      <c r="AD24" s="342">
        <f t="shared" si="9"/>
        <v>36292.169507346443</v>
      </c>
      <c r="AE24" s="347">
        <f t="shared" si="10"/>
        <v>3.0243474589455368</v>
      </c>
      <c r="AF24" s="347">
        <f t="shared" si="20"/>
        <v>4146.9999999999991</v>
      </c>
      <c r="AG24" s="347">
        <f t="shared" si="11"/>
        <v>6191.25</v>
      </c>
      <c r="AH24" s="348">
        <f t="shared" si="0"/>
        <v>7947.25</v>
      </c>
      <c r="AI24" s="345">
        <f t="shared" si="12"/>
        <v>12094.25</v>
      </c>
      <c r="AJ24" s="345">
        <f t="shared" si="13"/>
        <v>14138.5</v>
      </c>
      <c r="AK24" s="312" t="s">
        <v>1130</v>
      </c>
      <c r="AL24" s="349">
        <f t="shared" si="14"/>
        <v>12094.25</v>
      </c>
      <c r="AM24" s="349">
        <f t="shared" si="15"/>
        <v>6305</v>
      </c>
      <c r="AN24" s="350">
        <f t="shared" si="1"/>
        <v>877.5</v>
      </c>
      <c r="AO24" s="351">
        <f t="shared" si="16"/>
        <v>1668.1666666666667</v>
      </c>
      <c r="AP24" s="352">
        <f t="shared" si="17"/>
        <v>5789.25</v>
      </c>
      <c r="AQ24" s="349">
        <f t="shared" si="18"/>
        <v>11216.75</v>
      </c>
      <c r="AR24" s="353">
        <f t="shared" si="19"/>
        <v>9548.5833333333339</v>
      </c>
      <c r="AS24" s="312"/>
      <c r="AT24" s="312"/>
      <c r="AU24" s="355">
        <v>5000</v>
      </c>
      <c r="AV24" s="361">
        <v>12094</v>
      </c>
      <c r="AW24" s="362">
        <v>6173</v>
      </c>
      <c r="AX24" s="361">
        <v>17810</v>
      </c>
      <c r="AY24" s="362">
        <v>6173</v>
      </c>
      <c r="AZ24" s="361">
        <v>25150</v>
      </c>
      <c r="BA24" s="362">
        <v>6173</v>
      </c>
      <c r="BB24" s="312"/>
      <c r="BC24" s="355">
        <v>5000</v>
      </c>
      <c r="BD24" s="312"/>
      <c r="BE24" s="312"/>
      <c r="BF24" s="312"/>
    </row>
    <row r="25" spans="2:58" ht="14.25">
      <c r="B25" s="334" t="s">
        <v>1131</v>
      </c>
      <c r="C25" s="335">
        <v>835.90407000000005</v>
      </c>
      <c r="D25" s="335">
        <v>877.878828068232</v>
      </c>
      <c r="E25" s="335">
        <v>35115.15312272928</v>
      </c>
      <c r="F25" s="335">
        <v>46703.153653229943</v>
      </c>
      <c r="G25" s="336">
        <v>4</v>
      </c>
      <c r="H25" s="337">
        <f>70-23</f>
        <v>47</v>
      </c>
      <c r="I25" s="338">
        <f t="shared" si="2"/>
        <v>41260.304919206901</v>
      </c>
      <c r="J25" s="339"/>
      <c r="K25" s="335">
        <v>21907.576635000001</v>
      </c>
      <c r="L25" s="335">
        <v>23065.822357000001</v>
      </c>
      <c r="M25" s="322">
        <v>5.0214802840033879E-2</v>
      </c>
      <c r="N25" s="322">
        <v>1.050214802840034</v>
      </c>
      <c r="O25" s="340">
        <f t="shared" si="3"/>
        <v>4</v>
      </c>
      <c r="P25" s="312" t="s">
        <v>1108</v>
      </c>
      <c r="Q25" s="341">
        <v>48000</v>
      </c>
      <c r="R25" s="342">
        <v>22578.473716</v>
      </c>
      <c r="S25" s="341">
        <v>1605.4235581814166</v>
      </c>
      <c r="T25" s="341">
        <v>2164.6160335030336</v>
      </c>
      <c r="U25" s="343">
        <v>2181</v>
      </c>
      <c r="V25" s="344">
        <v>2178</v>
      </c>
      <c r="W25" s="322"/>
      <c r="X25" s="312"/>
      <c r="Y25" s="345">
        <f t="shared" si="4"/>
        <v>545.25</v>
      </c>
      <c r="Z25" s="346">
        <f t="shared" si="5"/>
        <v>634.31426527865506</v>
      </c>
      <c r="AA25" s="345">
        <f t="shared" si="6"/>
        <v>544.5</v>
      </c>
      <c r="AB25" s="346">
        <f t="shared" si="7"/>
        <v>633.44175597290723</v>
      </c>
      <c r="AC25" s="345">
        <f t="shared" si="8"/>
        <v>48000</v>
      </c>
      <c r="AD25" s="342">
        <f t="shared" si="9"/>
        <v>41260.304919206901</v>
      </c>
      <c r="AE25" s="347">
        <f t="shared" si="10"/>
        <v>3.4383587432672416</v>
      </c>
      <c r="AF25" s="347">
        <f t="shared" si="20"/>
        <v>4725.5</v>
      </c>
      <c r="AG25" s="347">
        <f t="shared" si="11"/>
        <v>7078.5</v>
      </c>
      <c r="AH25" s="348">
        <f t="shared" si="0"/>
        <v>8575.5</v>
      </c>
      <c r="AI25" s="345">
        <f t="shared" si="12"/>
        <v>13301</v>
      </c>
      <c r="AJ25" s="345">
        <f t="shared" si="13"/>
        <v>15654</v>
      </c>
      <c r="AK25" s="312" t="s">
        <v>1131</v>
      </c>
      <c r="AL25" s="349">
        <f t="shared" si="14"/>
        <v>13301</v>
      </c>
      <c r="AM25" s="349">
        <f t="shared" si="15"/>
        <v>6607</v>
      </c>
      <c r="AN25" s="350">
        <f t="shared" si="1"/>
        <v>900</v>
      </c>
      <c r="AO25" s="351">
        <f t="shared" si="16"/>
        <v>1761.6666666666667</v>
      </c>
      <c r="AP25" s="352">
        <f t="shared" si="17"/>
        <v>6694</v>
      </c>
      <c r="AQ25" s="349">
        <f t="shared" si="18"/>
        <v>12401</v>
      </c>
      <c r="AR25" s="353">
        <f t="shared" si="19"/>
        <v>10639.333333333334</v>
      </c>
      <c r="AS25" s="312"/>
      <c r="AT25" s="312"/>
      <c r="AU25" s="312"/>
      <c r="AV25" s="312"/>
      <c r="AW25" s="312"/>
      <c r="AX25" s="312"/>
      <c r="AY25" s="312"/>
      <c r="AZ25" s="312"/>
      <c r="BA25" s="312"/>
      <c r="BB25" s="312"/>
      <c r="BC25" s="312"/>
      <c r="BD25" s="312"/>
      <c r="BE25" s="312"/>
      <c r="BF25" s="312"/>
    </row>
    <row r="26" spans="2:58" ht="14.25">
      <c r="B26" s="334" t="s">
        <v>1132</v>
      </c>
      <c r="C26" s="335">
        <v>724.19128999999998</v>
      </c>
      <c r="D26" s="335">
        <v>766.27128558521849</v>
      </c>
      <c r="E26" s="335">
        <v>30650.851423408742</v>
      </c>
      <c r="F26" s="335">
        <v>40765.63239313363</v>
      </c>
      <c r="G26" s="336">
        <v>3.5</v>
      </c>
      <c r="H26" s="337">
        <f>70-7</f>
        <v>63</v>
      </c>
      <c r="I26" s="338">
        <f t="shared" si="2"/>
        <v>48275.090991868768</v>
      </c>
      <c r="J26" s="339"/>
      <c r="K26" s="335">
        <v>24430.916386000001</v>
      </c>
      <c r="L26" s="335">
        <v>25938.079311000001</v>
      </c>
      <c r="M26" s="322">
        <v>5.8106188470201547E-2</v>
      </c>
      <c r="N26" s="322">
        <v>1.0581061884702017</v>
      </c>
      <c r="O26" s="340">
        <f t="shared" si="3"/>
        <v>3.5</v>
      </c>
      <c r="P26" s="312" t="s">
        <v>1111</v>
      </c>
      <c r="Q26" s="341">
        <v>42000</v>
      </c>
      <c r="R26" s="342">
        <v>24196.136589000002</v>
      </c>
      <c r="S26" s="341">
        <v>1966.2241471013572</v>
      </c>
      <c r="T26" s="341">
        <v>2651.0887376647515</v>
      </c>
      <c r="U26" s="343">
        <v>4552</v>
      </c>
      <c r="V26" s="344">
        <v>3537</v>
      </c>
      <c r="W26" s="322"/>
      <c r="X26" s="312"/>
      <c r="Y26" s="345">
        <f t="shared" si="4"/>
        <v>1300.5714285714287</v>
      </c>
      <c r="Z26" s="346">
        <f t="shared" si="5"/>
        <v>1131.5152157703983</v>
      </c>
      <c r="AA26" s="345">
        <f t="shared" si="6"/>
        <v>1010.5714285714286</v>
      </c>
      <c r="AB26" s="346">
        <f t="shared" si="7"/>
        <v>879.21118589189336</v>
      </c>
      <c r="AC26" s="345">
        <f t="shared" si="8"/>
        <v>42000</v>
      </c>
      <c r="AD26" s="342">
        <f t="shared" si="9"/>
        <v>48275.090991868768</v>
      </c>
      <c r="AE26" s="347">
        <f t="shared" si="10"/>
        <v>4.0229242493223971</v>
      </c>
      <c r="AF26" s="347">
        <f t="shared" si="20"/>
        <v>9862.6666666666661</v>
      </c>
      <c r="AG26" s="347">
        <f t="shared" si="11"/>
        <v>11495.249999999998</v>
      </c>
      <c r="AH26" s="348">
        <f t="shared" si="0"/>
        <v>7947.25</v>
      </c>
      <c r="AI26" s="345">
        <f t="shared" si="12"/>
        <v>17809.916666666664</v>
      </c>
      <c r="AJ26" s="345">
        <f t="shared" si="13"/>
        <v>19442.5</v>
      </c>
      <c r="AK26" s="312" t="s">
        <v>1132</v>
      </c>
      <c r="AL26" s="349">
        <f t="shared" si="14"/>
        <v>17809.916666666664</v>
      </c>
      <c r="AM26" s="349">
        <f t="shared" si="15"/>
        <v>6305</v>
      </c>
      <c r="AN26" s="350">
        <f t="shared" si="1"/>
        <v>877.5</v>
      </c>
      <c r="AO26" s="351">
        <f t="shared" si="16"/>
        <v>1668.1666666666667</v>
      </c>
      <c r="AP26" s="352">
        <f t="shared" si="17"/>
        <v>11504.916666666664</v>
      </c>
      <c r="AQ26" s="349">
        <f t="shared" si="18"/>
        <v>16932.416666666664</v>
      </c>
      <c r="AR26" s="353">
        <f t="shared" si="19"/>
        <v>15264.249999999998</v>
      </c>
      <c r="AS26" s="312"/>
      <c r="AT26" s="312"/>
      <c r="AU26" s="312"/>
      <c r="AV26" s="312"/>
      <c r="AW26" s="312"/>
      <c r="AX26" s="312"/>
      <c r="AY26" s="312"/>
      <c r="AZ26" s="312"/>
      <c r="BA26" s="312"/>
      <c r="BB26" s="312"/>
      <c r="BC26" s="312"/>
      <c r="BD26" s="312"/>
      <c r="BE26" s="312"/>
      <c r="BF26" s="312"/>
    </row>
    <row r="27" spans="2:58" ht="14.25">
      <c r="B27" s="334" t="s">
        <v>1133</v>
      </c>
      <c r="C27" s="335">
        <v>823.01119600000004</v>
      </c>
      <c r="D27" s="335">
        <v>871.07162728179833</v>
      </c>
      <c r="E27" s="335">
        <v>34842.865091271931</v>
      </c>
      <c r="F27" s="335">
        <v>46341.010571391671</v>
      </c>
      <c r="G27" s="336">
        <v>4</v>
      </c>
      <c r="H27" s="337">
        <f>70-7</f>
        <v>63</v>
      </c>
      <c r="I27" s="338">
        <f t="shared" si="2"/>
        <v>54877.512518753298</v>
      </c>
      <c r="J27" s="339"/>
      <c r="K27" s="335">
        <v>29055.287842999998</v>
      </c>
      <c r="L27" s="335">
        <v>30857.221240999999</v>
      </c>
      <c r="M27" s="322">
        <v>5.8395841411856386E-2</v>
      </c>
      <c r="N27" s="322">
        <v>1.0583958414118564</v>
      </c>
      <c r="O27" s="340">
        <f t="shared" si="3"/>
        <v>4</v>
      </c>
      <c r="P27" s="312" t="s">
        <v>1111</v>
      </c>
      <c r="Q27" s="341">
        <v>48000</v>
      </c>
      <c r="R27" s="342">
        <v>28907.454661</v>
      </c>
      <c r="S27" s="341">
        <v>2055.4404741248541</v>
      </c>
      <c r="T27" s="341">
        <v>2771.380414550365</v>
      </c>
      <c r="U27" s="343">
        <v>5189</v>
      </c>
      <c r="V27" s="344">
        <v>4041</v>
      </c>
      <c r="W27" s="322"/>
      <c r="X27" s="312"/>
      <c r="Y27" s="345">
        <f t="shared" si="4"/>
        <v>1297.25</v>
      </c>
      <c r="Z27" s="346">
        <f t="shared" si="5"/>
        <v>1134.672421216635</v>
      </c>
      <c r="AA27" s="345">
        <f t="shared" si="6"/>
        <v>1010.25</v>
      </c>
      <c r="AB27" s="346">
        <f t="shared" si="7"/>
        <v>883.64063483068458</v>
      </c>
      <c r="AC27" s="345">
        <f t="shared" si="8"/>
        <v>48000</v>
      </c>
      <c r="AD27" s="342">
        <f t="shared" si="9"/>
        <v>54877.512518753298</v>
      </c>
      <c r="AE27" s="347">
        <f t="shared" si="10"/>
        <v>4.5731260432294416</v>
      </c>
      <c r="AF27" s="347">
        <f t="shared" si="20"/>
        <v>11242.833333333336</v>
      </c>
      <c r="AG27" s="347">
        <f t="shared" si="11"/>
        <v>13133.25</v>
      </c>
      <c r="AH27" s="348">
        <f t="shared" si="0"/>
        <v>8575.5</v>
      </c>
      <c r="AI27" s="345">
        <f t="shared" si="12"/>
        <v>19818.333333333336</v>
      </c>
      <c r="AJ27" s="345">
        <f t="shared" si="13"/>
        <v>21708.75</v>
      </c>
      <c r="AK27" s="312" t="s">
        <v>1133</v>
      </c>
      <c r="AL27" s="349">
        <f t="shared" si="14"/>
        <v>19818.333333333336</v>
      </c>
      <c r="AM27" s="349">
        <f t="shared" si="15"/>
        <v>6607</v>
      </c>
      <c r="AN27" s="350">
        <f t="shared" si="1"/>
        <v>900</v>
      </c>
      <c r="AO27" s="351">
        <f t="shared" si="16"/>
        <v>1761.6666666666667</v>
      </c>
      <c r="AP27" s="352">
        <f t="shared" si="17"/>
        <v>13211.333333333336</v>
      </c>
      <c r="AQ27" s="349">
        <f t="shared" si="18"/>
        <v>18918.333333333336</v>
      </c>
      <c r="AR27" s="353">
        <f t="shared" si="19"/>
        <v>17156.666666666668</v>
      </c>
      <c r="AS27" s="312"/>
      <c r="AT27" s="312"/>
      <c r="AU27" s="312"/>
      <c r="AV27" s="312"/>
      <c r="AW27" s="312" t="s">
        <v>1134</v>
      </c>
      <c r="AX27" s="312"/>
      <c r="AY27" s="312"/>
      <c r="AZ27" s="312"/>
      <c r="BA27" s="312"/>
      <c r="BB27" s="312"/>
      <c r="BC27" s="312"/>
      <c r="BD27" s="312"/>
      <c r="BE27" s="312"/>
      <c r="BF27" s="312"/>
    </row>
    <row r="28" spans="2:58" ht="14.25">
      <c r="B28" s="334" t="s">
        <v>1135</v>
      </c>
      <c r="C28" s="335">
        <v>720.50537799999995</v>
      </c>
      <c r="D28" s="335">
        <v>764.07555543981675</v>
      </c>
      <c r="E28" s="335">
        <v>30563.022217592668</v>
      </c>
      <c r="F28" s="335">
        <v>40648.819549398249</v>
      </c>
      <c r="G28" s="336">
        <v>3.5</v>
      </c>
      <c r="H28" s="337">
        <f>70--3</f>
        <v>73</v>
      </c>
      <c r="I28" s="338">
        <f t="shared" si="2"/>
        <v>55777.515547106625</v>
      </c>
      <c r="J28" s="339"/>
      <c r="K28" s="335">
        <v>30253.749748999999</v>
      </c>
      <c r="L28" s="335">
        <v>32200.998531000001</v>
      </c>
      <c r="M28" s="322">
        <v>6.0471689414394403E-2</v>
      </c>
      <c r="N28" s="322">
        <v>1.0604716894143944</v>
      </c>
      <c r="O28" s="340">
        <f t="shared" si="3"/>
        <v>3.5</v>
      </c>
      <c r="P28" s="312" t="s">
        <v>1114</v>
      </c>
      <c r="Q28" s="341">
        <v>42000</v>
      </c>
      <c r="R28" s="342">
        <v>27887.682878</v>
      </c>
      <c r="S28" s="341">
        <v>2266.2062300622383</v>
      </c>
      <c r="T28" s="341">
        <v>3055.5589618816693</v>
      </c>
      <c r="U28" s="343">
        <v>8175</v>
      </c>
      <c r="V28" s="344">
        <v>5293</v>
      </c>
      <c r="W28" s="322"/>
      <c r="X28" s="312"/>
      <c r="Y28" s="345">
        <f t="shared" si="4"/>
        <v>2335.7142857142858</v>
      </c>
      <c r="Z28" s="346">
        <f t="shared" si="5"/>
        <v>1758.7732088416547</v>
      </c>
      <c r="AA28" s="345">
        <f t="shared" si="6"/>
        <v>1512.2857142857142</v>
      </c>
      <c r="AB28" s="346">
        <f t="shared" si="7"/>
        <v>1138.7384213331961</v>
      </c>
      <c r="AC28" s="345">
        <f t="shared" si="8"/>
        <v>42000</v>
      </c>
      <c r="AD28" s="342">
        <f t="shared" si="9"/>
        <v>55777.515547106625</v>
      </c>
      <c r="AE28" s="347">
        <f t="shared" si="10"/>
        <v>4.6481262955922187</v>
      </c>
      <c r="AF28" s="347">
        <f t="shared" si="20"/>
        <v>17712.5</v>
      </c>
      <c r="AG28" s="347">
        <f t="shared" si="11"/>
        <v>17202.25</v>
      </c>
      <c r="AH28" s="348">
        <f t="shared" si="0"/>
        <v>7947.25</v>
      </c>
      <c r="AI28" s="345">
        <f t="shared" si="12"/>
        <v>25659.75</v>
      </c>
      <c r="AJ28" s="345">
        <f t="shared" si="13"/>
        <v>25149.5</v>
      </c>
      <c r="AK28" s="312" t="s">
        <v>1135</v>
      </c>
      <c r="AL28" s="349">
        <f t="shared" si="14"/>
        <v>25149.5</v>
      </c>
      <c r="AM28" s="349">
        <f t="shared" si="15"/>
        <v>6305</v>
      </c>
      <c r="AN28" s="350">
        <f t="shared" si="1"/>
        <v>877.5</v>
      </c>
      <c r="AO28" s="351">
        <f t="shared" si="16"/>
        <v>1668.1666666666667</v>
      </c>
      <c r="AP28" s="352">
        <f t="shared" si="17"/>
        <v>18844.5</v>
      </c>
      <c r="AQ28" s="349">
        <f t="shared" si="18"/>
        <v>24272</v>
      </c>
      <c r="AR28" s="353">
        <f t="shared" si="19"/>
        <v>22603.833333333332</v>
      </c>
      <c r="AS28" s="312"/>
      <c r="AT28" s="312"/>
      <c r="AU28" s="312"/>
      <c r="AV28" s="322"/>
      <c r="AW28" s="322">
        <v>1568</v>
      </c>
      <c r="AX28" s="322">
        <v>2200</v>
      </c>
      <c r="AY28" s="322">
        <v>2688</v>
      </c>
      <c r="AZ28" s="322">
        <v>5000</v>
      </c>
      <c r="BA28" s="312"/>
      <c r="BB28" s="322"/>
      <c r="BC28" s="322">
        <v>1568</v>
      </c>
      <c r="BD28" s="322">
        <v>2200</v>
      </c>
      <c r="BE28" s="322">
        <v>2688</v>
      </c>
      <c r="BF28" s="322">
        <v>5000</v>
      </c>
    </row>
    <row r="29" spans="2:58" ht="15" thickBot="1">
      <c r="B29" s="334" t="s">
        <v>1136</v>
      </c>
      <c r="C29" s="335">
        <v>818.71107300000006</v>
      </c>
      <c r="D29" s="335">
        <v>868.58630077698024</v>
      </c>
      <c r="E29" s="335">
        <v>34743.452031079207</v>
      </c>
      <c r="F29" s="335">
        <v>46208.791201335349</v>
      </c>
      <c r="G29" s="336">
        <v>4</v>
      </c>
      <c r="H29" s="337">
        <f>70--3</f>
        <v>73</v>
      </c>
      <c r="I29" s="338">
        <f t="shared" si="2"/>
        <v>63406.799956719558</v>
      </c>
      <c r="J29" s="339"/>
      <c r="K29" s="335">
        <v>35754.471742000002</v>
      </c>
      <c r="L29" s="335">
        <v>38073.903689999999</v>
      </c>
      <c r="M29" s="322">
        <v>6.0919205103972307E-2</v>
      </c>
      <c r="N29" s="322">
        <v>1.0609192051039722</v>
      </c>
      <c r="O29" s="340">
        <f t="shared" si="3"/>
        <v>4</v>
      </c>
      <c r="P29" s="312" t="s">
        <v>1114</v>
      </c>
      <c r="Q29" s="341">
        <v>48000</v>
      </c>
      <c r="R29" s="342">
        <v>33221.129312999998</v>
      </c>
      <c r="S29" s="341">
        <v>2362.1607155264373</v>
      </c>
      <c r="T29" s="341">
        <v>3184.9357962154213</v>
      </c>
      <c r="U29" s="343">
        <v>9300</v>
      </c>
      <c r="V29" s="344">
        <v>6032</v>
      </c>
      <c r="W29" s="322"/>
      <c r="X29" s="312"/>
      <c r="Y29" s="345">
        <f t="shared" si="4"/>
        <v>2325</v>
      </c>
      <c r="Z29" s="346">
        <f t="shared" si="5"/>
        <v>1760.0635905955878</v>
      </c>
      <c r="AA29" s="345">
        <f t="shared" si="6"/>
        <v>1508.0000000000002</v>
      </c>
      <c r="AB29" s="346">
        <f t="shared" si="7"/>
        <v>1141.581029943289</v>
      </c>
      <c r="AC29" s="345">
        <f t="shared" si="8"/>
        <v>48000</v>
      </c>
      <c r="AD29" s="342">
        <f t="shared" si="9"/>
        <v>63406.799956719558</v>
      </c>
      <c r="AE29" s="347">
        <f t="shared" si="10"/>
        <v>5.2838999963932967</v>
      </c>
      <c r="AF29" s="347">
        <f t="shared" si="20"/>
        <v>20150</v>
      </c>
      <c r="AG29" s="347">
        <f t="shared" si="11"/>
        <v>19604.000000000004</v>
      </c>
      <c r="AH29" s="348">
        <f t="shared" si="0"/>
        <v>8575.5</v>
      </c>
      <c r="AI29" s="345">
        <f t="shared" si="12"/>
        <v>28725.5</v>
      </c>
      <c r="AJ29" s="345">
        <f t="shared" si="13"/>
        <v>28179.500000000004</v>
      </c>
      <c r="AK29" s="312" t="s">
        <v>1136</v>
      </c>
      <c r="AL29" s="349">
        <f t="shared" si="14"/>
        <v>28179.500000000004</v>
      </c>
      <c r="AM29" s="349">
        <f t="shared" si="15"/>
        <v>6607</v>
      </c>
      <c r="AN29" s="350">
        <f t="shared" si="1"/>
        <v>900</v>
      </c>
      <c r="AO29" s="351">
        <f t="shared" si="16"/>
        <v>1761.6666666666667</v>
      </c>
      <c r="AP29" s="363">
        <f t="shared" si="17"/>
        <v>21572.500000000004</v>
      </c>
      <c r="AQ29" s="364">
        <f t="shared" si="18"/>
        <v>27279.500000000004</v>
      </c>
      <c r="AR29" s="365">
        <f t="shared" si="19"/>
        <v>25517.833333333336</v>
      </c>
      <c r="AS29" s="312"/>
      <c r="AT29" s="312"/>
      <c r="AU29" s="312"/>
      <c r="AV29" s="327" t="s">
        <v>1119</v>
      </c>
      <c r="AW29" s="366">
        <v>3448.1666666666661</v>
      </c>
      <c r="AX29" s="366">
        <v>4317</v>
      </c>
      <c r="AY29" s="366">
        <v>4248</v>
      </c>
      <c r="AZ29" s="366">
        <v>5921</v>
      </c>
      <c r="BA29" s="312"/>
      <c r="BB29" s="327" t="s">
        <v>1119</v>
      </c>
      <c r="BC29" s="366">
        <v>3448.1666666666661</v>
      </c>
      <c r="BD29" s="366">
        <v>4317</v>
      </c>
      <c r="BE29" s="366">
        <v>4248</v>
      </c>
      <c r="BF29" s="366">
        <v>5921</v>
      </c>
    </row>
    <row r="30" spans="2:58">
      <c r="B30" s="312"/>
      <c r="C30" s="312"/>
      <c r="D30" s="312"/>
      <c r="E30" s="312"/>
      <c r="F30" s="312"/>
      <c r="G30" s="312"/>
      <c r="H30" s="312"/>
      <c r="I30" s="367"/>
      <c r="J30" s="312"/>
      <c r="K30" s="312"/>
      <c r="L30" s="312"/>
      <c r="M30" s="31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312"/>
      <c r="AL30" s="312"/>
      <c r="AM30" s="312"/>
      <c r="AN30" s="312"/>
      <c r="AO30" s="312"/>
      <c r="AU30" s="356"/>
      <c r="AV30" s="327" t="s">
        <v>1120</v>
      </c>
      <c r="AW30" s="366">
        <v>6872</v>
      </c>
      <c r="AX30" s="366">
        <v>8692</v>
      </c>
      <c r="AY30" s="366">
        <v>8258</v>
      </c>
      <c r="AZ30" s="366">
        <v>11637</v>
      </c>
      <c r="BA30" s="312"/>
      <c r="BB30" s="327" t="s">
        <v>1120</v>
      </c>
      <c r="BC30" s="366">
        <v>6872</v>
      </c>
      <c r="BD30" s="366">
        <v>8692</v>
      </c>
      <c r="BE30" s="366">
        <v>8258</v>
      </c>
      <c r="BF30" s="366">
        <v>11637</v>
      </c>
    </row>
    <row r="31" spans="2:58">
      <c r="B31" s="312"/>
      <c r="C31" s="312"/>
      <c r="D31" s="312"/>
      <c r="E31" s="312"/>
      <c r="F31" s="312" t="s">
        <v>1137</v>
      </c>
      <c r="G31" s="312"/>
      <c r="H31" s="312"/>
      <c r="I31" s="312"/>
      <c r="J31" s="312"/>
      <c r="K31" s="312"/>
      <c r="L31" s="312"/>
      <c r="M31" s="312"/>
      <c r="N31" s="312"/>
      <c r="O31" s="312"/>
      <c r="P31" s="312"/>
      <c r="Q31" s="312"/>
      <c r="R31" s="312"/>
      <c r="S31" s="312"/>
      <c r="T31" s="312"/>
      <c r="U31" s="312"/>
      <c r="V31" s="312"/>
      <c r="W31" s="312"/>
      <c r="X31" s="312"/>
      <c r="Y31" s="312"/>
      <c r="Z31" s="312"/>
      <c r="AA31" s="312"/>
      <c r="AB31" s="312"/>
      <c r="AC31" s="312"/>
      <c r="AD31" s="312"/>
      <c r="AE31" s="312"/>
      <c r="AF31" s="312"/>
      <c r="AG31" s="312"/>
      <c r="AJ31" s="312"/>
      <c r="AK31" s="312"/>
      <c r="AL31" s="312"/>
      <c r="AM31" s="312"/>
      <c r="AN31" s="312"/>
      <c r="AO31" s="312"/>
      <c r="AU31" s="356"/>
      <c r="AV31" s="321" t="s">
        <v>1121</v>
      </c>
      <c r="AW31" s="366">
        <v>10901.5</v>
      </c>
      <c r="AX31" s="366">
        <v>13522</v>
      </c>
      <c r="AY31" s="366">
        <v>13249</v>
      </c>
      <c r="AZ31" s="366">
        <v>18977</v>
      </c>
      <c r="BA31" s="312"/>
      <c r="BB31" s="321" t="s">
        <v>1121</v>
      </c>
      <c r="BC31" s="366">
        <v>10901.5</v>
      </c>
      <c r="BD31" s="366">
        <v>13522</v>
      </c>
      <c r="BE31" s="366">
        <v>13249</v>
      </c>
      <c r="BF31" s="366">
        <v>18977</v>
      </c>
    </row>
    <row r="32" spans="2:58">
      <c r="B32" s="312"/>
      <c r="C32" s="312"/>
      <c r="D32" s="312"/>
      <c r="E32" s="312"/>
      <c r="F32" s="322"/>
      <c r="G32" s="355" t="s">
        <v>1119</v>
      </c>
      <c r="H32" s="355" t="s">
        <v>1120</v>
      </c>
      <c r="I32" s="355" t="s">
        <v>1121</v>
      </c>
      <c r="J32" s="312"/>
      <c r="K32" s="312"/>
      <c r="L32" s="312"/>
      <c r="M32" s="312"/>
      <c r="N32" s="312"/>
      <c r="O32" s="312"/>
      <c r="P32" s="312"/>
      <c r="Q32" s="312"/>
      <c r="R32" s="312"/>
      <c r="S32" s="312"/>
      <c r="T32" s="312" t="s">
        <v>1138</v>
      </c>
      <c r="U32" s="312"/>
      <c r="V32" s="312"/>
      <c r="W32" s="312"/>
      <c r="X32" s="312"/>
      <c r="Y32" s="312"/>
      <c r="Z32" s="312" t="s">
        <v>1139</v>
      </c>
      <c r="AA32" s="312"/>
      <c r="AB32" s="312"/>
      <c r="AC32" s="312"/>
      <c r="AD32" s="312"/>
      <c r="AE32" s="312"/>
      <c r="AF32" s="312"/>
      <c r="AG32" s="312"/>
      <c r="AJ32" s="312"/>
      <c r="AK32" s="312">
        <v>600</v>
      </c>
      <c r="AL32" s="312"/>
      <c r="AM32" s="312"/>
      <c r="AN32" s="312"/>
      <c r="AO32" s="312"/>
      <c r="AU32" s="356"/>
      <c r="AV32" s="356"/>
      <c r="AW32" s="312"/>
      <c r="AX32" s="312"/>
      <c r="AY32" s="312"/>
      <c r="AZ32" s="312"/>
      <c r="BA32" s="312"/>
      <c r="BB32" s="312"/>
      <c r="BC32" s="312"/>
      <c r="BD32" s="312"/>
      <c r="BE32" s="312"/>
      <c r="BF32" s="312"/>
    </row>
    <row r="33" spans="2:51">
      <c r="B33" s="312"/>
      <c r="C33" s="312"/>
      <c r="D33" s="312"/>
      <c r="E33" s="312"/>
      <c r="F33" s="322">
        <v>1568</v>
      </c>
      <c r="G33" s="342">
        <v>18350.008764184367</v>
      </c>
      <c r="H33" s="342">
        <v>24559.152359506617</v>
      </c>
      <c r="I33" s="342">
        <v>28471.473755852134</v>
      </c>
      <c r="J33" s="312"/>
      <c r="K33" s="312"/>
      <c r="L33" s="312"/>
      <c r="M33" s="312"/>
      <c r="N33" s="312"/>
      <c r="O33" s="312"/>
      <c r="P33" s="312"/>
      <c r="Q33" s="312"/>
      <c r="R33" s="312"/>
      <c r="S33" s="312"/>
      <c r="T33" s="354" t="s">
        <v>1117</v>
      </c>
      <c r="U33" s="327" t="s">
        <v>1105</v>
      </c>
      <c r="V33" s="327" t="s">
        <v>1105</v>
      </c>
      <c r="W33" s="327" t="s">
        <v>1105</v>
      </c>
      <c r="X33" s="327" t="s">
        <v>1106</v>
      </c>
      <c r="Y33" s="312"/>
      <c r="Z33" s="354" t="s">
        <v>1117</v>
      </c>
      <c r="AA33" s="327" t="s">
        <v>1105</v>
      </c>
      <c r="AB33" s="327" t="s">
        <v>1105</v>
      </c>
      <c r="AC33" s="327" t="s">
        <v>1105</v>
      </c>
      <c r="AD33" s="327" t="s">
        <v>1106</v>
      </c>
      <c r="AE33" s="312"/>
      <c r="AF33" s="312"/>
      <c r="AG33" s="312"/>
      <c r="AJ33" s="312"/>
      <c r="AK33" s="312"/>
      <c r="AL33" s="312"/>
      <c r="AM33" s="312"/>
      <c r="AN33" s="312"/>
      <c r="AO33" s="312"/>
      <c r="AU33" s="356"/>
      <c r="AV33" s="322"/>
      <c r="AW33" s="327" t="s">
        <v>1119</v>
      </c>
      <c r="AX33" s="327" t="s">
        <v>1120</v>
      </c>
      <c r="AY33" s="327" t="s">
        <v>1121</v>
      </c>
    </row>
    <row r="34" spans="2:51">
      <c r="B34" s="368" t="s">
        <v>1140</v>
      </c>
      <c r="C34" s="368"/>
      <c r="D34" s="368"/>
      <c r="E34" s="312"/>
      <c r="F34" s="322">
        <v>2200</v>
      </c>
      <c r="G34" s="342">
        <v>23561.815000197101</v>
      </c>
      <c r="H34" s="342">
        <v>31881</v>
      </c>
      <c r="I34" s="342">
        <v>37070</v>
      </c>
      <c r="J34" s="312"/>
      <c r="K34" s="312"/>
      <c r="L34" s="312"/>
      <c r="M34" s="312"/>
      <c r="N34" s="312"/>
      <c r="O34" s="312"/>
      <c r="P34" s="312"/>
      <c r="Q34" s="312"/>
      <c r="R34" s="312"/>
      <c r="S34" s="312"/>
      <c r="T34" s="322"/>
      <c r="U34" s="355" t="s">
        <v>1119</v>
      </c>
      <c r="V34" s="355" t="s">
        <v>1120</v>
      </c>
      <c r="W34" s="355" t="s">
        <v>1121</v>
      </c>
      <c r="X34" s="355" t="s">
        <v>1121</v>
      </c>
      <c r="Y34" s="312"/>
      <c r="Z34" s="322"/>
      <c r="AA34" s="355" t="s">
        <v>1119</v>
      </c>
      <c r="AB34" s="355" t="s">
        <v>1120</v>
      </c>
      <c r="AC34" s="355" t="s">
        <v>1121</v>
      </c>
      <c r="AD34" s="355" t="s">
        <v>1121</v>
      </c>
      <c r="AE34" s="312"/>
      <c r="AF34" s="312"/>
      <c r="AG34" s="312"/>
      <c r="AJ34" s="312"/>
      <c r="AK34" s="339">
        <v>1.6066666666666667</v>
      </c>
      <c r="AL34" s="339">
        <v>4.24</v>
      </c>
      <c r="AM34" s="339">
        <v>7.62</v>
      </c>
      <c r="AN34" s="339">
        <v>4.8933333333333335</v>
      </c>
      <c r="AO34" s="339"/>
      <c r="AU34" s="356"/>
      <c r="AV34" s="355">
        <v>1568</v>
      </c>
      <c r="AW34" s="369">
        <v>3448.1666666666661</v>
      </c>
      <c r="AX34" s="369">
        <v>6872</v>
      </c>
      <c r="AY34" s="369">
        <v>10901.5</v>
      </c>
    </row>
    <row r="35" spans="2:51">
      <c r="B35" s="368"/>
      <c r="C35" s="368" t="s">
        <v>1141</v>
      </c>
      <c r="D35" s="368" t="s">
        <v>1142</v>
      </c>
      <c r="E35" s="312"/>
      <c r="F35" s="322">
        <v>2688</v>
      </c>
      <c r="G35" s="342">
        <v>21506</v>
      </c>
      <c r="H35" s="342">
        <v>28555</v>
      </c>
      <c r="I35" s="342">
        <v>32998</v>
      </c>
      <c r="J35" s="312"/>
      <c r="K35" s="312"/>
      <c r="L35" s="312"/>
      <c r="M35" s="312"/>
      <c r="N35" s="312"/>
      <c r="O35" s="312"/>
      <c r="P35" s="312"/>
      <c r="Q35" s="312"/>
      <c r="R35" s="312"/>
      <c r="S35" s="312"/>
      <c r="T35" s="322">
        <v>1568</v>
      </c>
      <c r="U35" s="327">
        <v>964</v>
      </c>
      <c r="V35" s="327">
        <v>2544</v>
      </c>
      <c r="W35" s="327">
        <v>4572</v>
      </c>
      <c r="X35" s="327">
        <v>2936</v>
      </c>
      <c r="Y35" s="312"/>
      <c r="Z35" s="322">
        <v>1568</v>
      </c>
      <c r="AA35" s="327">
        <v>630</v>
      </c>
      <c r="AB35" s="327">
        <v>1243</v>
      </c>
      <c r="AC35" s="327">
        <v>1927</v>
      </c>
      <c r="AD35" s="327">
        <v>1237</v>
      </c>
      <c r="AE35" s="312"/>
      <c r="AF35" s="312"/>
      <c r="AG35" s="312"/>
      <c r="AJ35" s="312"/>
      <c r="AK35" s="339">
        <v>2.2416666666666667</v>
      </c>
      <c r="AL35" s="339">
        <v>5.3766666666666669</v>
      </c>
      <c r="AM35" s="339">
        <v>9.6516666666666673</v>
      </c>
      <c r="AN35" s="339">
        <v>6.2149999999999999</v>
      </c>
      <c r="AO35" s="339"/>
      <c r="AU35" s="356"/>
      <c r="AV35" s="355">
        <v>2200</v>
      </c>
      <c r="AW35" s="369">
        <v>4317</v>
      </c>
      <c r="AX35" s="369">
        <v>8692</v>
      </c>
      <c r="AY35" s="369">
        <v>13522</v>
      </c>
    </row>
    <row r="36" spans="2:51">
      <c r="B36" s="368" t="s">
        <v>1143</v>
      </c>
      <c r="C36" s="368">
        <v>68</v>
      </c>
      <c r="D36" s="368">
        <v>78</v>
      </c>
      <c r="E36" s="312"/>
      <c r="F36" s="322">
        <v>5000</v>
      </c>
      <c r="G36" s="342">
        <v>39292</v>
      </c>
      <c r="H36" s="342">
        <v>48275</v>
      </c>
      <c r="I36" s="342">
        <v>55778</v>
      </c>
      <c r="J36" s="312"/>
      <c r="K36" s="312"/>
      <c r="L36" s="312"/>
      <c r="M36" s="312"/>
      <c r="N36" s="312"/>
      <c r="O36" s="312"/>
      <c r="P36" s="312"/>
      <c r="Q36" s="312"/>
      <c r="R36" s="312"/>
      <c r="S36" s="312"/>
      <c r="T36" s="322">
        <v>2200</v>
      </c>
      <c r="U36" s="327">
        <v>1345</v>
      </c>
      <c r="V36" s="327">
        <v>3226</v>
      </c>
      <c r="W36" s="327">
        <v>5791</v>
      </c>
      <c r="X36" s="327">
        <v>3729</v>
      </c>
      <c r="Y36" s="312"/>
      <c r="Z36" s="322">
        <v>2200</v>
      </c>
      <c r="AA36" s="327">
        <v>685</v>
      </c>
      <c r="AB36" s="327">
        <v>1214</v>
      </c>
      <c r="AC36" s="327">
        <v>1875</v>
      </c>
      <c r="AD36" s="327">
        <v>1207</v>
      </c>
      <c r="AE36" s="312"/>
      <c r="AF36" s="312"/>
      <c r="AG36" s="312"/>
      <c r="AJ36" s="312"/>
      <c r="AK36" s="339">
        <v>2.1883333333333335</v>
      </c>
      <c r="AL36" s="339">
        <v>5.2733333333333334</v>
      </c>
      <c r="AM36" s="339">
        <v>9.5266666666666673</v>
      </c>
      <c r="AN36" s="339">
        <v>6.0750000000000002</v>
      </c>
      <c r="AO36" s="339"/>
      <c r="AU36" s="356"/>
      <c r="AV36" s="355">
        <v>2688</v>
      </c>
      <c r="AW36" s="369">
        <v>4248</v>
      </c>
      <c r="AX36" s="369">
        <v>8258</v>
      </c>
      <c r="AY36" s="369">
        <v>13249</v>
      </c>
    </row>
    <row r="37" spans="2:51">
      <c r="B37" s="368" t="s">
        <v>1144</v>
      </c>
      <c r="C37" s="368">
        <v>58</v>
      </c>
      <c r="D37" s="368">
        <v>75</v>
      </c>
      <c r="E37" s="312"/>
      <c r="F37" s="312"/>
      <c r="G37" s="312"/>
      <c r="H37" s="312"/>
      <c r="I37" s="312"/>
      <c r="J37" s="312"/>
      <c r="K37" s="312"/>
      <c r="L37" s="312"/>
      <c r="M37" s="312"/>
      <c r="N37" s="312"/>
      <c r="O37" s="312"/>
      <c r="P37" s="312"/>
      <c r="Q37" s="312"/>
      <c r="R37" s="312"/>
      <c r="S37" s="312"/>
      <c r="T37" s="322">
        <v>2688</v>
      </c>
      <c r="U37" s="327">
        <v>1313</v>
      </c>
      <c r="V37" s="327">
        <v>3164</v>
      </c>
      <c r="W37" s="327">
        <v>5716</v>
      </c>
      <c r="X37" s="327">
        <v>3645</v>
      </c>
      <c r="Y37" s="312"/>
      <c r="Z37" s="322">
        <v>2688</v>
      </c>
      <c r="AA37" s="327">
        <v>733</v>
      </c>
      <c r="AB37" s="327">
        <v>1330</v>
      </c>
      <c r="AC37" s="327">
        <v>2079</v>
      </c>
      <c r="AD37" s="327">
        <v>1326</v>
      </c>
      <c r="AE37" s="312"/>
      <c r="AF37" s="312"/>
      <c r="AG37" s="312"/>
      <c r="AJ37" s="312"/>
      <c r="AK37" s="339">
        <v>3.19</v>
      </c>
      <c r="AL37" s="339">
        <v>7.5866666666666669</v>
      </c>
      <c r="AM37" s="339">
        <v>13.625</v>
      </c>
      <c r="AN37" s="339">
        <v>8.8216666666666672</v>
      </c>
      <c r="AO37" s="339"/>
      <c r="AU37" s="312"/>
      <c r="AV37" s="355">
        <v>5000</v>
      </c>
      <c r="AW37" s="369">
        <v>5921</v>
      </c>
      <c r="AX37" s="369">
        <v>11637</v>
      </c>
      <c r="AY37" s="369">
        <v>18977</v>
      </c>
    </row>
    <row r="38" spans="2:51">
      <c r="B38" s="368" t="s">
        <v>1145</v>
      </c>
      <c r="C38" s="368">
        <v>30</v>
      </c>
      <c r="D38" s="368">
        <v>95</v>
      </c>
      <c r="E38" s="312"/>
      <c r="F38" s="312"/>
      <c r="G38" s="312"/>
      <c r="H38" s="312"/>
      <c r="I38" s="312"/>
      <c r="J38" s="312"/>
      <c r="K38" s="312"/>
      <c r="L38" s="312"/>
      <c r="M38" s="312"/>
      <c r="N38" s="312"/>
      <c r="O38" s="312"/>
      <c r="P38" s="312"/>
      <c r="Q38" s="312"/>
      <c r="R38" s="312"/>
      <c r="S38" s="312"/>
      <c r="T38" s="322">
        <v>5000</v>
      </c>
      <c r="U38" s="327">
        <v>1914</v>
      </c>
      <c r="V38" s="327">
        <v>4552</v>
      </c>
      <c r="W38" s="327">
        <v>8175</v>
      </c>
      <c r="X38" s="327">
        <v>5293</v>
      </c>
      <c r="Y38" s="312"/>
      <c r="Z38" s="322">
        <v>5000</v>
      </c>
      <c r="AA38" s="327">
        <v>633</v>
      </c>
      <c r="AB38" s="327">
        <v>1132</v>
      </c>
      <c r="AC38" s="327">
        <v>1759</v>
      </c>
      <c r="AD38" s="327">
        <v>1139</v>
      </c>
      <c r="AE38" s="312"/>
      <c r="AF38" s="312"/>
      <c r="AG38" s="312"/>
      <c r="AJ38" s="312"/>
      <c r="AK38" s="312"/>
      <c r="AL38" s="312"/>
      <c r="AM38" s="312"/>
      <c r="AN38" s="312"/>
      <c r="AO38" s="312"/>
      <c r="AP38" s="312"/>
      <c r="AQ38" s="312"/>
      <c r="AR38" s="312"/>
      <c r="AS38" s="312"/>
      <c r="AT38" s="312"/>
      <c r="AU38" s="312"/>
      <c r="AV38" s="312"/>
      <c r="AW38" s="312"/>
      <c r="AX38" s="312"/>
      <c r="AY38" s="312"/>
    </row>
    <row r="39" spans="2:51" ht="51">
      <c r="B39" s="368"/>
      <c r="C39" s="368"/>
      <c r="D39" s="368"/>
      <c r="E39" s="312"/>
      <c r="F39" s="312"/>
      <c r="G39" s="312"/>
      <c r="H39" s="312"/>
      <c r="I39" s="312"/>
      <c r="J39" s="312"/>
      <c r="K39" s="312"/>
      <c r="L39" s="312"/>
      <c r="M39" s="312"/>
      <c r="N39" s="312"/>
      <c r="O39" s="312"/>
      <c r="P39" s="312"/>
      <c r="Q39" s="312"/>
      <c r="R39" s="312"/>
      <c r="S39" s="312"/>
      <c r="T39" s="312"/>
      <c r="U39" s="312"/>
      <c r="V39" s="312"/>
      <c r="W39" s="312"/>
      <c r="X39" s="312"/>
      <c r="Y39" s="312"/>
      <c r="Z39" s="312"/>
      <c r="AA39" s="312"/>
      <c r="AB39" s="312"/>
      <c r="AC39" s="312"/>
      <c r="AD39" s="312"/>
      <c r="AE39" s="312"/>
      <c r="AF39" s="312"/>
      <c r="AG39" s="312"/>
      <c r="AH39" s="370" t="s">
        <v>233</v>
      </c>
      <c r="AI39" s="371" t="s">
        <v>1146</v>
      </c>
      <c r="AJ39" s="372" t="s">
        <v>1147</v>
      </c>
      <c r="AK39" s="373" t="s">
        <v>1148</v>
      </c>
      <c r="AL39" s="373" t="s">
        <v>1149</v>
      </c>
      <c r="AM39" s="373" t="s">
        <v>1150</v>
      </c>
      <c r="AN39" s="373" t="s">
        <v>1151</v>
      </c>
      <c r="AO39" s="371" t="s">
        <v>1085</v>
      </c>
      <c r="AP39" s="371" t="s">
        <v>1086</v>
      </c>
      <c r="AQ39" s="312"/>
      <c r="AR39" s="312"/>
      <c r="AS39" s="312"/>
      <c r="AT39" s="312"/>
      <c r="AU39" s="312"/>
      <c r="AV39" s="312"/>
      <c r="AW39" s="312"/>
      <c r="AX39" s="312"/>
      <c r="AY39" s="312"/>
    </row>
    <row r="40" spans="2:51">
      <c r="B40" s="368" t="s">
        <v>1152</v>
      </c>
      <c r="C40" s="368"/>
      <c r="D40" s="368"/>
      <c r="E40" s="312"/>
      <c r="F40" s="312"/>
      <c r="G40" s="312"/>
      <c r="H40" s="312"/>
      <c r="I40" s="312"/>
      <c r="J40" s="312"/>
      <c r="K40" s="312"/>
      <c r="L40" s="312"/>
      <c r="M40" s="312"/>
      <c r="N40" s="312"/>
      <c r="O40" s="312"/>
      <c r="P40" s="312"/>
      <c r="Q40" s="312"/>
      <c r="R40" s="312"/>
      <c r="S40" s="312"/>
      <c r="T40" s="374"/>
      <c r="U40" s="358"/>
      <c r="V40" s="358"/>
      <c r="W40" s="358"/>
      <c r="X40" s="358"/>
      <c r="Y40" s="356"/>
      <c r="AA40" s="39"/>
      <c r="AB40" s="39"/>
      <c r="AC40" s="39"/>
      <c r="AD40" s="39"/>
      <c r="AE40" s="312"/>
      <c r="AF40" s="312"/>
      <c r="AG40" s="312"/>
      <c r="AH40" s="375">
        <v>2</v>
      </c>
      <c r="AI40" s="360">
        <f>GSHPCostSources!E6</f>
        <v>6632.5</v>
      </c>
      <c r="AJ40" s="376">
        <v>5399</v>
      </c>
      <c r="AK40" s="376">
        <v>10633</v>
      </c>
      <c r="AL40" s="376">
        <v>10919</v>
      </c>
      <c r="AM40" s="376">
        <v>5360</v>
      </c>
      <c r="AN40" s="376">
        <v>5646</v>
      </c>
      <c r="AO40" s="360">
        <f>AL51</f>
        <v>802.5</v>
      </c>
      <c r="AP40" s="360">
        <f>AI59</f>
        <v>1346</v>
      </c>
      <c r="AQ40" s="312"/>
      <c r="AR40" s="312"/>
      <c r="AS40" s="312"/>
      <c r="AT40" s="312"/>
      <c r="AU40" s="312"/>
      <c r="AV40" s="312"/>
      <c r="AW40" s="312"/>
      <c r="AX40" s="312"/>
      <c r="AY40" s="312"/>
    </row>
    <row r="41" spans="2:51">
      <c r="B41" s="368" t="s">
        <v>1153</v>
      </c>
      <c r="C41" s="368">
        <v>0.5</v>
      </c>
      <c r="D41" s="368" t="s">
        <v>1154</v>
      </c>
      <c r="E41" s="312"/>
      <c r="F41" s="312"/>
      <c r="G41" s="312"/>
      <c r="H41" s="312"/>
      <c r="I41" s="312"/>
      <c r="J41" s="312"/>
      <c r="K41" s="312"/>
      <c r="L41" s="312"/>
      <c r="M41" s="312"/>
      <c r="N41" s="312"/>
      <c r="O41" s="312"/>
      <c r="P41" s="312"/>
      <c r="Q41" s="312"/>
      <c r="R41" s="312"/>
      <c r="S41" s="312"/>
      <c r="T41" s="312"/>
      <c r="U41" s="312"/>
      <c r="V41" s="312"/>
      <c r="W41" s="312"/>
      <c r="X41" s="377"/>
      <c r="Y41" s="356"/>
      <c r="Z41" s="312" t="s">
        <v>1139</v>
      </c>
      <c r="AA41" s="312"/>
      <c r="AB41" s="312"/>
      <c r="AC41" s="312"/>
      <c r="AD41" s="312"/>
      <c r="AE41" s="312"/>
      <c r="AF41" s="312"/>
      <c r="AG41" s="312"/>
      <c r="AH41" s="378">
        <v>2.5</v>
      </c>
      <c r="AI41" s="379">
        <f>AVERAGE(AI40,AI42)</f>
        <v>6975.75</v>
      </c>
      <c r="AJ41" s="376">
        <v>5701</v>
      </c>
      <c r="AK41" s="380"/>
      <c r="AL41" s="380"/>
      <c r="AM41" s="380"/>
      <c r="AN41" s="380"/>
      <c r="AO41" s="379">
        <f>AVERAGE(AO40,AO42)</f>
        <v>828.75</v>
      </c>
      <c r="AP41" s="360">
        <f>AI60</f>
        <v>1502</v>
      </c>
      <c r="AQ41" s="312"/>
      <c r="AR41" s="312"/>
      <c r="AS41" s="312"/>
      <c r="AT41" s="312"/>
      <c r="AU41" s="312"/>
      <c r="AV41" s="312"/>
      <c r="AW41" s="312"/>
      <c r="AX41" s="312"/>
      <c r="AY41" s="312"/>
    </row>
    <row r="42" spans="2:51">
      <c r="B42" s="368" t="s">
        <v>1155</v>
      </c>
      <c r="C42" s="368">
        <v>2.5000000000000001E-2</v>
      </c>
      <c r="D42" s="368" t="s">
        <v>1156</v>
      </c>
      <c r="E42" s="312"/>
      <c r="F42" s="312"/>
      <c r="G42" s="312"/>
      <c r="H42" s="312"/>
      <c r="I42" s="312"/>
      <c r="J42" s="312"/>
      <c r="K42" s="312"/>
      <c r="L42" s="312"/>
      <c r="M42" s="312"/>
      <c r="N42" s="312"/>
      <c r="O42" s="312"/>
      <c r="P42" s="312"/>
      <c r="Q42" s="312"/>
      <c r="R42" s="312"/>
      <c r="S42" s="312"/>
      <c r="T42" s="312"/>
      <c r="U42" s="312"/>
      <c r="V42" s="312"/>
      <c r="W42" s="312"/>
      <c r="X42" s="356"/>
      <c r="Y42" s="356"/>
      <c r="Z42" s="354" t="s">
        <v>1117</v>
      </c>
      <c r="AA42" s="327" t="s">
        <v>1105</v>
      </c>
      <c r="AB42" s="327" t="s">
        <v>1105</v>
      </c>
      <c r="AC42" s="327" t="s">
        <v>1105</v>
      </c>
      <c r="AD42" s="327" t="s">
        <v>1106</v>
      </c>
      <c r="AE42" s="312"/>
      <c r="AF42" s="312"/>
      <c r="AG42" s="312"/>
      <c r="AH42" s="375">
        <v>3</v>
      </c>
      <c r="AI42" s="360">
        <f>GSHPCostSources!E7</f>
        <v>7319</v>
      </c>
      <c r="AJ42" s="376">
        <v>6003</v>
      </c>
      <c r="AK42" s="376">
        <v>12659</v>
      </c>
      <c r="AL42" s="376">
        <v>13476</v>
      </c>
      <c r="AM42" s="376">
        <v>6786</v>
      </c>
      <c r="AN42" s="376">
        <v>7603</v>
      </c>
      <c r="AO42" s="360">
        <f>AL52</f>
        <v>855</v>
      </c>
      <c r="AP42" s="381">
        <f>FORECAST(AH42,$AI$58:$AI$60,$AH$58:$AH$60)</f>
        <v>1574.6666666666667</v>
      </c>
      <c r="AQ42" s="312"/>
      <c r="AR42" s="312"/>
      <c r="AS42" s="312"/>
      <c r="AT42" s="312"/>
      <c r="AU42" s="312"/>
      <c r="AV42" s="312"/>
      <c r="AW42" s="312"/>
      <c r="AX42" s="312"/>
      <c r="AY42" s="312"/>
    </row>
    <row r="43" spans="2:51">
      <c r="B43" s="368" t="s">
        <v>1157</v>
      </c>
      <c r="C43" s="368">
        <v>1</v>
      </c>
      <c r="D43" s="368" t="s">
        <v>1158</v>
      </c>
      <c r="E43" s="312"/>
      <c r="F43" s="312"/>
      <c r="G43" s="312"/>
      <c r="H43" s="312"/>
      <c r="I43" s="312"/>
      <c r="J43" s="312"/>
      <c r="K43" s="312"/>
      <c r="L43" s="312"/>
      <c r="M43" s="312"/>
      <c r="N43" s="312"/>
      <c r="O43" s="312"/>
      <c r="P43" s="312"/>
      <c r="Q43" s="312"/>
      <c r="R43" s="312"/>
      <c r="S43" s="312"/>
      <c r="T43" s="312"/>
      <c r="U43" s="312"/>
      <c r="V43" s="312"/>
      <c r="W43" s="312"/>
      <c r="X43" s="356"/>
      <c r="Y43" s="356"/>
      <c r="Z43" s="322"/>
      <c r="AA43" s="355" t="s">
        <v>1119</v>
      </c>
      <c r="AB43" s="355" t="s">
        <v>1120</v>
      </c>
      <c r="AC43" s="355" t="s">
        <v>1121</v>
      </c>
      <c r="AD43" s="355" t="s">
        <v>1121</v>
      </c>
      <c r="AE43" s="312"/>
      <c r="AF43" s="312"/>
      <c r="AG43" s="312"/>
      <c r="AH43" s="378">
        <v>3.5</v>
      </c>
      <c r="AI43" s="379">
        <f>AVERAGE(AI42,AI44)</f>
        <v>7947.25</v>
      </c>
      <c r="AJ43" s="376">
        <v>6305</v>
      </c>
      <c r="AK43" s="380"/>
      <c r="AL43" s="380"/>
      <c r="AM43" s="380"/>
      <c r="AN43" s="380"/>
      <c r="AO43" s="379">
        <f>AVERAGE(AO42,AO44)</f>
        <v>877.5</v>
      </c>
      <c r="AP43" s="381">
        <f t="shared" ref="AP43:AP47" si="21">FORECAST(AH43,$AI$58:$AI$60,$AH$58:$AH$60)</f>
        <v>1668.1666666666667</v>
      </c>
      <c r="AQ43" s="312"/>
      <c r="AR43" s="312"/>
      <c r="AS43" s="312"/>
      <c r="AT43" s="312"/>
      <c r="AU43" s="312"/>
      <c r="AV43" s="312"/>
      <c r="AW43" s="312"/>
      <c r="AX43" s="312"/>
      <c r="AY43" s="312"/>
    </row>
    <row r="44" spans="2:51">
      <c r="B44" s="368" t="s">
        <v>1159</v>
      </c>
      <c r="C44" s="368">
        <v>5</v>
      </c>
      <c r="D44" s="368" t="s">
        <v>1158</v>
      </c>
      <c r="E44" s="312"/>
      <c r="F44" s="312"/>
      <c r="G44" s="312"/>
      <c r="H44" s="312"/>
      <c r="I44" s="312"/>
      <c r="J44" s="312"/>
      <c r="K44" s="312"/>
      <c r="L44" s="312"/>
      <c r="M44" s="312"/>
      <c r="N44" s="312"/>
      <c r="O44" s="312"/>
      <c r="P44" s="312"/>
      <c r="Q44" s="312"/>
      <c r="R44" s="312"/>
      <c r="S44" s="312"/>
      <c r="T44" s="312"/>
      <c r="U44" s="312"/>
      <c r="V44" s="312"/>
      <c r="W44" s="312"/>
      <c r="X44" s="356"/>
      <c r="Y44" s="356"/>
      <c r="Z44" s="322">
        <v>1568</v>
      </c>
      <c r="AA44" s="327">
        <v>630</v>
      </c>
      <c r="AB44" s="327">
        <v>1243</v>
      </c>
      <c r="AC44" s="327">
        <v>1927</v>
      </c>
      <c r="AD44" s="327">
        <v>1237</v>
      </c>
      <c r="AE44" s="312"/>
      <c r="AF44" s="312"/>
      <c r="AG44" s="312"/>
      <c r="AH44" s="375">
        <v>4</v>
      </c>
      <c r="AI44" s="360">
        <f>GSHPCostSources!E8</f>
        <v>8575.5</v>
      </c>
      <c r="AJ44" s="376">
        <v>6607</v>
      </c>
      <c r="AK44" s="376">
        <v>15260</v>
      </c>
      <c r="AL44" s="376">
        <v>15756</v>
      </c>
      <c r="AM44" s="376">
        <v>8787</v>
      </c>
      <c r="AN44" s="376">
        <v>9283</v>
      </c>
      <c r="AO44" s="360">
        <f>AL53</f>
        <v>900</v>
      </c>
      <c r="AP44" s="381">
        <f t="shared" si="21"/>
        <v>1761.6666666666667</v>
      </c>
      <c r="AQ44" s="312"/>
      <c r="AR44" s="312"/>
      <c r="AS44" s="312"/>
      <c r="AT44" s="312"/>
      <c r="AU44" s="312"/>
      <c r="AV44" s="312"/>
      <c r="AW44" s="312"/>
      <c r="AX44" s="312"/>
      <c r="AY44" s="312"/>
    </row>
    <row r="45" spans="2:51">
      <c r="B45" s="312" t="s">
        <v>1160</v>
      </c>
      <c r="C45" s="312">
        <v>3</v>
      </c>
      <c r="D45" s="312"/>
      <c r="E45" s="312"/>
      <c r="F45" s="312"/>
      <c r="G45" s="312"/>
      <c r="H45" s="312"/>
      <c r="I45" s="312"/>
      <c r="J45" s="312"/>
      <c r="K45" s="312"/>
      <c r="L45" s="312"/>
      <c r="M45" s="312"/>
      <c r="N45" s="312"/>
      <c r="O45" s="312"/>
      <c r="P45" s="312"/>
      <c r="Q45" s="312"/>
      <c r="R45" s="312"/>
      <c r="S45" s="312"/>
      <c r="T45" s="312"/>
      <c r="U45" s="312"/>
      <c r="V45" s="312"/>
      <c r="W45" s="312"/>
      <c r="X45" s="356"/>
      <c r="Y45" s="356"/>
      <c r="Z45" s="322">
        <v>2200</v>
      </c>
      <c r="AA45" s="327">
        <v>685</v>
      </c>
      <c r="AB45" s="327">
        <v>1214</v>
      </c>
      <c r="AC45" s="327">
        <v>1875</v>
      </c>
      <c r="AD45" s="327">
        <v>1207</v>
      </c>
      <c r="AE45" s="312"/>
      <c r="AF45" s="312"/>
      <c r="AG45" s="312"/>
      <c r="AH45" s="378">
        <v>4.5</v>
      </c>
      <c r="AI45" s="379">
        <f>AVERAGE(AI44,AI46)</f>
        <v>9065.75</v>
      </c>
      <c r="AJ45" s="376">
        <v>6909</v>
      </c>
      <c r="AK45" s="380"/>
      <c r="AL45" s="380"/>
      <c r="AM45" s="380"/>
      <c r="AN45" s="380"/>
      <c r="AO45" s="379">
        <f>AVERAGE(AO44,AO46)</f>
        <v>918.75</v>
      </c>
      <c r="AP45" s="381">
        <f t="shared" si="21"/>
        <v>1855.1666666666667</v>
      </c>
      <c r="AQ45" s="312"/>
      <c r="AR45" s="312"/>
      <c r="AS45" s="312"/>
      <c r="AT45" s="312"/>
      <c r="AU45" s="312"/>
      <c r="AV45" s="312"/>
      <c r="AW45" s="312"/>
      <c r="AX45" s="312"/>
      <c r="AY45" s="312"/>
    </row>
    <row r="46" spans="2:51">
      <c r="B46" s="312" t="s">
        <v>1161</v>
      </c>
      <c r="C46" s="312">
        <v>7</v>
      </c>
      <c r="D46" s="312" t="s">
        <v>1158</v>
      </c>
      <c r="E46" s="312"/>
      <c r="F46" s="312"/>
      <c r="G46" s="312"/>
      <c r="H46" s="312"/>
      <c r="I46" s="312"/>
      <c r="J46" s="312"/>
      <c r="K46" s="312"/>
      <c r="L46" s="312"/>
      <c r="M46" s="312"/>
      <c r="N46" s="312"/>
      <c r="O46" s="312"/>
      <c r="P46" s="312"/>
      <c r="Q46" s="312"/>
      <c r="R46" s="312"/>
      <c r="S46" s="312"/>
      <c r="T46" s="312"/>
      <c r="U46" s="312"/>
      <c r="V46" s="312"/>
      <c r="W46" s="312"/>
      <c r="X46" s="312"/>
      <c r="Y46" s="312"/>
      <c r="Z46" s="322">
        <v>2688</v>
      </c>
      <c r="AA46" s="327">
        <v>733</v>
      </c>
      <c r="AB46" s="327">
        <v>1330</v>
      </c>
      <c r="AC46" s="327">
        <v>2079</v>
      </c>
      <c r="AD46" s="327">
        <v>1326</v>
      </c>
      <c r="AF46" s="312"/>
      <c r="AG46" s="312"/>
      <c r="AH46" s="375">
        <v>5</v>
      </c>
      <c r="AI46" s="360">
        <f>GSHPCostSources!E9</f>
        <v>9556</v>
      </c>
      <c r="AJ46" s="376">
        <v>7211</v>
      </c>
      <c r="AK46" s="376">
        <v>17588</v>
      </c>
      <c r="AL46" s="376">
        <v>17600</v>
      </c>
      <c r="AM46" s="376">
        <v>10515</v>
      </c>
      <c r="AN46" s="376">
        <v>10527</v>
      </c>
      <c r="AO46" s="360">
        <f>AL54</f>
        <v>937.5</v>
      </c>
      <c r="AP46" s="381">
        <f t="shared" si="21"/>
        <v>1948.6666666666667</v>
      </c>
      <c r="AQ46" s="312"/>
      <c r="AR46" s="312"/>
      <c r="AS46" s="312"/>
      <c r="AT46" s="312"/>
      <c r="AU46" s="312"/>
      <c r="AV46" s="312"/>
      <c r="AW46" s="312"/>
      <c r="AX46" s="312"/>
      <c r="AY46" s="312"/>
    </row>
    <row r="47" spans="2:51">
      <c r="Z47" s="354" t="s">
        <v>959</v>
      </c>
      <c r="AA47" s="327">
        <v>633</v>
      </c>
      <c r="AB47" s="327">
        <v>1132</v>
      </c>
      <c r="AC47" s="327">
        <v>1759</v>
      </c>
      <c r="AD47" s="327">
        <v>1139</v>
      </c>
      <c r="AH47" s="375">
        <v>6</v>
      </c>
      <c r="AI47" s="360">
        <f>GSHPCostSources!E10</f>
        <v>10099.5</v>
      </c>
      <c r="AJ47" s="376">
        <v>7815</v>
      </c>
      <c r="AK47" s="376">
        <v>19485</v>
      </c>
      <c r="AL47" s="376">
        <v>19672</v>
      </c>
      <c r="AM47" s="376">
        <v>11812</v>
      </c>
      <c r="AN47" s="376">
        <v>11999</v>
      </c>
      <c r="AO47" s="360">
        <f>AO46-AO45+AO46</f>
        <v>956.25</v>
      </c>
      <c r="AP47" s="381">
        <f t="shared" si="21"/>
        <v>2135.666666666667</v>
      </c>
    </row>
    <row r="49" spans="25:38" ht="13.5" thickBot="1">
      <c r="AB49" s="220" t="s">
        <v>1134</v>
      </c>
      <c r="AH49" s="9" t="s">
        <v>1362</v>
      </c>
      <c r="AI49" s="9" t="s">
        <v>1363</v>
      </c>
    </row>
    <row r="50" spans="25:38" ht="38.25">
      <c r="Y50" s="324" t="s">
        <v>1018</v>
      </c>
      <c r="Z50" s="324" t="s">
        <v>1162</v>
      </c>
      <c r="AA50" s="321">
        <v>1568</v>
      </c>
      <c r="AB50" s="321">
        <v>2200</v>
      </c>
      <c r="AC50" s="321">
        <v>2688</v>
      </c>
      <c r="AD50" s="321">
        <v>4000</v>
      </c>
      <c r="AH50" s="382" t="s">
        <v>233</v>
      </c>
      <c r="AI50" s="383" t="s">
        <v>1364</v>
      </c>
      <c r="AJ50" s="383" t="s">
        <v>1365</v>
      </c>
      <c r="AK50" s="384" t="s">
        <v>1163</v>
      </c>
      <c r="AL50" s="385" t="s">
        <v>1164</v>
      </c>
    </row>
    <row r="51" spans="25:38">
      <c r="Y51" s="386" t="s">
        <v>1119</v>
      </c>
      <c r="Z51" s="386" t="s">
        <v>1105</v>
      </c>
      <c r="AA51" s="380">
        <f>AA44</f>
        <v>630</v>
      </c>
      <c r="AB51" s="380">
        <f>AA45</f>
        <v>685</v>
      </c>
      <c r="AC51" s="380">
        <f>AA46</f>
        <v>733</v>
      </c>
      <c r="AD51" s="380">
        <f>AA47</f>
        <v>633</v>
      </c>
      <c r="AE51" s="9">
        <v>0.25</v>
      </c>
      <c r="AF51" s="39">
        <f>AA51*AE51+AB51*AE52+AC51*AE53</f>
        <v>688.05</v>
      </c>
      <c r="AH51" s="387">
        <v>2</v>
      </c>
      <c r="AI51" s="388" t="s">
        <v>1366</v>
      </c>
      <c r="AJ51" s="389">
        <v>800</v>
      </c>
      <c r="AK51" s="390">
        <v>535</v>
      </c>
      <c r="AL51" s="391">
        <v>802.5</v>
      </c>
    </row>
    <row r="52" spans="25:38">
      <c r="Y52" s="386" t="s">
        <v>1120</v>
      </c>
      <c r="Z52" s="386" t="s">
        <v>1105</v>
      </c>
      <c r="AA52" s="380">
        <f>AB44</f>
        <v>1243</v>
      </c>
      <c r="AB52" s="380">
        <f>AB45</f>
        <v>1214</v>
      </c>
      <c r="AC52" s="380">
        <f>AB46</f>
        <v>1330</v>
      </c>
      <c r="AD52" s="380">
        <f>AB47</f>
        <v>1132</v>
      </c>
      <c r="AE52" s="9">
        <v>0.4</v>
      </c>
      <c r="AF52" s="39">
        <f>AA52*AE51+AB52*AE52+AC52*AE53</f>
        <v>1261.8499999999999</v>
      </c>
      <c r="AH52" s="387">
        <v>3</v>
      </c>
      <c r="AI52" s="388" t="s">
        <v>1367</v>
      </c>
      <c r="AJ52" s="389">
        <v>1200</v>
      </c>
      <c r="AK52" s="390">
        <v>570</v>
      </c>
      <c r="AL52" s="391">
        <v>855</v>
      </c>
    </row>
    <row r="53" spans="25:38">
      <c r="Y53" s="392" t="s">
        <v>1121</v>
      </c>
      <c r="Z53" s="386" t="s">
        <v>1105</v>
      </c>
      <c r="AA53" s="380">
        <f>AC44</f>
        <v>1927</v>
      </c>
      <c r="AB53" s="380">
        <f>AC45</f>
        <v>1875</v>
      </c>
      <c r="AC53" s="380">
        <f>AC46</f>
        <v>2079</v>
      </c>
      <c r="AD53" s="380">
        <f>AC47</f>
        <v>1759</v>
      </c>
      <c r="AE53" s="9">
        <v>0.35</v>
      </c>
      <c r="AF53" s="39">
        <f>AA53*AE51+AB53*AE52+AC53*AE53</f>
        <v>1959.4</v>
      </c>
      <c r="AH53" s="387">
        <v>4</v>
      </c>
      <c r="AI53" s="388" t="s">
        <v>1368</v>
      </c>
      <c r="AJ53" s="389">
        <v>1600</v>
      </c>
      <c r="AK53" s="390">
        <v>600</v>
      </c>
      <c r="AL53" s="391">
        <v>900</v>
      </c>
    </row>
    <row r="54" spans="25:38" ht="13.5" thickBot="1">
      <c r="Y54" s="392" t="s">
        <v>1165</v>
      </c>
      <c r="Z54" s="386" t="s">
        <v>1106</v>
      </c>
      <c r="AA54" s="380">
        <f>AD44</f>
        <v>1237</v>
      </c>
      <c r="AB54" s="380">
        <f>AD45</f>
        <v>1207</v>
      </c>
      <c r="AC54" s="380">
        <f>AD46</f>
        <v>1326</v>
      </c>
      <c r="AD54" s="380">
        <f>AD47</f>
        <v>1139</v>
      </c>
      <c r="AF54" s="39">
        <f>AA54*AE51+AB54*AE52+AC54*AE53</f>
        <v>1256.1499999999999</v>
      </c>
      <c r="AH54" s="393">
        <v>5</v>
      </c>
      <c r="AI54" s="394" t="s">
        <v>1369</v>
      </c>
      <c r="AJ54" s="395">
        <v>2000</v>
      </c>
      <c r="AK54" s="396">
        <v>625</v>
      </c>
      <c r="AL54" s="397">
        <v>937.5</v>
      </c>
    </row>
    <row r="55" spans="25:38">
      <c r="AH55" s="49"/>
    </row>
    <row r="56" spans="25:38">
      <c r="AB56" s="398" t="s">
        <v>1166</v>
      </c>
      <c r="AH56" s="49"/>
    </row>
    <row r="57" spans="25:38" ht="35.25">
      <c r="AA57" s="399" t="s">
        <v>1018</v>
      </c>
      <c r="AB57" s="399" t="s">
        <v>1162</v>
      </c>
      <c r="AC57" s="399" t="s">
        <v>1167</v>
      </c>
      <c r="AH57" s="400" t="s">
        <v>1168</v>
      </c>
      <c r="AI57" s="400" t="s">
        <v>1169</v>
      </c>
    </row>
    <row r="58" spans="25:38" ht="15.75">
      <c r="AA58" s="401" t="s">
        <v>1119</v>
      </c>
      <c r="AB58" s="401" t="s">
        <v>1105</v>
      </c>
      <c r="AC58" s="401">
        <v>690</v>
      </c>
      <c r="AH58" s="380">
        <v>1.5</v>
      </c>
      <c r="AI58" s="402">
        <v>1315</v>
      </c>
    </row>
    <row r="59" spans="25:38" ht="15.75">
      <c r="AA59" s="401" t="s">
        <v>1120</v>
      </c>
      <c r="AB59" s="401" t="s">
        <v>1105</v>
      </c>
      <c r="AC59" s="401">
        <v>1270</v>
      </c>
      <c r="AH59" s="380">
        <v>2</v>
      </c>
      <c r="AI59" s="403">
        <v>1346</v>
      </c>
    </row>
    <row r="60" spans="25:38" ht="15.75">
      <c r="AA60" s="404" t="s">
        <v>1121</v>
      </c>
      <c r="AB60" s="401" t="s">
        <v>1105</v>
      </c>
      <c r="AC60" s="405">
        <v>1960</v>
      </c>
      <c r="AH60" s="380">
        <v>2.5</v>
      </c>
      <c r="AI60" s="403">
        <v>1502</v>
      </c>
    </row>
    <row r="61" spans="25:38" ht="15.75">
      <c r="AA61" s="404" t="s">
        <v>1165</v>
      </c>
      <c r="AB61" s="401" t="s">
        <v>1106</v>
      </c>
      <c r="AC61" s="406">
        <v>1260</v>
      </c>
      <c r="AI61" s="407"/>
    </row>
    <row r="62" spans="25:38">
      <c r="AI62" s="407"/>
    </row>
    <row r="63" spans="25:38">
      <c r="AI63" s="407"/>
    </row>
    <row r="64" spans="25:38">
      <c r="AI64" s="407"/>
    </row>
    <row r="65" spans="1:35">
      <c r="A65" s="220"/>
      <c r="AI65" s="407"/>
    </row>
    <row r="66" spans="1:35">
      <c r="AI66" s="407"/>
    </row>
  </sheetData>
  <mergeCells count="1">
    <mergeCell ref="AP4:AR4"/>
  </mergeCells>
  <pageMargins left="0.7" right="0.7" top="0.75" bottom="0.75" header="0.3" footer="0.3"/>
  <legacyDrawing r:id="rId1"/>
</worksheet>
</file>

<file path=xl/worksheets/sheet18.xml><?xml version="1.0" encoding="utf-8"?>
<worksheet xmlns="http://schemas.openxmlformats.org/spreadsheetml/2006/main" xmlns:r="http://schemas.openxmlformats.org/officeDocument/2006/relationships">
  <sheetPr codeName="Sheet30"/>
  <dimension ref="A1:AT86"/>
  <sheetViews>
    <sheetView topLeftCell="D1" zoomScaleNormal="100" workbookViewId="0">
      <selection activeCell="J16" sqref="J16"/>
    </sheetView>
  </sheetViews>
  <sheetFormatPr defaultRowHeight="15"/>
  <cols>
    <col min="1" max="1" width="9" style="447" customWidth="1"/>
    <col min="2" max="2" width="17.140625" style="447" customWidth="1"/>
    <col min="3" max="3" width="29.28515625" style="447" customWidth="1"/>
    <col min="4" max="4" width="28" style="447" customWidth="1"/>
    <col min="5" max="5" width="33" style="447" customWidth="1"/>
    <col min="6" max="6" width="9.140625" style="447"/>
    <col min="7" max="7" width="12.85546875" style="447" customWidth="1"/>
    <col min="8" max="8" width="15.28515625" style="447" customWidth="1"/>
    <col min="9" max="9" width="14" style="447" customWidth="1"/>
    <col min="10" max="11" width="16.5703125" style="447" customWidth="1"/>
    <col min="12" max="12" width="12.140625" style="447" customWidth="1"/>
    <col min="13" max="13" width="9.140625" style="447"/>
    <col min="14" max="14" width="10.7109375" style="447" bestFit="1" customWidth="1"/>
    <col min="15" max="16384" width="9.140625" style="447"/>
  </cols>
  <sheetData>
    <row r="1" spans="1:46" s="442" customFormat="1" ht="15.75" thickBot="1">
      <c r="A1" s="440" t="s">
        <v>1377</v>
      </c>
      <c r="B1" s="441"/>
      <c r="C1" s="441"/>
      <c r="D1" s="441" t="s">
        <v>1903</v>
      </c>
      <c r="E1" s="441"/>
      <c r="F1" s="441"/>
      <c r="G1" s="441"/>
      <c r="H1" s="441"/>
      <c r="I1" s="441"/>
      <c r="N1" s="443"/>
      <c r="S1" s="443"/>
      <c r="T1" s="443"/>
    </row>
    <row r="2" spans="1:46" ht="15" customHeight="1">
      <c r="A2" s="444" t="s">
        <v>1378</v>
      </c>
      <c r="B2" s="445" t="s">
        <v>1379</v>
      </c>
      <c r="C2" s="446" t="s">
        <v>1018</v>
      </c>
      <c r="D2" s="446" t="s">
        <v>1033</v>
      </c>
      <c r="E2" s="446" t="s">
        <v>1380</v>
      </c>
      <c r="F2" s="666" t="s">
        <v>1381</v>
      </c>
      <c r="G2" s="651" t="s">
        <v>1382</v>
      </c>
      <c r="H2" s="652"/>
      <c r="I2" s="652"/>
      <c r="J2" s="652"/>
      <c r="K2" s="652"/>
      <c r="L2" s="653"/>
      <c r="N2" s="448"/>
      <c r="S2" s="448"/>
      <c r="T2" s="448"/>
    </row>
    <row r="3" spans="1:46" ht="33" customHeight="1">
      <c r="A3" s="444"/>
      <c r="B3" s="449"/>
      <c r="C3" s="450"/>
      <c r="D3" s="450"/>
      <c r="E3" s="450"/>
      <c r="F3" s="667"/>
      <c r="G3" s="451"/>
      <c r="H3" s="654" t="s">
        <v>1031</v>
      </c>
      <c r="I3" s="654"/>
      <c r="J3" s="654" t="s">
        <v>1032</v>
      </c>
      <c r="K3" s="654"/>
      <c r="L3" s="452"/>
      <c r="N3" s="448"/>
      <c r="S3" s="448"/>
      <c r="T3" s="448"/>
    </row>
    <row r="4" spans="1:46" ht="45.75" thickBot="1">
      <c r="A4" s="453" t="s">
        <v>1383</v>
      </c>
      <c r="B4" s="454"/>
      <c r="C4" s="455"/>
      <c r="D4" s="455" t="s">
        <v>1033</v>
      </c>
      <c r="E4" s="455"/>
      <c r="F4" s="456"/>
      <c r="G4" s="457" t="s">
        <v>1034</v>
      </c>
      <c r="H4" s="458" t="s">
        <v>1035</v>
      </c>
      <c r="I4" s="458" t="s">
        <v>1036</v>
      </c>
      <c r="J4" s="458" t="s">
        <v>1037</v>
      </c>
      <c r="K4" s="458" t="s">
        <v>1038</v>
      </c>
      <c r="L4" s="459" t="s">
        <v>1039</v>
      </c>
      <c r="AC4" s="447" t="s">
        <v>1017</v>
      </c>
      <c r="AD4" s="448">
        <v>2.5000000000000001E-2</v>
      </c>
      <c r="AE4" s="447">
        <f t="shared" ref="AE4:AT4" si="0">AD4+0.025</f>
        <v>0.05</v>
      </c>
      <c r="AF4" s="447">
        <f t="shared" si="0"/>
        <v>7.5000000000000011E-2</v>
      </c>
      <c r="AG4" s="447">
        <f t="shared" si="0"/>
        <v>0.1</v>
      </c>
      <c r="AH4" s="447">
        <f t="shared" si="0"/>
        <v>0.125</v>
      </c>
      <c r="AI4" s="447">
        <f t="shared" si="0"/>
        <v>0.15</v>
      </c>
      <c r="AJ4" s="447">
        <f t="shared" si="0"/>
        <v>0.17499999999999999</v>
      </c>
      <c r="AK4" s="447">
        <f t="shared" si="0"/>
        <v>0.19999999999999998</v>
      </c>
      <c r="AL4" s="447">
        <f t="shared" si="0"/>
        <v>0.22499999999999998</v>
      </c>
      <c r="AM4" s="447">
        <f t="shared" si="0"/>
        <v>0.24999999999999997</v>
      </c>
      <c r="AN4" s="447">
        <f t="shared" si="0"/>
        <v>0.27499999999999997</v>
      </c>
      <c r="AO4" s="447">
        <f t="shared" si="0"/>
        <v>0.3</v>
      </c>
      <c r="AP4" s="447">
        <f t="shared" si="0"/>
        <v>0.32500000000000001</v>
      </c>
      <c r="AQ4" s="447">
        <f t="shared" si="0"/>
        <v>0.35000000000000003</v>
      </c>
      <c r="AR4" s="447">
        <f t="shared" si="0"/>
        <v>0.37500000000000006</v>
      </c>
      <c r="AS4" s="447">
        <f t="shared" si="0"/>
        <v>0.40000000000000008</v>
      </c>
      <c r="AT4" s="447">
        <f t="shared" si="0"/>
        <v>0.4250000000000001</v>
      </c>
    </row>
    <row r="5" spans="1:46">
      <c r="A5" s="444" t="s">
        <v>1384</v>
      </c>
      <c r="B5" s="460" t="s">
        <v>1385</v>
      </c>
      <c r="C5" s="461">
        <v>1</v>
      </c>
      <c r="D5" s="462">
        <v>0.2</v>
      </c>
      <c r="E5" s="462">
        <v>7.4999999999999997E-2</v>
      </c>
      <c r="F5" s="463">
        <v>0.05</v>
      </c>
      <c r="G5" s="464">
        <f t="shared" ref="G5:G13" si="1">F5*H5+I5</f>
        <v>1.0838942359298667</v>
      </c>
      <c r="H5" s="465">
        <f>J5*0.5</f>
        <v>-1.7891839873873931</v>
      </c>
      <c r="I5" s="465">
        <f>(E5*J5+K5)-E5*H5</f>
        <v>1.1733534352992363</v>
      </c>
      <c r="J5" s="465">
        <v>-3.5783679747747863</v>
      </c>
      <c r="K5" s="465">
        <v>1.3075422343532908</v>
      </c>
      <c r="L5" s="466">
        <v>0.59186863939833356</v>
      </c>
      <c r="AC5" s="447" t="str">
        <f>B5&amp;" Heating Zone "&amp;C5</f>
        <v>eFAF or Zonal Heating Zone 1</v>
      </c>
      <c r="AD5" s="447">
        <f t="shared" ref="AD5:AS13" si="2">IF(AD$4&lt;$F5,$G5,IF(AD$4&lt;$E5,AD$4*$H5+$I5,IF(AD$4&lt;$D5,AD$4*$J5+$K5,$L5)))</f>
        <v>1.0838942359298667</v>
      </c>
      <c r="AE5" s="447">
        <f t="shared" si="2"/>
        <v>1.0838942359298667</v>
      </c>
      <c r="AF5" s="447">
        <f t="shared" si="2"/>
        <v>1.0391646362451818</v>
      </c>
      <c r="AG5" s="447">
        <f t="shared" si="2"/>
        <v>0.9497054368758121</v>
      </c>
      <c r="AH5" s="447">
        <f t="shared" si="2"/>
        <v>0.86024623750644247</v>
      </c>
      <c r="AI5" s="447">
        <f t="shared" si="2"/>
        <v>0.77078703813707283</v>
      </c>
      <c r="AJ5" s="447">
        <f t="shared" si="2"/>
        <v>0.6813278387677032</v>
      </c>
      <c r="AK5" s="447">
        <f t="shared" si="2"/>
        <v>0.59186863939833356</v>
      </c>
      <c r="AL5" s="447">
        <f t="shared" si="2"/>
        <v>0.59186863939833356</v>
      </c>
      <c r="AM5" s="447">
        <f t="shared" si="2"/>
        <v>0.59186863939833356</v>
      </c>
      <c r="AN5" s="447">
        <f t="shared" si="2"/>
        <v>0.59186863939833356</v>
      </c>
      <c r="AO5" s="447">
        <f t="shared" si="2"/>
        <v>0.59186863939833356</v>
      </c>
      <c r="AP5" s="447">
        <f t="shared" si="2"/>
        <v>0.59186863939833356</v>
      </c>
      <c r="AQ5" s="447">
        <f t="shared" si="2"/>
        <v>0.59186863939833356</v>
      </c>
      <c r="AR5" s="447">
        <f t="shared" si="2"/>
        <v>0.59186863939833356</v>
      </c>
      <c r="AS5" s="447">
        <f t="shared" si="2"/>
        <v>0.59186863939833356</v>
      </c>
      <c r="AT5" s="447">
        <f t="shared" ref="AN5:AT13" si="3">IF(AT$4&lt;$F5,$G5,IF(AT$4&lt;$E5,AT$4*$H5+$I5,IF(AT$4&lt;$D5,AT$4*$J5+$K5,$L5)))</f>
        <v>0.59186863939833356</v>
      </c>
    </row>
    <row r="6" spans="1:46">
      <c r="A6" s="444" t="s">
        <v>1386</v>
      </c>
      <c r="B6" s="467" t="s">
        <v>1385</v>
      </c>
      <c r="C6" s="468">
        <v>2</v>
      </c>
      <c r="D6" s="469">
        <v>0.17499999999999999</v>
      </c>
      <c r="E6" s="469">
        <f t="shared" ref="E6:F13" si="4">E5</f>
        <v>7.4999999999999997E-2</v>
      </c>
      <c r="F6" s="470">
        <f t="shared" si="4"/>
        <v>0.05</v>
      </c>
      <c r="G6" s="471">
        <f t="shared" si="1"/>
        <v>0.93686113334762611</v>
      </c>
      <c r="H6" s="472">
        <f>J6*0.5</f>
        <v>-1.6388665489986498</v>
      </c>
      <c r="I6" s="472">
        <f>(E6*J6+K6)-E6*H6</f>
        <v>1.0188044607975586</v>
      </c>
      <c r="J6" s="472">
        <v>-3.2777330979972996</v>
      </c>
      <c r="K6" s="472">
        <v>1.1417194519724574</v>
      </c>
      <c r="L6" s="473">
        <v>0.56811615982292996</v>
      </c>
      <c r="AC6" s="447" t="str">
        <f>B6&amp;" Heating Zone "&amp;C6</f>
        <v>eFAF or Zonal Heating Zone 2</v>
      </c>
      <c r="AD6" s="447">
        <f t="shared" si="2"/>
        <v>0.93686113334762611</v>
      </c>
      <c r="AE6" s="447">
        <f t="shared" si="2"/>
        <v>0.93686113334762611</v>
      </c>
      <c r="AF6" s="447">
        <f t="shared" si="2"/>
        <v>0.89588946962265992</v>
      </c>
      <c r="AG6" s="447">
        <f t="shared" si="2"/>
        <v>0.81394614217272743</v>
      </c>
      <c r="AH6" s="447">
        <f t="shared" si="2"/>
        <v>0.73200281472279494</v>
      </c>
      <c r="AI6" s="447">
        <f t="shared" si="2"/>
        <v>0.65005948727286245</v>
      </c>
      <c r="AJ6" s="447">
        <f t="shared" si="2"/>
        <v>0.56811615982292996</v>
      </c>
      <c r="AK6" s="447">
        <f t="shared" si="2"/>
        <v>0.56811615982292996</v>
      </c>
      <c r="AL6" s="447">
        <f t="shared" si="2"/>
        <v>0.56811615982292996</v>
      </c>
      <c r="AM6" s="447">
        <f t="shared" si="2"/>
        <v>0.56811615982292996</v>
      </c>
      <c r="AN6" s="447">
        <f t="shared" si="3"/>
        <v>0.56811615982292996</v>
      </c>
      <c r="AO6" s="447">
        <f t="shared" si="3"/>
        <v>0.56811615982292996</v>
      </c>
      <c r="AP6" s="447">
        <f t="shared" si="3"/>
        <v>0.56811615982292996</v>
      </c>
      <c r="AQ6" s="447">
        <f t="shared" si="3"/>
        <v>0.56811615982292996</v>
      </c>
      <c r="AR6" s="447">
        <f t="shared" si="3"/>
        <v>0.56811615982292996</v>
      </c>
      <c r="AS6" s="447">
        <f t="shared" si="3"/>
        <v>0.56811615982292996</v>
      </c>
      <c r="AT6" s="447">
        <f t="shared" si="3"/>
        <v>0.56811615982292996</v>
      </c>
    </row>
    <row r="7" spans="1:46" ht="15.75" thickBot="1">
      <c r="A7" s="444" t="s">
        <v>1387</v>
      </c>
      <c r="B7" s="474" t="s">
        <v>1385</v>
      </c>
      <c r="C7" s="475">
        <v>3</v>
      </c>
      <c r="D7" s="476">
        <v>0.15</v>
      </c>
      <c r="E7" s="476">
        <f t="shared" si="4"/>
        <v>7.4999999999999997E-2</v>
      </c>
      <c r="F7" s="477">
        <f t="shared" si="4"/>
        <v>0.05</v>
      </c>
      <c r="G7" s="478">
        <f t="shared" si="1"/>
        <v>0.80268820081276648</v>
      </c>
      <c r="H7" s="479">
        <f>J7*0.5</f>
        <v>-1.4991086543264873</v>
      </c>
      <c r="I7" s="479">
        <f>(E7*J7+K7)-E7*H7</f>
        <v>0.87764363352909092</v>
      </c>
      <c r="J7" s="479">
        <v>-2.9982173086529746</v>
      </c>
      <c r="K7" s="479">
        <v>0.99007678260357745</v>
      </c>
      <c r="L7" s="480">
        <v>0.5403441863056313</v>
      </c>
      <c r="AC7" s="447" t="str">
        <f>B7&amp;" Heating Zone "&amp;C7</f>
        <v>eFAF or Zonal Heating Zone 3</v>
      </c>
      <c r="AD7" s="447">
        <f t="shared" si="2"/>
        <v>0.80268820081276648</v>
      </c>
      <c r="AE7" s="447">
        <f t="shared" si="2"/>
        <v>0.80268820081276648</v>
      </c>
      <c r="AF7" s="447">
        <f t="shared" si="2"/>
        <v>0.76521048445460438</v>
      </c>
      <c r="AG7" s="447">
        <f t="shared" si="2"/>
        <v>0.69025505173827995</v>
      </c>
      <c r="AH7" s="447">
        <f t="shared" si="2"/>
        <v>0.61529961902195562</v>
      </c>
      <c r="AI7" s="447">
        <f t="shared" si="2"/>
        <v>0.5403441863056313</v>
      </c>
      <c r="AJ7" s="447">
        <f t="shared" si="2"/>
        <v>0.5403441863056313</v>
      </c>
      <c r="AK7" s="447">
        <f t="shared" si="2"/>
        <v>0.5403441863056313</v>
      </c>
      <c r="AL7" s="447">
        <f t="shared" si="2"/>
        <v>0.5403441863056313</v>
      </c>
      <c r="AM7" s="447">
        <f t="shared" si="2"/>
        <v>0.5403441863056313</v>
      </c>
      <c r="AN7" s="447">
        <f t="shared" si="3"/>
        <v>0.5403441863056313</v>
      </c>
      <c r="AO7" s="447">
        <f t="shared" si="3"/>
        <v>0.5403441863056313</v>
      </c>
      <c r="AP7" s="447">
        <f t="shared" si="3"/>
        <v>0.5403441863056313</v>
      </c>
      <c r="AQ7" s="447">
        <f t="shared" si="3"/>
        <v>0.5403441863056313</v>
      </c>
      <c r="AR7" s="447">
        <f t="shared" si="3"/>
        <v>0.5403441863056313</v>
      </c>
      <c r="AS7" s="447">
        <f t="shared" si="3"/>
        <v>0.5403441863056313</v>
      </c>
      <c r="AT7" s="447">
        <f t="shared" si="3"/>
        <v>0.5403441863056313</v>
      </c>
    </row>
    <row r="8" spans="1:46">
      <c r="A8" s="481" t="s">
        <v>1388</v>
      </c>
      <c r="B8" s="482" t="s">
        <v>1389</v>
      </c>
      <c r="C8" s="483">
        <v>1</v>
      </c>
      <c r="D8" s="484">
        <v>0.2</v>
      </c>
      <c r="E8" s="485">
        <f t="shared" si="4"/>
        <v>7.4999999999999997E-2</v>
      </c>
      <c r="F8" s="486">
        <f t="shared" si="4"/>
        <v>0.05</v>
      </c>
      <c r="G8" s="487">
        <f t="shared" ref="G8:I10" si="5">G11*$N$9+G5*(1-$N$9)</f>
        <v>1.2494484498244463</v>
      </c>
      <c r="H8" s="488">
        <f t="shared" si="5"/>
        <v>-2.0485948384309296</v>
      </c>
      <c r="I8" s="488">
        <f t="shared" si="5"/>
        <v>1.3518781917459926</v>
      </c>
      <c r="J8" s="488">
        <v>-4.0971896768618592</v>
      </c>
      <c r="K8" s="488">
        <v>1.5055228046283124</v>
      </c>
      <c r="L8" s="489">
        <v>0.6860848692559407</v>
      </c>
      <c r="N8" s="490" t="s">
        <v>1390</v>
      </c>
      <c r="AC8" s="447" t="str">
        <f t="shared" ref="AC8:AC10" si="6">B8&amp;" Heating Zone "&amp;C8</f>
        <v>DHP Heating Zone 1</v>
      </c>
      <c r="AD8" s="447">
        <f t="shared" si="2"/>
        <v>1.2494484498244463</v>
      </c>
      <c r="AE8" s="447">
        <f t="shared" si="2"/>
        <v>1.249448449824446</v>
      </c>
      <c r="AF8" s="447">
        <f t="shared" si="2"/>
        <v>1.1982335788636731</v>
      </c>
      <c r="AG8" s="447">
        <f t="shared" si="2"/>
        <v>1.0958038369421266</v>
      </c>
      <c r="AH8" s="447">
        <f t="shared" si="2"/>
        <v>0.99337409502058005</v>
      </c>
      <c r="AI8" s="447">
        <f t="shared" si="2"/>
        <v>0.89094435309903364</v>
      </c>
      <c r="AJ8" s="447">
        <f t="shared" si="2"/>
        <v>0.78851461117748711</v>
      </c>
      <c r="AK8" s="447">
        <f t="shared" si="2"/>
        <v>0.6860848692559407</v>
      </c>
      <c r="AL8" s="447">
        <f t="shared" si="2"/>
        <v>0.6860848692559407</v>
      </c>
      <c r="AM8" s="447">
        <f t="shared" si="2"/>
        <v>0.6860848692559407</v>
      </c>
      <c r="AN8" s="447">
        <f t="shared" si="3"/>
        <v>0.6860848692559407</v>
      </c>
      <c r="AO8" s="447">
        <f t="shared" si="3"/>
        <v>0.6860848692559407</v>
      </c>
      <c r="AP8" s="447">
        <f t="shared" si="3"/>
        <v>0.6860848692559407</v>
      </c>
      <c r="AQ8" s="447">
        <f t="shared" si="3"/>
        <v>0.6860848692559407</v>
      </c>
      <c r="AR8" s="447">
        <f t="shared" si="3"/>
        <v>0.6860848692559407</v>
      </c>
      <c r="AS8" s="447">
        <f t="shared" si="3"/>
        <v>0.6860848692559407</v>
      </c>
      <c r="AT8" s="447">
        <f t="shared" si="3"/>
        <v>0.6860848692559407</v>
      </c>
    </row>
    <row r="9" spans="1:46">
      <c r="A9" s="481" t="s">
        <v>1391</v>
      </c>
      <c r="B9" s="491" t="s">
        <v>1389</v>
      </c>
      <c r="C9" s="492">
        <v>2</v>
      </c>
      <c r="D9" s="493">
        <v>0.17499999999999999</v>
      </c>
      <c r="E9" s="494">
        <f t="shared" si="4"/>
        <v>7.4999999999999997E-2</v>
      </c>
      <c r="F9" s="495">
        <f t="shared" si="4"/>
        <v>0.05</v>
      </c>
      <c r="G9" s="496">
        <f t="shared" si="5"/>
        <v>1.0786867328570369</v>
      </c>
      <c r="H9" s="497">
        <f t="shared" si="5"/>
        <v>-1.8635225440832597</v>
      </c>
      <c r="I9" s="497">
        <f t="shared" si="5"/>
        <v>1.1718628600611998</v>
      </c>
      <c r="J9" s="497">
        <v>-3.7270450881665194</v>
      </c>
      <c r="K9" s="497">
        <v>1.3116270508674441</v>
      </c>
      <c r="L9" s="498">
        <v>0.65939416043830346</v>
      </c>
      <c r="N9" s="499">
        <v>0.5462080518447171</v>
      </c>
      <c r="AC9" s="447" t="str">
        <f t="shared" si="6"/>
        <v>DHP Heating Zone 2</v>
      </c>
      <c r="AD9" s="447">
        <f t="shared" si="2"/>
        <v>1.0786867328570369</v>
      </c>
      <c r="AE9" s="447">
        <f t="shared" si="2"/>
        <v>1.0786867328570369</v>
      </c>
      <c r="AF9" s="447">
        <f t="shared" si="2"/>
        <v>1.0320986692549552</v>
      </c>
      <c r="AG9" s="447">
        <f t="shared" si="2"/>
        <v>0.93892254205079217</v>
      </c>
      <c r="AH9" s="447">
        <f t="shared" si="2"/>
        <v>0.84574641484662916</v>
      </c>
      <c r="AI9" s="447">
        <f t="shared" si="2"/>
        <v>0.75257028764246625</v>
      </c>
      <c r="AJ9" s="447">
        <f t="shared" si="2"/>
        <v>0.65939416043830346</v>
      </c>
      <c r="AK9" s="447">
        <f t="shared" si="2"/>
        <v>0.65939416043830346</v>
      </c>
      <c r="AL9" s="447">
        <f t="shared" si="2"/>
        <v>0.65939416043830346</v>
      </c>
      <c r="AM9" s="447">
        <f t="shared" si="2"/>
        <v>0.65939416043830346</v>
      </c>
      <c r="AN9" s="447">
        <f t="shared" si="3"/>
        <v>0.65939416043830346</v>
      </c>
      <c r="AO9" s="447">
        <f t="shared" si="3"/>
        <v>0.65939416043830346</v>
      </c>
      <c r="AP9" s="447">
        <f t="shared" si="3"/>
        <v>0.65939416043830346</v>
      </c>
      <c r="AQ9" s="447">
        <f t="shared" si="3"/>
        <v>0.65939416043830346</v>
      </c>
      <c r="AR9" s="447">
        <f t="shared" si="3"/>
        <v>0.65939416043830346</v>
      </c>
      <c r="AS9" s="447">
        <f t="shared" si="3"/>
        <v>0.65939416043830346</v>
      </c>
      <c r="AT9" s="447">
        <f t="shared" si="3"/>
        <v>0.65939416043830346</v>
      </c>
    </row>
    <row r="10" spans="1:46" ht="15.75" thickBot="1">
      <c r="A10" s="481" t="s">
        <v>1392</v>
      </c>
      <c r="B10" s="500" t="s">
        <v>1389</v>
      </c>
      <c r="C10" s="501">
        <v>3</v>
      </c>
      <c r="D10" s="502">
        <v>0.15</v>
      </c>
      <c r="E10" s="503">
        <f t="shared" si="4"/>
        <v>7.4999999999999997E-2</v>
      </c>
      <c r="F10" s="504">
        <f t="shared" si="4"/>
        <v>0.05</v>
      </c>
      <c r="G10" s="505">
        <f t="shared" si="5"/>
        <v>0.92462856726317277</v>
      </c>
      <c r="H10" s="506">
        <f t="shared" si="5"/>
        <v>-1.6935817467707097</v>
      </c>
      <c r="I10" s="506">
        <f t="shared" si="5"/>
        <v>1.0093076546017083</v>
      </c>
      <c r="J10" s="506">
        <v>-3.3871634935414194</v>
      </c>
      <c r="K10" s="506">
        <v>1.1363262856095115</v>
      </c>
      <c r="L10" s="507">
        <v>0.62825176157829843</v>
      </c>
      <c r="AC10" s="447" t="str">
        <f t="shared" si="6"/>
        <v>DHP Heating Zone 3</v>
      </c>
      <c r="AD10" s="447">
        <f t="shared" si="2"/>
        <v>0.92462856726317277</v>
      </c>
      <c r="AE10" s="447">
        <f t="shared" si="2"/>
        <v>0.92462856726317288</v>
      </c>
      <c r="AF10" s="447">
        <f t="shared" si="2"/>
        <v>0.88228902359390504</v>
      </c>
      <c r="AG10" s="447">
        <f t="shared" si="2"/>
        <v>0.79760993625536958</v>
      </c>
      <c r="AH10" s="447">
        <f t="shared" si="2"/>
        <v>0.71293084891683411</v>
      </c>
      <c r="AI10" s="447">
        <f t="shared" si="2"/>
        <v>0.62825176157829843</v>
      </c>
      <c r="AJ10" s="447">
        <f t="shared" si="2"/>
        <v>0.62825176157829843</v>
      </c>
      <c r="AK10" s="447">
        <f t="shared" si="2"/>
        <v>0.62825176157829843</v>
      </c>
      <c r="AL10" s="447">
        <f t="shared" si="2"/>
        <v>0.62825176157829843</v>
      </c>
      <c r="AM10" s="447">
        <f t="shared" si="2"/>
        <v>0.62825176157829843</v>
      </c>
      <c r="AN10" s="447">
        <f t="shared" si="3"/>
        <v>0.62825176157829843</v>
      </c>
      <c r="AO10" s="447">
        <f t="shared" si="3"/>
        <v>0.62825176157829843</v>
      </c>
      <c r="AP10" s="447">
        <f t="shared" si="3"/>
        <v>0.62825176157829843</v>
      </c>
      <c r="AQ10" s="447">
        <f t="shared" si="3"/>
        <v>0.62825176157829843</v>
      </c>
      <c r="AR10" s="447">
        <f t="shared" si="3"/>
        <v>0.62825176157829843</v>
      </c>
      <c r="AS10" s="447">
        <f t="shared" si="3"/>
        <v>0.62825176157829843</v>
      </c>
      <c r="AT10" s="447">
        <f t="shared" si="3"/>
        <v>0.62825176157829843</v>
      </c>
    </row>
    <row r="11" spans="1:46">
      <c r="A11" s="481" t="s">
        <v>1393</v>
      </c>
      <c r="B11" s="508" t="s">
        <v>1394</v>
      </c>
      <c r="C11" s="509">
        <v>1</v>
      </c>
      <c r="D11" s="510">
        <v>0.2</v>
      </c>
      <c r="E11" s="510">
        <f t="shared" si="4"/>
        <v>7.4999999999999997E-2</v>
      </c>
      <c r="F11" s="511">
        <f t="shared" si="4"/>
        <v>0.05</v>
      </c>
      <c r="G11" s="512">
        <f t="shared" si="1"/>
        <v>1.3869915874526988</v>
      </c>
      <c r="H11" s="513">
        <f>J11*0.5</f>
        <v>-2.2641144651923684</v>
      </c>
      <c r="I11" s="513">
        <f>(E11*J11+K11)-E11*H11</f>
        <v>1.5001973107123172</v>
      </c>
      <c r="J11" s="513">
        <v>-4.5282289303847367</v>
      </c>
      <c r="K11" s="513">
        <v>1.6700058956017449</v>
      </c>
      <c r="L11" s="514">
        <v>0.7643601095247976</v>
      </c>
      <c r="AC11" s="447" t="str">
        <f>B11&amp;" Heating Zone "&amp;C11</f>
        <v>HP or Gas FAF Heating Zone 1</v>
      </c>
      <c r="AD11" s="447">
        <f t="shared" si="2"/>
        <v>1.3869915874526988</v>
      </c>
      <c r="AE11" s="447">
        <f t="shared" si="2"/>
        <v>1.3869915874526988</v>
      </c>
      <c r="AF11" s="447">
        <f t="shared" si="2"/>
        <v>1.3303887258228897</v>
      </c>
      <c r="AG11" s="447">
        <f t="shared" si="2"/>
        <v>1.2171830025632713</v>
      </c>
      <c r="AH11" s="447">
        <f t="shared" si="2"/>
        <v>1.1039772793036529</v>
      </c>
      <c r="AI11" s="447">
        <f t="shared" si="2"/>
        <v>0.99077155604403444</v>
      </c>
      <c r="AJ11" s="447">
        <f t="shared" si="2"/>
        <v>0.87756583278441602</v>
      </c>
      <c r="AK11" s="447">
        <f t="shared" si="2"/>
        <v>0.7643601095247976</v>
      </c>
      <c r="AL11" s="447">
        <f t="shared" si="2"/>
        <v>0.7643601095247976</v>
      </c>
      <c r="AM11" s="447">
        <f t="shared" si="2"/>
        <v>0.7643601095247976</v>
      </c>
      <c r="AN11" s="447">
        <f t="shared" si="3"/>
        <v>0.7643601095247976</v>
      </c>
      <c r="AO11" s="447">
        <f t="shared" si="3"/>
        <v>0.7643601095247976</v>
      </c>
      <c r="AP11" s="447">
        <f t="shared" si="3"/>
        <v>0.7643601095247976</v>
      </c>
      <c r="AQ11" s="447">
        <f t="shared" si="3"/>
        <v>0.7643601095247976</v>
      </c>
      <c r="AR11" s="447">
        <f t="shared" si="3"/>
        <v>0.7643601095247976</v>
      </c>
      <c r="AS11" s="447">
        <f t="shared" si="3"/>
        <v>0.7643601095247976</v>
      </c>
      <c r="AT11" s="447">
        <f t="shared" si="3"/>
        <v>0.7643601095247976</v>
      </c>
    </row>
    <row r="12" spans="1:46">
      <c r="A12" s="481" t="s">
        <v>1395</v>
      </c>
      <c r="B12" s="467" t="s">
        <v>1394</v>
      </c>
      <c r="C12" s="468">
        <v>2</v>
      </c>
      <c r="D12" s="469">
        <v>0.17499999999999999</v>
      </c>
      <c r="E12" s="469">
        <f t="shared" si="4"/>
        <v>7.4999999999999997E-2</v>
      </c>
      <c r="F12" s="470">
        <f t="shared" si="4"/>
        <v>0.05</v>
      </c>
      <c r="G12" s="471">
        <f t="shared" si="1"/>
        <v>1.1965160377936901</v>
      </c>
      <c r="H12" s="472">
        <f>J12*0.5</f>
        <v>-2.050167690250368</v>
      </c>
      <c r="I12" s="472">
        <f>(E12*J12+K12)-E12*H12</f>
        <v>1.2990244223062084</v>
      </c>
      <c r="J12" s="472">
        <v>-4.1003353805007361</v>
      </c>
      <c r="K12" s="472">
        <v>1.452786999074986</v>
      </c>
      <c r="L12" s="473">
        <v>0.73522830748735724</v>
      </c>
      <c r="AC12" s="447" t="str">
        <f>B12&amp;" Heating Zone "&amp;C12</f>
        <v>HP or Gas FAF Heating Zone 2</v>
      </c>
      <c r="AD12" s="447">
        <f t="shared" si="2"/>
        <v>1.1965160377936901</v>
      </c>
      <c r="AE12" s="447">
        <f t="shared" si="2"/>
        <v>1.1965160377936901</v>
      </c>
      <c r="AF12" s="447">
        <f t="shared" si="2"/>
        <v>1.1452618455374308</v>
      </c>
      <c r="AG12" s="447">
        <f t="shared" si="2"/>
        <v>1.0427534610249123</v>
      </c>
      <c r="AH12" s="447">
        <f t="shared" si="2"/>
        <v>0.94024507651239397</v>
      </c>
      <c r="AI12" s="447">
        <f t="shared" si="2"/>
        <v>0.83773669199987555</v>
      </c>
      <c r="AJ12" s="447">
        <f t="shared" si="2"/>
        <v>0.73522830748735724</v>
      </c>
      <c r="AK12" s="447">
        <f t="shared" si="2"/>
        <v>0.73522830748735724</v>
      </c>
      <c r="AL12" s="447">
        <f t="shared" si="2"/>
        <v>0.73522830748735724</v>
      </c>
      <c r="AM12" s="447">
        <f t="shared" si="2"/>
        <v>0.73522830748735724</v>
      </c>
      <c r="AN12" s="447">
        <f t="shared" si="3"/>
        <v>0.73522830748735724</v>
      </c>
      <c r="AO12" s="447">
        <f t="shared" si="3"/>
        <v>0.73522830748735724</v>
      </c>
      <c r="AP12" s="447">
        <f t="shared" si="3"/>
        <v>0.73522830748735724</v>
      </c>
      <c r="AQ12" s="447">
        <f t="shared" si="3"/>
        <v>0.73522830748735724</v>
      </c>
      <c r="AR12" s="447">
        <f t="shared" si="3"/>
        <v>0.73522830748735724</v>
      </c>
      <c r="AS12" s="447">
        <f t="shared" si="3"/>
        <v>0.73522830748735724</v>
      </c>
      <c r="AT12" s="447">
        <f t="shared" si="3"/>
        <v>0.73522830748735724</v>
      </c>
    </row>
    <row r="13" spans="1:46" ht="15.75" thickBot="1">
      <c r="A13" s="481" t="s">
        <v>1396</v>
      </c>
      <c r="B13" s="515" t="s">
        <v>1394</v>
      </c>
      <c r="C13" s="516">
        <v>3</v>
      </c>
      <c r="D13" s="517">
        <v>0.15</v>
      </c>
      <c r="E13" s="517">
        <f t="shared" si="4"/>
        <v>7.4999999999999997E-2</v>
      </c>
      <c r="F13" s="518">
        <f t="shared" si="4"/>
        <v>0.05</v>
      </c>
      <c r="G13" s="519">
        <f t="shared" si="1"/>
        <v>1.0259371368886356</v>
      </c>
      <c r="H13" s="520">
        <f>J13*0.5</f>
        <v>-1.8551508104013119</v>
      </c>
      <c r="I13" s="520">
        <f>(E13*J13+K13)-E13*H13</f>
        <v>1.1186946774087012</v>
      </c>
      <c r="J13" s="520">
        <v>-3.7103016208026238</v>
      </c>
      <c r="K13" s="520">
        <v>1.2578309881887995</v>
      </c>
      <c r="L13" s="521">
        <v>0.7012857450684058</v>
      </c>
      <c r="AC13" s="447" t="str">
        <f>B13&amp;" Heating Zone "&amp;C13</f>
        <v>HP or Gas FAF Heating Zone 3</v>
      </c>
      <c r="AD13" s="447">
        <f t="shared" si="2"/>
        <v>1.0259371368886356</v>
      </c>
      <c r="AE13" s="447">
        <f t="shared" si="2"/>
        <v>1.0259371368886356</v>
      </c>
      <c r="AF13" s="447">
        <f t="shared" si="2"/>
        <v>0.97955836662860263</v>
      </c>
      <c r="AG13" s="447">
        <f t="shared" si="2"/>
        <v>0.88680082610853705</v>
      </c>
      <c r="AH13" s="447">
        <f t="shared" si="2"/>
        <v>0.79404328558847148</v>
      </c>
      <c r="AI13" s="447">
        <f t="shared" si="2"/>
        <v>0.7012857450684058</v>
      </c>
      <c r="AJ13" s="447">
        <f t="shared" si="2"/>
        <v>0.7012857450684058</v>
      </c>
      <c r="AK13" s="447">
        <f t="shared" si="2"/>
        <v>0.7012857450684058</v>
      </c>
      <c r="AL13" s="447">
        <f t="shared" si="2"/>
        <v>0.7012857450684058</v>
      </c>
      <c r="AM13" s="447">
        <f t="shared" si="2"/>
        <v>0.7012857450684058</v>
      </c>
      <c r="AN13" s="447">
        <f t="shared" si="3"/>
        <v>0.7012857450684058</v>
      </c>
      <c r="AO13" s="447">
        <f t="shared" si="3"/>
        <v>0.7012857450684058</v>
      </c>
      <c r="AP13" s="447">
        <f t="shared" si="3"/>
        <v>0.7012857450684058</v>
      </c>
      <c r="AQ13" s="447">
        <f t="shared" si="3"/>
        <v>0.7012857450684058</v>
      </c>
      <c r="AR13" s="447">
        <f t="shared" si="3"/>
        <v>0.7012857450684058</v>
      </c>
      <c r="AS13" s="447">
        <f t="shared" si="3"/>
        <v>0.7012857450684058</v>
      </c>
      <c r="AT13" s="447">
        <f t="shared" si="3"/>
        <v>0.7012857450684058</v>
      </c>
    </row>
    <row r="14" spans="1:46" ht="15.75" thickBot="1">
      <c r="A14" s="444"/>
      <c r="B14" s="522"/>
      <c r="C14" s="522"/>
      <c r="D14" s="522"/>
      <c r="E14" s="522"/>
      <c r="F14" s="522"/>
      <c r="G14" s="522"/>
      <c r="H14" s="523"/>
      <c r="N14" s="448"/>
      <c r="S14" s="448"/>
      <c r="T14" s="448"/>
    </row>
    <row r="15" spans="1:46">
      <c r="A15" s="444" t="s">
        <v>1397</v>
      </c>
      <c r="B15" s="655" t="s">
        <v>1379</v>
      </c>
      <c r="C15" s="657" t="s">
        <v>1018</v>
      </c>
      <c r="D15" s="657" t="s">
        <v>1398</v>
      </c>
      <c r="E15" s="659" t="s">
        <v>1399</v>
      </c>
      <c r="F15" s="522"/>
      <c r="G15" s="522"/>
      <c r="H15" s="523"/>
      <c r="N15" s="448"/>
      <c r="S15" s="448"/>
      <c r="T15" s="448"/>
    </row>
    <row r="16" spans="1:46" ht="15.75" thickBot="1">
      <c r="A16" s="444"/>
      <c r="B16" s="656"/>
      <c r="C16" s="658"/>
      <c r="D16" s="658"/>
      <c r="E16" s="660"/>
      <c r="F16" s="522" t="s">
        <v>1901</v>
      </c>
      <c r="G16" s="447" t="s">
        <v>1902</v>
      </c>
      <c r="N16" s="448"/>
      <c r="S16" s="448"/>
      <c r="T16" s="448"/>
    </row>
    <row r="17" spans="1:20">
      <c r="A17" s="444"/>
      <c r="B17" s="661" t="s">
        <v>1400</v>
      </c>
      <c r="C17" s="461">
        <v>1</v>
      </c>
      <c r="D17" s="524">
        <v>0.82813167326562143</v>
      </c>
      <c r="E17" s="525">
        <v>0.1563028962225243</v>
      </c>
      <c r="F17" s="526"/>
      <c r="L17" s="448"/>
      <c r="M17" s="448"/>
      <c r="N17" s="448"/>
      <c r="P17" s="448"/>
      <c r="Q17" s="448"/>
      <c r="R17" s="448"/>
      <c r="S17" s="448"/>
      <c r="T17" s="448"/>
    </row>
    <row r="18" spans="1:20">
      <c r="A18" s="444"/>
      <c r="B18" s="662"/>
      <c r="C18" s="468">
        <v>2</v>
      </c>
      <c r="D18" s="527">
        <v>0.85917762533929642</v>
      </c>
      <c r="E18" s="528">
        <v>0.12356790707642942</v>
      </c>
      <c r="F18" s="526"/>
      <c r="G18" s="522"/>
      <c r="H18" s="523"/>
      <c r="L18" s="448"/>
      <c r="M18" s="448"/>
      <c r="N18" s="448"/>
      <c r="P18" s="448"/>
      <c r="Q18" s="448"/>
      <c r="R18" s="448"/>
      <c r="S18" s="448"/>
      <c r="T18" s="448"/>
    </row>
    <row r="19" spans="1:20" ht="15.75" thickBot="1">
      <c r="A19" s="444"/>
      <c r="B19" s="663"/>
      <c r="C19" s="516">
        <v>3</v>
      </c>
      <c r="D19" s="529">
        <v>0.85917762533929642</v>
      </c>
      <c r="E19" s="530">
        <v>0.12356790707642942</v>
      </c>
      <c r="F19" s="526"/>
      <c r="G19" s="522"/>
      <c r="H19" s="523"/>
      <c r="L19" s="448"/>
      <c r="M19" s="448"/>
      <c r="N19" s="448"/>
      <c r="P19" s="448"/>
      <c r="Q19" s="448"/>
      <c r="R19" s="448"/>
      <c r="S19" s="448"/>
      <c r="T19" s="448"/>
    </row>
    <row r="20" spans="1:20">
      <c r="A20" s="444"/>
      <c r="B20" s="664" t="s">
        <v>1389</v>
      </c>
      <c r="C20" s="531">
        <v>1</v>
      </c>
      <c r="D20" s="532">
        <v>0.84655479670753486</v>
      </c>
      <c r="E20" s="533">
        <v>0.13787977278061092</v>
      </c>
      <c r="F20" s="526"/>
      <c r="G20" s="522"/>
      <c r="H20" s="523"/>
      <c r="L20" s="448"/>
      <c r="M20" s="448"/>
      <c r="N20" s="448"/>
      <c r="P20" s="448"/>
      <c r="Q20" s="448"/>
      <c r="R20" s="448"/>
      <c r="S20" s="448"/>
      <c r="T20" s="448"/>
    </row>
    <row r="21" spans="1:20">
      <c r="A21" s="444"/>
      <c r="B21" s="662"/>
      <c r="C21" s="492">
        <v>2</v>
      </c>
      <c r="D21" s="534">
        <v>0.86939155083333897</v>
      </c>
      <c r="E21" s="535">
        <v>0.11335398158238685</v>
      </c>
      <c r="F21" s="526"/>
      <c r="G21" s="522"/>
      <c r="H21" s="523"/>
      <c r="L21" s="448"/>
      <c r="M21" s="448"/>
      <c r="N21" s="448"/>
      <c r="P21" s="448"/>
      <c r="Q21" s="448"/>
      <c r="R21" s="448"/>
      <c r="S21" s="448"/>
      <c r="T21" s="448"/>
    </row>
    <row r="22" spans="1:20" ht="15.75" thickBot="1">
      <c r="A22" s="444"/>
      <c r="B22" s="663"/>
      <c r="C22" s="501">
        <v>3</v>
      </c>
      <c r="D22" s="536">
        <v>0.98274553241572582</v>
      </c>
      <c r="E22" s="537">
        <v>0</v>
      </c>
      <c r="F22" s="526"/>
      <c r="G22" s="522"/>
      <c r="H22" s="523"/>
      <c r="L22" s="448"/>
      <c r="M22" s="448"/>
      <c r="N22" s="448"/>
      <c r="O22" s="448"/>
      <c r="P22" s="448"/>
      <c r="Q22" s="448"/>
      <c r="R22" s="448"/>
      <c r="S22" s="448"/>
      <c r="T22" s="448"/>
    </row>
    <row r="23" spans="1:20">
      <c r="F23" s="523"/>
      <c r="G23" s="523"/>
      <c r="H23" s="523"/>
      <c r="L23" s="448"/>
      <c r="M23" s="448"/>
      <c r="N23" s="448"/>
      <c r="O23" s="448"/>
      <c r="P23" s="448"/>
      <c r="Q23" s="448"/>
      <c r="R23" s="448"/>
      <c r="S23" s="448"/>
      <c r="T23" s="448"/>
    </row>
    <row r="24" spans="1:20">
      <c r="B24" s="538" t="s">
        <v>1401</v>
      </c>
    </row>
    <row r="27" spans="1:20" s="442" customFormat="1">
      <c r="A27" s="539" t="s">
        <v>1402</v>
      </c>
      <c r="B27" s="441"/>
      <c r="C27" s="443"/>
      <c r="D27" s="443"/>
    </row>
    <row r="28" spans="1:20">
      <c r="A28" s="665" t="s">
        <v>1403</v>
      </c>
      <c r="B28" s="665"/>
      <c r="C28" s="665"/>
      <c r="D28" s="665"/>
    </row>
    <row r="29" spans="1:20">
      <c r="A29" s="665"/>
      <c r="B29" s="665"/>
      <c r="C29" s="665"/>
      <c r="D29" s="665"/>
    </row>
    <row r="30" spans="1:20">
      <c r="A30" s="665"/>
      <c r="B30" s="665"/>
      <c r="C30" s="665"/>
      <c r="D30" s="665"/>
    </row>
    <row r="31" spans="1:20">
      <c r="A31" s="665"/>
      <c r="B31" s="665"/>
      <c r="C31" s="665"/>
      <c r="D31" s="665"/>
    </row>
    <row r="32" spans="1:20">
      <c r="A32" s="665"/>
      <c r="B32" s="665"/>
      <c r="C32" s="665"/>
      <c r="D32" s="665"/>
    </row>
    <row r="33" spans="1:4">
      <c r="A33" s="665"/>
      <c r="B33" s="665"/>
      <c r="C33" s="665"/>
      <c r="D33" s="665"/>
    </row>
    <row r="34" spans="1:4">
      <c r="A34" s="665"/>
      <c r="B34" s="665"/>
      <c r="C34" s="665"/>
      <c r="D34" s="665"/>
    </row>
    <row r="35" spans="1:4">
      <c r="A35" s="665"/>
      <c r="B35" s="665"/>
      <c r="C35" s="665"/>
      <c r="D35" s="665"/>
    </row>
    <row r="36" spans="1:4">
      <c r="A36" s="665"/>
      <c r="B36" s="665"/>
      <c r="C36" s="665"/>
      <c r="D36" s="665"/>
    </row>
    <row r="37" spans="1:4">
      <c r="A37" s="665"/>
      <c r="B37" s="665"/>
      <c r="C37" s="665"/>
      <c r="D37" s="665"/>
    </row>
    <row r="38" spans="1:4">
      <c r="A38" s="665"/>
      <c r="B38" s="665"/>
      <c r="C38" s="665"/>
      <c r="D38" s="665"/>
    </row>
    <row r="39" spans="1:4">
      <c r="A39" s="665"/>
      <c r="B39" s="665"/>
      <c r="C39" s="665"/>
      <c r="D39" s="665"/>
    </row>
    <row r="40" spans="1:4">
      <c r="A40" s="665"/>
      <c r="B40" s="665"/>
      <c r="C40" s="665"/>
      <c r="D40" s="665"/>
    </row>
    <row r="41" spans="1:4">
      <c r="A41" s="665"/>
      <c r="B41" s="665"/>
      <c r="C41" s="665"/>
      <c r="D41" s="665"/>
    </row>
    <row r="42" spans="1:4">
      <c r="A42" s="665"/>
      <c r="B42" s="665"/>
      <c r="C42" s="665"/>
      <c r="D42" s="665"/>
    </row>
    <row r="48" spans="1:4" s="442" customFormat="1">
      <c r="A48" s="539" t="s">
        <v>1404</v>
      </c>
      <c r="B48" s="443"/>
      <c r="C48" s="443"/>
      <c r="D48" s="443"/>
    </row>
    <row r="49" spans="1:4">
      <c r="A49" s="665" t="s">
        <v>1403</v>
      </c>
      <c r="B49" s="665"/>
      <c r="C49" s="665"/>
      <c r="D49" s="665"/>
    </row>
    <row r="50" spans="1:4">
      <c r="A50" s="665"/>
      <c r="B50" s="665"/>
      <c r="C50" s="665"/>
      <c r="D50" s="665"/>
    </row>
    <row r="51" spans="1:4">
      <c r="A51" s="665"/>
      <c r="B51" s="665"/>
      <c r="C51" s="665"/>
      <c r="D51" s="665"/>
    </row>
    <row r="52" spans="1:4">
      <c r="A52" s="665"/>
      <c r="B52" s="665"/>
      <c r="C52" s="665"/>
      <c r="D52" s="665"/>
    </row>
    <row r="53" spans="1:4">
      <c r="A53" s="665"/>
      <c r="B53" s="665"/>
      <c r="C53" s="665"/>
      <c r="D53" s="665"/>
    </row>
    <row r="54" spans="1:4">
      <c r="A54" s="665"/>
      <c r="B54" s="665"/>
      <c r="C54" s="665"/>
      <c r="D54" s="665"/>
    </row>
    <row r="55" spans="1:4">
      <c r="A55" s="665"/>
      <c r="B55" s="665"/>
      <c r="C55" s="665"/>
      <c r="D55" s="665"/>
    </row>
    <row r="56" spans="1:4">
      <c r="A56" s="665"/>
      <c r="B56" s="665"/>
      <c r="C56" s="665"/>
      <c r="D56" s="665"/>
    </row>
    <row r="57" spans="1:4">
      <c r="A57" s="665"/>
      <c r="B57" s="665"/>
      <c r="C57" s="665"/>
      <c r="D57" s="665"/>
    </row>
    <row r="58" spans="1:4">
      <c r="A58" s="665"/>
      <c r="B58" s="665"/>
      <c r="C58" s="665"/>
      <c r="D58" s="665"/>
    </row>
    <row r="59" spans="1:4">
      <c r="A59" s="665"/>
      <c r="B59" s="665"/>
      <c r="C59" s="665"/>
      <c r="D59" s="665"/>
    </row>
    <row r="60" spans="1:4">
      <c r="A60" s="665"/>
      <c r="B60" s="665"/>
      <c r="C60" s="665"/>
      <c r="D60" s="665"/>
    </row>
    <row r="61" spans="1:4">
      <c r="A61" s="665"/>
      <c r="B61" s="665"/>
      <c r="C61" s="665"/>
      <c r="D61" s="665"/>
    </row>
    <row r="62" spans="1:4">
      <c r="A62" s="665"/>
      <c r="B62" s="665"/>
      <c r="C62" s="665"/>
      <c r="D62" s="665"/>
    </row>
    <row r="63" spans="1:4">
      <c r="A63" s="665"/>
      <c r="B63" s="665"/>
      <c r="C63" s="665"/>
      <c r="D63" s="665"/>
    </row>
    <row r="71" spans="1:5" s="442" customFormat="1">
      <c r="A71" s="440" t="s">
        <v>1405</v>
      </c>
    </row>
    <row r="72" spans="1:5">
      <c r="A72" s="447" t="s">
        <v>1406</v>
      </c>
    </row>
    <row r="73" spans="1:5" ht="31.5">
      <c r="A73" s="540" t="s">
        <v>387</v>
      </c>
      <c r="B73" s="540" t="s">
        <v>1407</v>
      </c>
      <c r="C73" s="540" t="s">
        <v>1408</v>
      </c>
      <c r="D73" s="540" t="s">
        <v>1409</v>
      </c>
      <c r="E73" s="540" t="s">
        <v>1410</v>
      </c>
    </row>
    <row r="74" spans="1:5" ht="94.5">
      <c r="A74" s="541">
        <v>40118</v>
      </c>
      <c r="B74" s="542" t="s">
        <v>1411</v>
      </c>
      <c r="C74" s="542" t="s">
        <v>48</v>
      </c>
      <c r="D74" s="543" t="s">
        <v>1412</v>
      </c>
      <c r="E74" s="544" t="s">
        <v>1413</v>
      </c>
    </row>
    <row r="75" spans="1:5" ht="63">
      <c r="A75" s="545">
        <v>40634</v>
      </c>
      <c r="B75" s="546" t="s">
        <v>1414</v>
      </c>
      <c r="C75" s="546" t="s">
        <v>1415</v>
      </c>
      <c r="D75" s="546" t="s">
        <v>1416</v>
      </c>
      <c r="E75" s="547" t="s">
        <v>1417</v>
      </c>
    </row>
    <row r="76" spans="1:5" ht="94.5">
      <c r="A76" s="545">
        <v>40878</v>
      </c>
      <c r="B76" s="546" t="s">
        <v>1418</v>
      </c>
      <c r="C76" s="546" t="s">
        <v>1419</v>
      </c>
      <c r="D76" s="546" t="s">
        <v>556</v>
      </c>
      <c r="E76" s="548" t="s">
        <v>1420</v>
      </c>
    </row>
    <row r="77" spans="1:5" ht="63">
      <c r="A77" s="545">
        <v>40878</v>
      </c>
      <c r="B77" s="546" t="s">
        <v>1421</v>
      </c>
      <c r="C77" s="546" t="s">
        <v>1422</v>
      </c>
      <c r="D77" s="546" t="s">
        <v>1423</v>
      </c>
      <c r="E77" s="547" t="s">
        <v>1424</v>
      </c>
    </row>
    <row r="78" spans="1:5" ht="110.25">
      <c r="A78" s="545">
        <v>41153</v>
      </c>
      <c r="B78" s="546" t="s">
        <v>1421</v>
      </c>
      <c r="C78" s="546" t="s">
        <v>1425</v>
      </c>
      <c r="D78" s="549" t="s">
        <v>1426</v>
      </c>
      <c r="E78" s="547" t="s">
        <v>1427</v>
      </c>
    </row>
    <row r="79" spans="1:5" ht="63">
      <c r="A79" s="550">
        <v>41395</v>
      </c>
      <c r="B79" s="551" t="s">
        <v>1421</v>
      </c>
      <c r="C79" s="551" t="s">
        <v>1428</v>
      </c>
      <c r="D79" s="551" t="s">
        <v>1429</v>
      </c>
      <c r="E79" s="552" t="s">
        <v>1430</v>
      </c>
    </row>
    <row r="80" spans="1:5" ht="31.5">
      <c r="A80" s="553">
        <v>41518</v>
      </c>
      <c r="B80" s="554" t="s">
        <v>1431</v>
      </c>
      <c r="C80" s="554" t="s">
        <v>48</v>
      </c>
      <c r="D80" s="554" t="s">
        <v>556</v>
      </c>
      <c r="E80" s="555" t="s">
        <v>1430</v>
      </c>
    </row>
    <row r="81" spans="1:5" ht="63">
      <c r="A81" s="553">
        <v>41579</v>
      </c>
      <c r="B81" s="554" t="s">
        <v>1432</v>
      </c>
      <c r="C81" s="554" t="s">
        <v>1433</v>
      </c>
      <c r="D81" s="554" t="s">
        <v>1434</v>
      </c>
      <c r="E81" s="555" t="s">
        <v>1435</v>
      </c>
    </row>
    <row r="82" spans="1:5" ht="63">
      <c r="A82" s="553">
        <v>41609</v>
      </c>
      <c r="B82" s="554" t="s">
        <v>1421</v>
      </c>
      <c r="C82" s="554" t="s">
        <v>1428</v>
      </c>
      <c r="D82" s="556" t="s">
        <v>1436</v>
      </c>
      <c r="E82" s="555" t="s">
        <v>1437</v>
      </c>
    </row>
    <row r="83" spans="1:5">
      <c r="A83" s="557"/>
    </row>
    <row r="84" spans="1:5">
      <c r="A84" s="557"/>
    </row>
    <row r="85" spans="1:5">
      <c r="A85" s="558"/>
    </row>
    <row r="86" spans="1:5">
      <c r="A86" s="558"/>
    </row>
  </sheetData>
  <mergeCells count="12">
    <mergeCell ref="B17:B19"/>
    <mergeCell ref="B20:B22"/>
    <mergeCell ref="A28:D42"/>
    <mergeCell ref="A49:D63"/>
    <mergeCell ref="F2:F3"/>
    <mergeCell ref="G2:L2"/>
    <mergeCell ref="H3:I3"/>
    <mergeCell ref="J3:K3"/>
    <mergeCell ref="B15:B16"/>
    <mergeCell ref="C15:C16"/>
    <mergeCell ref="D15:D16"/>
    <mergeCell ref="E15:E16"/>
  </mergeCells>
  <pageMargins left="0.7" right="0.7" top="0.75" bottom="0.75" header="0.3" footer="0.3"/>
  <pageSetup orientation="portrait" horizontalDpi="0" verticalDpi="0" r:id="rId1"/>
  <drawing r:id="rId2"/>
  <legacyDrawing r:id="rId3"/>
</worksheet>
</file>

<file path=xl/worksheets/sheet19.xml><?xml version="1.0" encoding="utf-8"?>
<worksheet xmlns="http://schemas.openxmlformats.org/spreadsheetml/2006/main" xmlns:r="http://schemas.openxmlformats.org/officeDocument/2006/relationships">
  <sheetPr codeName="Sheet13"/>
  <dimension ref="A1:P113"/>
  <sheetViews>
    <sheetView workbookViewId="0">
      <selection activeCell="A6" sqref="A6"/>
    </sheetView>
  </sheetViews>
  <sheetFormatPr defaultRowHeight="15"/>
  <cols>
    <col min="1" max="1" width="24.140625" style="570" customWidth="1"/>
    <col min="2" max="2" width="21.7109375" style="570" bestFit="1" customWidth="1"/>
    <col min="3" max="3" width="21.7109375" style="570" customWidth="1"/>
    <col min="4" max="4" width="22.85546875" style="570" customWidth="1"/>
    <col min="5" max="5" width="18.85546875" style="570" bestFit="1" customWidth="1"/>
    <col min="6" max="6" width="17.7109375" style="570" bestFit="1" customWidth="1"/>
    <col min="7" max="7" width="27.28515625" style="570" bestFit="1" customWidth="1"/>
    <col min="8" max="8" width="13.5703125" style="570" bestFit="1" customWidth="1"/>
    <col min="9" max="9" width="10.5703125" style="570" bestFit="1" customWidth="1"/>
    <col min="10" max="10" width="11.140625" style="570" bestFit="1" customWidth="1"/>
    <col min="11" max="12" width="12.7109375" style="570" customWidth="1"/>
    <col min="13" max="13" width="20.42578125" style="570" customWidth="1"/>
    <col min="14" max="14" width="18.85546875" style="570" bestFit="1" customWidth="1"/>
    <col min="15" max="15" width="12.140625" style="570" customWidth="1"/>
    <col min="16" max="16" width="19.28515625" style="570" customWidth="1"/>
    <col min="17" max="257" width="9.140625" style="570"/>
    <col min="258" max="258" width="21.7109375" style="570" bestFit="1" customWidth="1"/>
    <col min="259" max="259" width="21.7109375" style="570" customWidth="1"/>
    <col min="260" max="260" width="25.7109375" style="570" bestFit="1" customWidth="1"/>
    <col min="261" max="261" width="18.85546875" style="570" bestFit="1" customWidth="1"/>
    <col min="262" max="262" width="17.7109375" style="570" bestFit="1" customWidth="1"/>
    <col min="263" max="263" width="27.28515625" style="570" bestFit="1" customWidth="1"/>
    <col min="264" max="264" width="13.5703125" style="570" bestFit="1" customWidth="1"/>
    <col min="265" max="265" width="10.5703125" style="570" bestFit="1" customWidth="1"/>
    <col min="266" max="266" width="20.140625" style="570" bestFit="1" customWidth="1"/>
    <col min="267" max="269" width="9.140625" style="570"/>
    <col min="270" max="270" width="18.85546875" style="570" bestFit="1" customWidth="1"/>
    <col min="271" max="513" width="9.140625" style="570"/>
    <col min="514" max="514" width="21.7109375" style="570" bestFit="1" customWidth="1"/>
    <col min="515" max="515" width="21.7109375" style="570" customWidth="1"/>
    <col min="516" max="516" width="25.7109375" style="570" bestFit="1" customWidth="1"/>
    <col min="517" max="517" width="18.85546875" style="570" bestFit="1" customWidth="1"/>
    <col min="518" max="518" width="17.7109375" style="570" bestFit="1" customWidth="1"/>
    <col min="519" max="519" width="27.28515625" style="570" bestFit="1" customWidth="1"/>
    <col min="520" max="520" width="13.5703125" style="570" bestFit="1" customWidth="1"/>
    <col min="521" max="521" width="10.5703125" style="570" bestFit="1" customWidth="1"/>
    <col min="522" max="522" width="20.140625" style="570" bestFit="1" customWidth="1"/>
    <col min="523" max="525" width="9.140625" style="570"/>
    <col min="526" max="526" width="18.85546875" style="570" bestFit="1" customWidth="1"/>
    <col min="527" max="769" width="9.140625" style="570"/>
    <col min="770" max="770" width="21.7109375" style="570" bestFit="1" customWidth="1"/>
    <col min="771" max="771" width="21.7109375" style="570" customWidth="1"/>
    <col min="772" max="772" width="25.7109375" style="570" bestFit="1" customWidth="1"/>
    <col min="773" max="773" width="18.85546875" style="570" bestFit="1" customWidth="1"/>
    <col min="774" max="774" width="17.7109375" style="570" bestFit="1" customWidth="1"/>
    <col min="775" max="775" width="27.28515625" style="570" bestFit="1" customWidth="1"/>
    <col min="776" max="776" width="13.5703125" style="570" bestFit="1" customWidth="1"/>
    <col min="777" max="777" width="10.5703125" style="570" bestFit="1" customWidth="1"/>
    <col min="778" max="778" width="20.140625" style="570" bestFit="1" customWidth="1"/>
    <col min="779" max="781" width="9.140625" style="570"/>
    <col min="782" max="782" width="18.85546875" style="570" bestFit="1" customWidth="1"/>
    <col min="783" max="1025" width="9.140625" style="570"/>
    <col min="1026" max="1026" width="21.7109375" style="570" bestFit="1" customWidth="1"/>
    <col min="1027" max="1027" width="21.7109375" style="570" customWidth="1"/>
    <col min="1028" max="1028" width="25.7109375" style="570" bestFit="1" customWidth="1"/>
    <col min="1029" max="1029" width="18.85546875" style="570" bestFit="1" customWidth="1"/>
    <col min="1030" max="1030" width="17.7109375" style="570" bestFit="1" customWidth="1"/>
    <col min="1031" max="1031" width="27.28515625" style="570" bestFit="1" customWidth="1"/>
    <col min="1032" max="1032" width="13.5703125" style="570" bestFit="1" customWidth="1"/>
    <col min="1033" max="1033" width="10.5703125" style="570" bestFit="1" customWidth="1"/>
    <col min="1034" max="1034" width="20.140625" style="570" bestFit="1" customWidth="1"/>
    <col min="1035" max="1037" width="9.140625" style="570"/>
    <col min="1038" max="1038" width="18.85546875" style="570" bestFit="1" customWidth="1"/>
    <col min="1039" max="1281" width="9.140625" style="570"/>
    <col min="1282" max="1282" width="21.7109375" style="570" bestFit="1" customWidth="1"/>
    <col min="1283" max="1283" width="21.7109375" style="570" customWidth="1"/>
    <col min="1284" max="1284" width="25.7109375" style="570" bestFit="1" customWidth="1"/>
    <col min="1285" max="1285" width="18.85546875" style="570" bestFit="1" customWidth="1"/>
    <col min="1286" max="1286" width="17.7109375" style="570" bestFit="1" customWidth="1"/>
    <col min="1287" max="1287" width="27.28515625" style="570" bestFit="1" customWidth="1"/>
    <col min="1288" max="1288" width="13.5703125" style="570" bestFit="1" customWidth="1"/>
    <col min="1289" max="1289" width="10.5703125" style="570" bestFit="1" customWidth="1"/>
    <col min="1290" max="1290" width="20.140625" style="570" bestFit="1" customWidth="1"/>
    <col min="1291" max="1293" width="9.140625" style="570"/>
    <col min="1294" max="1294" width="18.85546875" style="570" bestFit="1" customWidth="1"/>
    <col min="1295" max="1537" width="9.140625" style="570"/>
    <col min="1538" max="1538" width="21.7109375" style="570" bestFit="1" customWidth="1"/>
    <col min="1539" max="1539" width="21.7109375" style="570" customWidth="1"/>
    <col min="1540" max="1540" width="25.7109375" style="570" bestFit="1" customWidth="1"/>
    <col min="1541" max="1541" width="18.85546875" style="570" bestFit="1" customWidth="1"/>
    <col min="1542" max="1542" width="17.7109375" style="570" bestFit="1" customWidth="1"/>
    <col min="1543" max="1543" width="27.28515625" style="570" bestFit="1" customWidth="1"/>
    <col min="1544" max="1544" width="13.5703125" style="570" bestFit="1" customWidth="1"/>
    <col min="1545" max="1545" width="10.5703125" style="570" bestFit="1" customWidth="1"/>
    <col min="1546" max="1546" width="20.140625" style="570" bestFit="1" customWidth="1"/>
    <col min="1547" max="1549" width="9.140625" style="570"/>
    <col min="1550" max="1550" width="18.85546875" style="570" bestFit="1" customWidth="1"/>
    <col min="1551" max="1793" width="9.140625" style="570"/>
    <col min="1794" max="1794" width="21.7109375" style="570" bestFit="1" customWidth="1"/>
    <col min="1795" max="1795" width="21.7109375" style="570" customWidth="1"/>
    <col min="1796" max="1796" width="25.7109375" style="570" bestFit="1" customWidth="1"/>
    <col min="1797" max="1797" width="18.85546875" style="570" bestFit="1" customWidth="1"/>
    <col min="1798" max="1798" width="17.7109375" style="570" bestFit="1" customWidth="1"/>
    <col min="1799" max="1799" width="27.28515625" style="570" bestFit="1" customWidth="1"/>
    <col min="1800" max="1800" width="13.5703125" style="570" bestFit="1" customWidth="1"/>
    <col min="1801" max="1801" width="10.5703125" style="570" bestFit="1" customWidth="1"/>
    <col min="1802" max="1802" width="20.140625" style="570" bestFit="1" customWidth="1"/>
    <col min="1803" max="1805" width="9.140625" style="570"/>
    <col min="1806" max="1806" width="18.85546875" style="570" bestFit="1" customWidth="1"/>
    <col min="1807" max="2049" width="9.140625" style="570"/>
    <col min="2050" max="2050" width="21.7109375" style="570" bestFit="1" customWidth="1"/>
    <col min="2051" max="2051" width="21.7109375" style="570" customWidth="1"/>
    <col min="2052" max="2052" width="25.7109375" style="570" bestFit="1" customWidth="1"/>
    <col min="2053" max="2053" width="18.85546875" style="570" bestFit="1" customWidth="1"/>
    <col min="2054" max="2054" width="17.7109375" style="570" bestFit="1" customWidth="1"/>
    <col min="2055" max="2055" width="27.28515625" style="570" bestFit="1" customWidth="1"/>
    <col min="2056" max="2056" width="13.5703125" style="570" bestFit="1" customWidth="1"/>
    <col min="2057" max="2057" width="10.5703125" style="570" bestFit="1" customWidth="1"/>
    <col min="2058" max="2058" width="20.140625" style="570" bestFit="1" customWidth="1"/>
    <col min="2059" max="2061" width="9.140625" style="570"/>
    <col min="2062" max="2062" width="18.85546875" style="570" bestFit="1" customWidth="1"/>
    <col min="2063" max="2305" width="9.140625" style="570"/>
    <col min="2306" max="2306" width="21.7109375" style="570" bestFit="1" customWidth="1"/>
    <col min="2307" max="2307" width="21.7109375" style="570" customWidth="1"/>
    <col min="2308" max="2308" width="25.7109375" style="570" bestFit="1" customWidth="1"/>
    <col min="2309" max="2309" width="18.85546875" style="570" bestFit="1" customWidth="1"/>
    <col min="2310" max="2310" width="17.7109375" style="570" bestFit="1" customWidth="1"/>
    <col min="2311" max="2311" width="27.28515625" style="570" bestFit="1" customWidth="1"/>
    <col min="2312" max="2312" width="13.5703125" style="570" bestFit="1" customWidth="1"/>
    <col min="2313" max="2313" width="10.5703125" style="570" bestFit="1" customWidth="1"/>
    <col min="2314" max="2314" width="20.140625" style="570" bestFit="1" customWidth="1"/>
    <col min="2315" max="2317" width="9.140625" style="570"/>
    <col min="2318" max="2318" width="18.85546875" style="570" bestFit="1" customWidth="1"/>
    <col min="2319" max="2561" width="9.140625" style="570"/>
    <col min="2562" max="2562" width="21.7109375" style="570" bestFit="1" customWidth="1"/>
    <col min="2563" max="2563" width="21.7109375" style="570" customWidth="1"/>
    <col min="2564" max="2564" width="25.7109375" style="570" bestFit="1" customWidth="1"/>
    <col min="2565" max="2565" width="18.85546875" style="570" bestFit="1" customWidth="1"/>
    <col min="2566" max="2566" width="17.7109375" style="570" bestFit="1" customWidth="1"/>
    <col min="2567" max="2567" width="27.28515625" style="570" bestFit="1" customWidth="1"/>
    <col min="2568" max="2568" width="13.5703125" style="570" bestFit="1" customWidth="1"/>
    <col min="2569" max="2569" width="10.5703125" style="570" bestFit="1" customWidth="1"/>
    <col min="2570" max="2570" width="20.140625" style="570" bestFit="1" customWidth="1"/>
    <col min="2571" max="2573" width="9.140625" style="570"/>
    <col min="2574" max="2574" width="18.85546875" style="570" bestFit="1" customWidth="1"/>
    <col min="2575" max="2817" width="9.140625" style="570"/>
    <col min="2818" max="2818" width="21.7109375" style="570" bestFit="1" customWidth="1"/>
    <col min="2819" max="2819" width="21.7109375" style="570" customWidth="1"/>
    <col min="2820" max="2820" width="25.7109375" style="570" bestFit="1" customWidth="1"/>
    <col min="2821" max="2821" width="18.85546875" style="570" bestFit="1" customWidth="1"/>
    <col min="2822" max="2822" width="17.7109375" style="570" bestFit="1" customWidth="1"/>
    <col min="2823" max="2823" width="27.28515625" style="570" bestFit="1" customWidth="1"/>
    <col min="2824" max="2824" width="13.5703125" style="570" bestFit="1" customWidth="1"/>
    <col min="2825" max="2825" width="10.5703125" style="570" bestFit="1" customWidth="1"/>
    <col min="2826" max="2826" width="20.140625" style="570" bestFit="1" customWidth="1"/>
    <col min="2827" max="2829" width="9.140625" style="570"/>
    <col min="2830" max="2830" width="18.85546875" style="570" bestFit="1" customWidth="1"/>
    <col min="2831" max="3073" width="9.140625" style="570"/>
    <col min="3074" max="3074" width="21.7109375" style="570" bestFit="1" customWidth="1"/>
    <col min="3075" max="3075" width="21.7109375" style="570" customWidth="1"/>
    <col min="3076" max="3076" width="25.7109375" style="570" bestFit="1" customWidth="1"/>
    <col min="3077" max="3077" width="18.85546875" style="570" bestFit="1" customWidth="1"/>
    <col min="3078" max="3078" width="17.7109375" style="570" bestFit="1" customWidth="1"/>
    <col min="3079" max="3079" width="27.28515625" style="570" bestFit="1" customWidth="1"/>
    <col min="3080" max="3080" width="13.5703125" style="570" bestFit="1" customWidth="1"/>
    <col min="3081" max="3081" width="10.5703125" style="570" bestFit="1" customWidth="1"/>
    <col min="3082" max="3082" width="20.140625" style="570" bestFit="1" customWidth="1"/>
    <col min="3083" max="3085" width="9.140625" style="570"/>
    <col min="3086" max="3086" width="18.85546875" style="570" bestFit="1" customWidth="1"/>
    <col min="3087" max="3329" width="9.140625" style="570"/>
    <col min="3330" max="3330" width="21.7109375" style="570" bestFit="1" customWidth="1"/>
    <col min="3331" max="3331" width="21.7109375" style="570" customWidth="1"/>
    <col min="3332" max="3332" width="25.7109375" style="570" bestFit="1" customWidth="1"/>
    <col min="3333" max="3333" width="18.85546875" style="570" bestFit="1" customWidth="1"/>
    <col min="3334" max="3334" width="17.7109375" style="570" bestFit="1" customWidth="1"/>
    <col min="3335" max="3335" width="27.28515625" style="570" bestFit="1" customWidth="1"/>
    <col min="3336" max="3336" width="13.5703125" style="570" bestFit="1" customWidth="1"/>
    <col min="3337" max="3337" width="10.5703125" style="570" bestFit="1" customWidth="1"/>
    <col min="3338" max="3338" width="20.140625" style="570" bestFit="1" customWidth="1"/>
    <col min="3339" max="3341" width="9.140625" style="570"/>
    <col min="3342" max="3342" width="18.85546875" style="570" bestFit="1" customWidth="1"/>
    <col min="3343" max="3585" width="9.140625" style="570"/>
    <col min="3586" max="3586" width="21.7109375" style="570" bestFit="1" customWidth="1"/>
    <col min="3587" max="3587" width="21.7109375" style="570" customWidth="1"/>
    <col min="3588" max="3588" width="25.7109375" style="570" bestFit="1" customWidth="1"/>
    <col min="3589" max="3589" width="18.85546875" style="570" bestFit="1" customWidth="1"/>
    <col min="3590" max="3590" width="17.7109375" style="570" bestFit="1" customWidth="1"/>
    <col min="3591" max="3591" width="27.28515625" style="570" bestFit="1" customWidth="1"/>
    <col min="3592" max="3592" width="13.5703125" style="570" bestFit="1" customWidth="1"/>
    <col min="3593" max="3593" width="10.5703125" style="570" bestFit="1" customWidth="1"/>
    <col min="3594" max="3594" width="20.140625" style="570" bestFit="1" customWidth="1"/>
    <col min="3595" max="3597" width="9.140625" style="570"/>
    <col min="3598" max="3598" width="18.85546875" style="570" bestFit="1" customWidth="1"/>
    <col min="3599" max="3841" width="9.140625" style="570"/>
    <col min="3842" max="3842" width="21.7109375" style="570" bestFit="1" customWidth="1"/>
    <col min="3843" max="3843" width="21.7109375" style="570" customWidth="1"/>
    <col min="3844" max="3844" width="25.7109375" style="570" bestFit="1" customWidth="1"/>
    <col min="3845" max="3845" width="18.85546875" style="570" bestFit="1" customWidth="1"/>
    <col min="3846" max="3846" width="17.7109375" style="570" bestFit="1" customWidth="1"/>
    <col min="3847" max="3847" width="27.28515625" style="570" bestFit="1" customWidth="1"/>
    <col min="3848" max="3848" width="13.5703125" style="570" bestFit="1" customWidth="1"/>
    <col min="3849" max="3849" width="10.5703125" style="570" bestFit="1" customWidth="1"/>
    <col min="3850" max="3850" width="20.140625" style="570" bestFit="1" customWidth="1"/>
    <col min="3851" max="3853" width="9.140625" style="570"/>
    <col min="3854" max="3854" width="18.85546875" style="570" bestFit="1" customWidth="1"/>
    <col min="3855" max="4097" width="9.140625" style="570"/>
    <col min="4098" max="4098" width="21.7109375" style="570" bestFit="1" customWidth="1"/>
    <col min="4099" max="4099" width="21.7109375" style="570" customWidth="1"/>
    <col min="4100" max="4100" width="25.7109375" style="570" bestFit="1" customWidth="1"/>
    <col min="4101" max="4101" width="18.85546875" style="570" bestFit="1" customWidth="1"/>
    <col min="4102" max="4102" width="17.7109375" style="570" bestFit="1" customWidth="1"/>
    <col min="4103" max="4103" width="27.28515625" style="570" bestFit="1" customWidth="1"/>
    <col min="4104" max="4104" width="13.5703125" style="570" bestFit="1" customWidth="1"/>
    <col min="4105" max="4105" width="10.5703125" style="570" bestFit="1" customWidth="1"/>
    <col min="4106" max="4106" width="20.140625" style="570" bestFit="1" customWidth="1"/>
    <col min="4107" max="4109" width="9.140625" style="570"/>
    <col min="4110" max="4110" width="18.85546875" style="570" bestFit="1" customWidth="1"/>
    <col min="4111" max="4353" width="9.140625" style="570"/>
    <col min="4354" max="4354" width="21.7109375" style="570" bestFit="1" customWidth="1"/>
    <col min="4355" max="4355" width="21.7109375" style="570" customWidth="1"/>
    <col min="4356" max="4356" width="25.7109375" style="570" bestFit="1" customWidth="1"/>
    <col min="4357" max="4357" width="18.85546875" style="570" bestFit="1" customWidth="1"/>
    <col min="4358" max="4358" width="17.7109375" style="570" bestFit="1" customWidth="1"/>
    <col min="4359" max="4359" width="27.28515625" style="570" bestFit="1" customWidth="1"/>
    <col min="4360" max="4360" width="13.5703125" style="570" bestFit="1" customWidth="1"/>
    <col min="4361" max="4361" width="10.5703125" style="570" bestFit="1" customWidth="1"/>
    <col min="4362" max="4362" width="20.140625" style="570" bestFit="1" customWidth="1"/>
    <col min="4363" max="4365" width="9.140625" style="570"/>
    <col min="4366" max="4366" width="18.85546875" style="570" bestFit="1" customWidth="1"/>
    <col min="4367" max="4609" width="9.140625" style="570"/>
    <col min="4610" max="4610" width="21.7109375" style="570" bestFit="1" customWidth="1"/>
    <col min="4611" max="4611" width="21.7109375" style="570" customWidth="1"/>
    <col min="4612" max="4612" width="25.7109375" style="570" bestFit="1" customWidth="1"/>
    <col min="4613" max="4613" width="18.85546875" style="570" bestFit="1" customWidth="1"/>
    <col min="4614" max="4614" width="17.7109375" style="570" bestFit="1" customWidth="1"/>
    <col min="4615" max="4615" width="27.28515625" style="570" bestFit="1" customWidth="1"/>
    <col min="4616" max="4616" width="13.5703125" style="570" bestFit="1" customWidth="1"/>
    <col min="4617" max="4617" width="10.5703125" style="570" bestFit="1" customWidth="1"/>
    <col min="4618" max="4618" width="20.140625" style="570" bestFit="1" customWidth="1"/>
    <col min="4619" max="4621" width="9.140625" style="570"/>
    <col min="4622" max="4622" width="18.85546875" style="570" bestFit="1" customWidth="1"/>
    <col min="4623" max="4865" width="9.140625" style="570"/>
    <col min="4866" max="4866" width="21.7109375" style="570" bestFit="1" customWidth="1"/>
    <col min="4867" max="4867" width="21.7109375" style="570" customWidth="1"/>
    <col min="4868" max="4868" width="25.7109375" style="570" bestFit="1" customWidth="1"/>
    <col min="4869" max="4869" width="18.85546875" style="570" bestFit="1" customWidth="1"/>
    <col min="4870" max="4870" width="17.7109375" style="570" bestFit="1" customWidth="1"/>
    <col min="4871" max="4871" width="27.28515625" style="570" bestFit="1" customWidth="1"/>
    <col min="4872" max="4872" width="13.5703125" style="570" bestFit="1" customWidth="1"/>
    <col min="4873" max="4873" width="10.5703125" style="570" bestFit="1" customWidth="1"/>
    <col min="4874" max="4874" width="20.140625" style="570" bestFit="1" customWidth="1"/>
    <col min="4875" max="4877" width="9.140625" style="570"/>
    <col min="4878" max="4878" width="18.85546875" style="570" bestFit="1" customWidth="1"/>
    <col min="4879" max="5121" width="9.140625" style="570"/>
    <col min="5122" max="5122" width="21.7109375" style="570" bestFit="1" customWidth="1"/>
    <col min="5123" max="5123" width="21.7109375" style="570" customWidth="1"/>
    <col min="5124" max="5124" width="25.7109375" style="570" bestFit="1" customWidth="1"/>
    <col min="5125" max="5125" width="18.85546875" style="570" bestFit="1" customWidth="1"/>
    <col min="5126" max="5126" width="17.7109375" style="570" bestFit="1" customWidth="1"/>
    <col min="5127" max="5127" width="27.28515625" style="570" bestFit="1" customWidth="1"/>
    <col min="5128" max="5128" width="13.5703125" style="570" bestFit="1" customWidth="1"/>
    <col min="5129" max="5129" width="10.5703125" style="570" bestFit="1" customWidth="1"/>
    <col min="5130" max="5130" width="20.140625" style="570" bestFit="1" customWidth="1"/>
    <col min="5131" max="5133" width="9.140625" style="570"/>
    <col min="5134" max="5134" width="18.85546875" style="570" bestFit="1" customWidth="1"/>
    <col min="5135" max="5377" width="9.140625" style="570"/>
    <col min="5378" max="5378" width="21.7109375" style="570" bestFit="1" customWidth="1"/>
    <col min="5379" max="5379" width="21.7109375" style="570" customWidth="1"/>
    <col min="5380" max="5380" width="25.7109375" style="570" bestFit="1" customWidth="1"/>
    <col min="5381" max="5381" width="18.85546875" style="570" bestFit="1" customWidth="1"/>
    <col min="5382" max="5382" width="17.7109375" style="570" bestFit="1" customWidth="1"/>
    <col min="5383" max="5383" width="27.28515625" style="570" bestFit="1" customWidth="1"/>
    <col min="5384" max="5384" width="13.5703125" style="570" bestFit="1" customWidth="1"/>
    <col min="5385" max="5385" width="10.5703125" style="570" bestFit="1" customWidth="1"/>
    <col min="5386" max="5386" width="20.140625" style="570" bestFit="1" customWidth="1"/>
    <col min="5387" max="5389" width="9.140625" style="570"/>
    <col min="5390" max="5390" width="18.85546875" style="570" bestFit="1" customWidth="1"/>
    <col min="5391" max="5633" width="9.140625" style="570"/>
    <col min="5634" max="5634" width="21.7109375" style="570" bestFit="1" customWidth="1"/>
    <col min="5635" max="5635" width="21.7109375" style="570" customWidth="1"/>
    <col min="5636" max="5636" width="25.7109375" style="570" bestFit="1" customWidth="1"/>
    <col min="5637" max="5637" width="18.85546875" style="570" bestFit="1" customWidth="1"/>
    <col min="5638" max="5638" width="17.7109375" style="570" bestFit="1" customWidth="1"/>
    <col min="5639" max="5639" width="27.28515625" style="570" bestFit="1" customWidth="1"/>
    <col min="5640" max="5640" width="13.5703125" style="570" bestFit="1" customWidth="1"/>
    <col min="5641" max="5641" width="10.5703125" style="570" bestFit="1" customWidth="1"/>
    <col min="5642" max="5642" width="20.140625" style="570" bestFit="1" customWidth="1"/>
    <col min="5643" max="5645" width="9.140625" style="570"/>
    <col min="5646" max="5646" width="18.85546875" style="570" bestFit="1" customWidth="1"/>
    <col min="5647" max="5889" width="9.140625" style="570"/>
    <col min="5890" max="5890" width="21.7109375" style="570" bestFit="1" customWidth="1"/>
    <col min="5891" max="5891" width="21.7109375" style="570" customWidth="1"/>
    <col min="5892" max="5892" width="25.7109375" style="570" bestFit="1" customWidth="1"/>
    <col min="5893" max="5893" width="18.85546875" style="570" bestFit="1" customWidth="1"/>
    <col min="5894" max="5894" width="17.7109375" style="570" bestFit="1" customWidth="1"/>
    <col min="5895" max="5895" width="27.28515625" style="570" bestFit="1" customWidth="1"/>
    <col min="5896" max="5896" width="13.5703125" style="570" bestFit="1" customWidth="1"/>
    <col min="5897" max="5897" width="10.5703125" style="570" bestFit="1" customWidth="1"/>
    <col min="5898" max="5898" width="20.140625" style="570" bestFit="1" customWidth="1"/>
    <col min="5899" max="5901" width="9.140625" style="570"/>
    <col min="5902" max="5902" width="18.85546875" style="570" bestFit="1" customWidth="1"/>
    <col min="5903" max="6145" width="9.140625" style="570"/>
    <col min="6146" max="6146" width="21.7109375" style="570" bestFit="1" customWidth="1"/>
    <col min="6147" max="6147" width="21.7109375" style="570" customWidth="1"/>
    <col min="6148" max="6148" width="25.7109375" style="570" bestFit="1" customWidth="1"/>
    <col min="6149" max="6149" width="18.85546875" style="570" bestFit="1" customWidth="1"/>
    <col min="6150" max="6150" width="17.7109375" style="570" bestFit="1" customWidth="1"/>
    <col min="6151" max="6151" width="27.28515625" style="570" bestFit="1" customWidth="1"/>
    <col min="6152" max="6152" width="13.5703125" style="570" bestFit="1" customWidth="1"/>
    <col min="6153" max="6153" width="10.5703125" style="570" bestFit="1" customWidth="1"/>
    <col min="6154" max="6154" width="20.140625" style="570" bestFit="1" customWidth="1"/>
    <col min="6155" max="6157" width="9.140625" style="570"/>
    <col min="6158" max="6158" width="18.85546875" style="570" bestFit="1" customWidth="1"/>
    <col min="6159" max="6401" width="9.140625" style="570"/>
    <col min="6402" max="6402" width="21.7109375" style="570" bestFit="1" customWidth="1"/>
    <col min="6403" max="6403" width="21.7109375" style="570" customWidth="1"/>
    <col min="6404" max="6404" width="25.7109375" style="570" bestFit="1" customWidth="1"/>
    <col min="6405" max="6405" width="18.85546875" style="570" bestFit="1" customWidth="1"/>
    <col min="6406" max="6406" width="17.7109375" style="570" bestFit="1" customWidth="1"/>
    <col min="6407" max="6407" width="27.28515625" style="570" bestFit="1" customWidth="1"/>
    <col min="6408" max="6408" width="13.5703125" style="570" bestFit="1" customWidth="1"/>
    <col min="6409" max="6409" width="10.5703125" style="570" bestFit="1" customWidth="1"/>
    <col min="6410" max="6410" width="20.140625" style="570" bestFit="1" customWidth="1"/>
    <col min="6411" max="6413" width="9.140625" style="570"/>
    <col min="6414" max="6414" width="18.85546875" style="570" bestFit="1" customWidth="1"/>
    <col min="6415" max="6657" width="9.140625" style="570"/>
    <col min="6658" max="6658" width="21.7109375" style="570" bestFit="1" customWidth="1"/>
    <col min="6659" max="6659" width="21.7109375" style="570" customWidth="1"/>
    <col min="6660" max="6660" width="25.7109375" style="570" bestFit="1" customWidth="1"/>
    <col min="6661" max="6661" width="18.85546875" style="570" bestFit="1" customWidth="1"/>
    <col min="6662" max="6662" width="17.7109375" style="570" bestFit="1" customWidth="1"/>
    <col min="6663" max="6663" width="27.28515625" style="570" bestFit="1" customWidth="1"/>
    <col min="6664" max="6664" width="13.5703125" style="570" bestFit="1" customWidth="1"/>
    <col min="6665" max="6665" width="10.5703125" style="570" bestFit="1" customWidth="1"/>
    <col min="6666" max="6666" width="20.140625" style="570" bestFit="1" customWidth="1"/>
    <col min="6667" max="6669" width="9.140625" style="570"/>
    <col min="6670" max="6670" width="18.85546875" style="570" bestFit="1" customWidth="1"/>
    <col min="6671" max="6913" width="9.140625" style="570"/>
    <col min="6914" max="6914" width="21.7109375" style="570" bestFit="1" customWidth="1"/>
    <col min="6915" max="6915" width="21.7109375" style="570" customWidth="1"/>
    <col min="6916" max="6916" width="25.7109375" style="570" bestFit="1" customWidth="1"/>
    <col min="6917" max="6917" width="18.85546875" style="570" bestFit="1" customWidth="1"/>
    <col min="6918" max="6918" width="17.7109375" style="570" bestFit="1" customWidth="1"/>
    <col min="6919" max="6919" width="27.28515625" style="570" bestFit="1" customWidth="1"/>
    <col min="6920" max="6920" width="13.5703125" style="570" bestFit="1" customWidth="1"/>
    <col min="6921" max="6921" width="10.5703125" style="570" bestFit="1" customWidth="1"/>
    <col min="6922" max="6922" width="20.140625" style="570" bestFit="1" customWidth="1"/>
    <col min="6923" max="6925" width="9.140625" style="570"/>
    <col min="6926" max="6926" width="18.85546875" style="570" bestFit="1" customWidth="1"/>
    <col min="6927" max="7169" width="9.140625" style="570"/>
    <col min="7170" max="7170" width="21.7109375" style="570" bestFit="1" customWidth="1"/>
    <col min="7171" max="7171" width="21.7109375" style="570" customWidth="1"/>
    <col min="7172" max="7172" width="25.7109375" style="570" bestFit="1" customWidth="1"/>
    <col min="7173" max="7173" width="18.85546875" style="570" bestFit="1" customWidth="1"/>
    <col min="7174" max="7174" width="17.7109375" style="570" bestFit="1" customWidth="1"/>
    <col min="7175" max="7175" width="27.28515625" style="570" bestFit="1" customWidth="1"/>
    <col min="7176" max="7176" width="13.5703125" style="570" bestFit="1" customWidth="1"/>
    <col min="7177" max="7177" width="10.5703125" style="570" bestFit="1" customWidth="1"/>
    <col min="7178" max="7178" width="20.140625" style="570" bestFit="1" customWidth="1"/>
    <col min="7179" max="7181" width="9.140625" style="570"/>
    <col min="7182" max="7182" width="18.85546875" style="570" bestFit="1" customWidth="1"/>
    <col min="7183" max="7425" width="9.140625" style="570"/>
    <col min="7426" max="7426" width="21.7109375" style="570" bestFit="1" customWidth="1"/>
    <col min="7427" max="7427" width="21.7109375" style="570" customWidth="1"/>
    <col min="7428" max="7428" width="25.7109375" style="570" bestFit="1" customWidth="1"/>
    <col min="7429" max="7429" width="18.85546875" style="570" bestFit="1" customWidth="1"/>
    <col min="7430" max="7430" width="17.7109375" style="570" bestFit="1" customWidth="1"/>
    <col min="7431" max="7431" width="27.28515625" style="570" bestFit="1" customWidth="1"/>
    <col min="7432" max="7432" width="13.5703125" style="570" bestFit="1" customWidth="1"/>
    <col min="7433" max="7433" width="10.5703125" style="570" bestFit="1" customWidth="1"/>
    <col min="7434" max="7434" width="20.140625" style="570" bestFit="1" customWidth="1"/>
    <col min="7435" max="7437" width="9.140625" style="570"/>
    <col min="7438" max="7438" width="18.85546875" style="570" bestFit="1" customWidth="1"/>
    <col min="7439" max="7681" width="9.140625" style="570"/>
    <col min="7682" max="7682" width="21.7109375" style="570" bestFit="1" customWidth="1"/>
    <col min="7683" max="7683" width="21.7109375" style="570" customWidth="1"/>
    <col min="7684" max="7684" width="25.7109375" style="570" bestFit="1" customWidth="1"/>
    <col min="7685" max="7685" width="18.85546875" style="570" bestFit="1" customWidth="1"/>
    <col min="7686" max="7686" width="17.7109375" style="570" bestFit="1" customWidth="1"/>
    <col min="7687" max="7687" width="27.28515625" style="570" bestFit="1" customWidth="1"/>
    <col min="7688" max="7688" width="13.5703125" style="570" bestFit="1" customWidth="1"/>
    <col min="7689" max="7689" width="10.5703125" style="570" bestFit="1" customWidth="1"/>
    <col min="7690" max="7690" width="20.140625" style="570" bestFit="1" customWidth="1"/>
    <col min="7691" max="7693" width="9.140625" style="570"/>
    <col min="7694" max="7694" width="18.85546875" style="570" bestFit="1" customWidth="1"/>
    <col min="7695" max="7937" width="9.140625" style="570"/>
    <col min="7938" max="7938" width="21.7109375" style="570" bestFit="1" customWidth="1"/>
    <col min="7939" max="7939" width="21.7109375" style="570" customWidth="1"/>
    <col min="7940" max="7940" width="25.7109375" style="570" bestFit="1" customWidth="1"/>
    <col min="7941" max="7941" width="18.85546875" style="570" bestFit="1" customWidth="1"/>
    <col min="7942" max="7942" width="17.7109375" style="570" bestFit="1" customWidth="1"/>
    <col min="7943" max="7943" width="27.28515625" style="570" bestFit="1" customWidth="1"/>
    <col min="7944" max="7944" width="13.5703125" style="570" bestFit="1" customWidth="1"/>
    <col min="7945" max="7945" width="10.5703125" style="570" bestFit="1" customWidth="1"/>
    <col min="7946" max="7946" width="20.140625" style="570" bestFit="1" customWidth="1"/>
    <col min="7947" max="7949" width="9.140625" style="570"/>
    <col min="7950" max="7950" width="18.85546875" style="570" bestFit="1" customWidth="1"/>
    <col min="7951" max="8193" width="9.140625" style="570"/>
    <col min="8194" max="8194" width="21.7109375" style="570" bestFit="1" customWidth="1"/>
    <col min="8195" max="8195" width="21.7109375" style="570" customWidth="1"/>
    <col min="8196" max="8196" width="25.7109375" style="570" bestFit="1" customWidth="1"/>
    <col min="8197" max="8197" width="18.85546875" style="570" bestFit="1" customWidth="1"/>
    <col min="8198" max="8198" width="17.7109375" style="570" bestFit="1" customWidth="1"/>
    <col min="8199" max="8199" width="27.28515625" style="570" bestFit="1" customWidth="1"/>
    <col min="8200" max="8200" width="13.5703125" style="570" bestFit="1" customWidth="1"/>
    <col min="8201" max="8201" width="10.5703125" style="570" bestFit="1" customWidth="1"/>
    <col min="8202" max="8202" width="20.140625" style="570" bestFit="1" customWidth="1"/>
    <col min="8203" max="8205" width="9.140625" style="570"/>
    <col min="8206" max="8206" width="18.85546875" style="570" bestFit="1" customWidth="1"/>
    <col min="8207" max="8449" width="9.140625" style="570"/>
    <col min="8450" max="8450" width="21.7109375" style="570" bestFit="1" customWidth="1"/>
    <col min="8451" max="8451" width="21.7109375" style="570" customWidth="1"/>
    <col min="8452" max="8452" width="25.7109375" style="570" bestFit="1" customWidth="1"/>
    <col min="8453" max="8453" width="18.85546875" style="570" bestFit="1" customWidth="1"/>
    <col min="8454" max="8454" width="17.7109375" style="570" bestFit="1" customWidth="1"/>
    <col min="8455" max="8455" width="27.28515625" style="570" bestFit="1" customWidth="1"/>
    <col min="8456" max="8456" width="13.5703125" style="570" bestFit="1" customWidth="1"/>
    <col min="8457" max="8457" width="10.5703125" style="570" bestFit="1" customWidth="1"/>
    <col min="8458" max="8458" width="20.140625" style="570" bestFit="1" customWidth="1"/>
    <col min="8459" max="8461" width="9.140625" style="570"/>
    <col min="8462" max="8462" width="18.85546875" style="570" bestFit="1" customWidth="1"/>
    <col min="8463" max="8705" width="9.140625" style="570"/>
    <col min="8706" max="8706" width="21.7109375" style="570" bestFit="1" customWidth="1"/>
    <col min="8707" max="8707" width="21.7109375" style="570" customWidth="1"/>
    <col min="8708" max="8708" width="25.7109375" style="570" bestFit="1" customWidth="1"/>
    <col min="8709" max="8709" width="18.85546875" style="570" bestFit="1" customWidth="1"/>
    <col min="8710" max="8710" width="17.7109375" style="570" bestFit="1" customWidth="1"/>
    <col min="8711" max="8711" width="27.28515625" style="570" bestFit="1" customWidth="1"/>
    <col min="8712" max="8712" width="13.5703125" style="570" bestFit="1" customWidth="1"/>
    <col min="8713" max="8713" width="10.5703125" style="570" bestFit="1" customWidth="1"/>
    <col min="8714" max="8714" width="20.140625" style="570" bestFit="1" customWidth="1"/>
    <col min="8715" max="8717" width="9.140625" style="570"/>
    <col min="8718" max="8718" width="18.85546875" style="570" bestFit="1" customWidth="1"/>
    <col min="8719" max="8961" width="9.140625" style="570"/>
    <col min="8962" max="8962" width="21.7109375" style="570" bestFit="1" customWidth="1"/>
    <col min="8963" max="8963" width="21.7109375" style="570" customWidth="1"/>
    <col min="8964" max="8964" width="25.7109375" style="570" bestFit="1" customWidth="1"/>
    <col min="8965" max="8965" width="18.85546875" style="570" bestFit="1" customWidth="1"/>
    <col min="8966" max="8966" width="17.7109375" style="570" bestFit="1" customWidth="1"/>
    <col min="8967" max="8967" width="27.28515625" style="570" bestFit="1" customWidth="1"/>
    <col min="8968" max="8968" width="13.5703125" style="570" bestFit="1" customWidth="1"/>
    <col min="8969" max="8969" width="10.5703125" style="570" bestFit="1" customWidth="1"/>
    <col min="8970" max="8970" width="20.140625" style="570" bestFit="1" customWidth="1"/>
    <col min="8971" max="8973" width="9.140625" style="570"/>
    <col min="8974" max="8974" width="18.85546875" style="570" bestFit="1" customWidth="1"/>
    <col min="8975" max="9217" width="9.140625" style="570"/>
    <col min="9218" max="9218" width="21.7109375" style="570" bestFit="1" customWidth="1"/>
    <col min="9219" max="9219" width="21.7109375" style="570" customWidth="1"/>
    <col min="9220" max="9220" width="25.7109375" style="570" bestFit="1" customWidth="1"/>
    <col min="9221" max="9221" width="18.85546875" style="570" bestFit="1" customWidth="1"/>
    <col min="9222" max="9222" width="17.7109375" style="570" bestFit="1" customWidth="1"/>
    <col min="9223" max="9223" width="27.28515625" style="570" bestFit="1" customWidth="1"/>
    <col min="9224" max="9224" width="13.5703125" style="570" bestFit="1" customWidth="1"/>
    <col min="9225" max="9225" width="10.5703125" style="570" bestFit="1" customWidth="1"/>
    <col min="9226" max="9226" width="20.140625" style="570" bestFit="1" customWidth="1"/>
    <col min="9227" max="9229" width="9.140625" style="570"/>
    <col min="9230" max="9230" width="18.85546875" style="570" bestFit="1" customWidth="1"/>
    <col min="9231" max="9473" width="9.140625" style="570"/>
    <col min="9474" max="9474" width="21.7109375" style="570" bestFit="1" customWidth="1"/>
    <col min="9475" max="9475" width="21.7109375" style="570" customWidth="1"/>
    <col min="9476" max="9476" width="25.7109375" style="570" bestFit="1" customWidth="1"/>
    <col min="9477" max="9477" width="18.85546875" style="570" bestFit="1" customWidth="1"/>
    <col min="9478" max="9478" width="17.7109375" style="570" bestFit="1" customWidth="1"/>
    <col min="9479" max="9479" width="27.28515625" style="570" bestFit="1" customWidth="1"/>
    <col min="9480" max="9480" width="13.5703125" style="570" bestFit="1" customWidth="1"/>
    <col min="9481" max="9481" width="10.5703125" style="570" bestFit="1" customWidth="1"/>
    <col min="9482" max="9482" width="20.140625" style="570" bestFit="1" customWidth="1"/>
    <col min="9483" max="9485" width="9.140625" style="570"/>
    <col min="9486" max="9486" width="18.85546875" style="570" bestFit="1" customWidth="1"/>
    <col min="9487" max="9729" width="9.140625" style="570"/>
    <col min="9730" max="9730" width="21.7109375" style="570" bestFit="1" customWidth="1"/>
    <col min="9731" max="9731" width="21.7109375" style="570" customWidth="1"/>
    <col min="9732" max="9732" width="25.7109375" style="570" bestFit="1" customWidth="1"/>
    <col min="9733" max="9733" width="18.85546875" style="570" bestFit="1" customWidth="1"/>
    <col min="9734" max="9734" width="17.7109375" style="570" bestFit="1" customWidth="1"/>
    <col min="9735" max="9735" width="27.28515625" style="570" bestFit="1" customWidth="1"/>
    <col min="9736" max="9736" width="13.5703125" style="570" bestFit="1" customWidth="1"/>
    <col min="9737" max="9737" width="10.5703125" style="570" bestFit="1" customWidth="1"/>
    <col min="9738" max="9738" width="20.140625" style="570" bestFit="1" customWidth="1"/>
    <col min="9739" max="9741" width="9.140625" style="570"/>
    <col min="9742" max="9742" width="18.85546875" style="570" bestFit="1" customWidth="1"/>
    <col min="9743" max="9985" width="9.140625" style="570"/>
    <col min="9986" max="9986" width="21.7109375" style="570" bestFit="1" customWidth="1"/>
    <col min="9987" max="9987" width="21.7109375" style="570" customWidth="1"/>
    <col min="9988" max="9988" width="25.7109375" style="570" bestFit="1" customWidth="1"/>
    <col min="9989" max="9989" width="18.85546875" style="570" bestFit="1" customWidth="1"/>
    <col min="9990" max="9990" width="17.7109375" style="570" bestFit="1" customWidth="1"/>
    <col min="9991" max="9991" width="27.28515625" style="570" bestFit="1" customWidth="1"/>
    <col min="9992" max="9992" width="13.5703125" style="570" bestFit="1" customWidth="1"/>
    <col min="9993" max="9993" width="10.5703125" style="570" bestFit="1" customWidth="1"/>
    <col min="9994" max="9994" width="20.140625" style="570" bestFit="1" customWidth="1"/>
    <col min="9995" max="9997" width="9.140625" style="570"/>
    <col min="9998" max="9998" width="18.85546875" style="570" bestFit="1" customWidth="1"/>
    <col min="9999" max="10241" width="9.140625" style="570"/>
    <col min="10242" max="10242" width="21.7109375" style="570" bestFit="1" customWidth="1"/>
    <col min="10243" max="10243" width="21.7109375" style="570" customWidth="1"/>
    <col min="10244" max="10244" width="25.7109375" style="570" bestFit="1" customWidth="1"/>
    <col min="10245" max="10245" width="18.85546875" style="570" bestFit="1" customWidth="1"/>
    <col min="10246" max="10246" width="17.7109375" style="570" bestFit="1" customWidth="1"/>
    <col min="10247" max="10247" width="27.28515625" style="570" bestFit="1" customWidth="1"/>
    <col min="10248" max="10248" width="13.5703125" style="570" bestFit="1" customWidth="1"/>
    <col min="10249" max="10249" width="10.5703125" style="570" bestFit="1" customWidth="1"/>
    <col min="10250" max="10250" width="20.140625" style="570" bestFit="1" customWidth="1"/>
    <col min="10251" max="10253" width="9.140625" style="570"/>
    <col min="10254" max="10254" width="18.85546875" style="570" bestFit="1" customWidth="1"/>
    <col min="10255" max="10497" width="9.140625" style="570"/>
    <col min="10498" max="10498" width="21.7109375" style="570" bestFit="1" customWidth="1"/>
    <col min="10499" max="10499" width="21.7109375" style="570" customWidth="1"/>
    <col min="10500" max="10500" width="25.7109375" style="570" bestFit="1" customWidth="1"/>
    <col min="10501" max="10501" width="18.85546875" style="570" bestFit="1" customWidth="1"/>
    <col min="10502" max="10502" width="17.7109375" style="570" bestFit="1" customWidth="1"/>
    <col min="10503" max="10503" width="27.28515625" style="570" bestFit="1" customWidth="1"/>
    <col min="10504" max="10504" width="13.5703125" style="570" bestFit="1" customWidth="1"/>
    <col min="10505" max="10505" width="10.5703125" style="570" bestFit="1" customWidth="1"/>
    <col min="10506" max="10506" width="20.140625" style="570" bestFit="1" customWidth="1"/>
    <col min="10507" max="10509" width="9.140625" style="570"/>
    <col min="10510" max="10510" width="18.85546875" style="570" bestFit="1" customWidth="1"/>
    <col min="10511" max="10753" width="9.140625" style="570"/>
    <col min="10754" max="10754" width="21.7109375" style="570" bestFit="1" customWidth="1"/>
    <col min="10755" max="10755" width="21.7109375" style="570" customWidth="1"/>
    <col min="10756" max="10756" width="25.7109375" style="570" bestFit="1" customWidth="1"/>
    <col min="10757" max="10757" width="18.85546875" style="570" bestFit="1" customWidth="1"/>
    <col min="10758" max="10758" width="17.7109375" style="570" bestFit="1" customWidth="1"/>
    <col min="10759" max="10759" width="27.28515625" style="570" bestFit="1" customWidth="1"/>
    <col min="10760" max="10760" width="13.5703125" style="570" bestFit="1" customWidth="1"/>
    <col min="10761" max="10761" width="10.5703125" style="570" bestFit="1" customWidth="1"/>
    <col min="10762" max="10762" width="20.140625" style="570" bestFit="1" customWidth="1"/>
    <col min="10763" max="10765" width="9.140625" style="570"/>
    <col min="10766" max="10766" width="18.85546875" style="570" bestFit="1" customWidth="1"/>
    <col min="10767" max="11009" width="9.140625" style="570"/>
    <col min="11010" max="11010" width="21.7109375" style="570" bestFit="1" customWidth="1"/>
    <col min="11011" max="11011" width="21.7109375" style="570" customWidth="1"/>
    <col min="11012" max="11012" width="25.7109375" style="570" bestFit="1" customWidth="1"/>
    <col min="11013" max="11013" width="18.85546875" style="570" bestFit="1" customWidth="1"/>
    <col min="11014" max="11014" width="17.7109375" style="570" bestFit="1" customWidth="1"/>
    <col min="11015" max="11015" width="27.28515625" style="570" bestFit="1" customWidth="1"/>
    <col min="11016" max="11016" width="13.5703125" style="570" bestFit="1" customWidth="1"/>
    <col min="11017" max="11017" width="10.5703125" style="570" bestFit="1" customWidth="1"/>
    <col min="11018" max="11018" width="20.140625" style="570" bestFit="1" customWidth="1"/>
    <col min="11019" max="11021" width="9.140625" style="570"/>
    <col min="11022" max="11022" width="18.85546875" style="570" bestFit="1" customWidth="1"/>
    <col min="11023" max="11265" width="9.140625" style="570"/>
    <col min="11266" max="11266" width="21.7109375" style="570" bestFit="1" customWidth="1"/>
    <col min="11267" max="11267" width="21.7109375" style="570" customWidth="1"/>
    <col min="11268" max="11268" width="25.7109375" style="570" bestFit="1" customWidth="1"/>
    <col min="11269" max="11269" width="18.85546875" style="570" bestFit="1" customWidth="1"/>
    <col min="11270" max="11270" width="17.7109375" style="570" bestFit="1" customWidth="1"/>
    <col min="11271" max="11271" width="27.28515625" style="570" bestFit="1" customWidth="1"/>
    <col min="11272" max="11272" width="13.5703125" style="570" bestFit="1" customWidth="1"/>
    <col min="11273" max="11273" width="10.5703125" style="570" bestFit="1" customWidth="1"/>
    <col min="11274" max="11274" width="20.140625" style="570" bestFit="1" customWidth="1"/>
    <col min="11275" max="11277" width="9.140625" style="570"/>
    <col min="11278" max="11278" width="18.85546875" style="570" bestFit="1" customWidth="1"/>
    <col min="11279" max="11521" width="9.140625" style="570"/>
    <col min="11522" max="11522" width="21.7109375" style="570" bestFit="1" customWidth="1"/>
    <col min="11523" max="11523" width="21.7109375" style="570" customWidth="1"/>
    <col min="11524" max="11524" width="25.7109375" style="570" bestFit="1" customWidth="1"/>
    <col min="11525" max="11525" width="18.85546875" style="570" bestFit="1" customWidth="1"/>
    <col min="11526" max="11526" width="17.7109375" style="570" bestFit="1" customWidth="1"/>
    <col min="11527" max="11527" width="27.28515625" style="570" bestFit="1" customWidth="1"/>
    <col min="11528" max="11528" width="13.5703125" style="570" bestFit="1" customWidth="1"/>
    <col min="11529" max="11529" width="10.5703125" style="570" bestFit="1" customWidth="1"/>
    <col min="11530" max="11530" width="20.140625" style="570" bestFit="1" customWidth="1"/>
    <col min="11531" max="11533" width="9.140625" style="570"/>
    <col min="11534" max="11534" width="18.85546875" style="570" bestFit="1" customWidth="1"/>
    <col min="11535" max="11777" width="9.140625" style="570"/>
    <col min="11778" max="11778" width="21.7109375" style="570" bestFit="1" customWidth="1"/>
    <col min="11779" max="11779" width="21.7109375" style="570" customWidth="1"/>
    <col min="11780" max="11780" width="25.7109375" style="570" bestFit="1" customWidth="1"/>
    <col min="11781" max="11781" width="18.85546875" style="570" bestFit="1" customWidth="1"/>
    <col min="11782" max="11782" width="17.7109375" style="570" bestFit="1" customWidth="1"/>
    <col min="11783" max="11783" width="27.28515625" style="570" bestFit="1" customWidth="1"/>
    <col min="11784" max="11784" width="13.5703125" style="570" bestFit="1" customWidth="1"/>
    <col min="11785" max="11785" width="10.5703125" style="570" bestFit="1" customWidth="1"/>
    <col min="11786" max="11786" width="20.140625" style="570" bestFit="1" customWidth="1"/>
    <col min="11787" max="11789" width="9.140625" style="570"/>
    <col min="11790" max="11790" width="18.85546875" style="570" bestFit="1" customWidth="1"/>
    <col min="11791" max="12033" width="9.140625" style="570"/>
    <col min="12034" max="12034" width="21.7109375" style="570" bestFit="1" customWidth="1"/>
    <col min="12035" max="12035" width="21.7109375" style="570" customWidth="1"/>
    <col min="12036" max="12036" width="25.7109375" style="570" bestFit="1" customWidth="1"/>
    <col min="12037" max="12037" width="18.85546875" style="570" bestFit="1" customWidth="1"/>
    <col min="12038" max="12038" width="17.7109375" style="570" bestFit="1" customWidth="1"/>
    <col min="12039" max="12039" width="27.28515625" style="570" bestFit="1" customWidth="1"/>
    <col min="12040" max="12040" width="13.5703125" style="570" bestFit="1" customWidth="1"/>
    <col min="12041" max="12041" width="10.5703125" style="570" bestFit="1" customWidth="1"/>
    <col min="12042" max="12042" width="20.140625" style="570" bestFit="1" customWidth="1"/>
    <col min="12043" max="12045" width="9.140625" style="570"/>
    <col min="12046" max="12046" width="18.85546875" style="570" bestFit="1" customWidth="1"/>
    <col min="12047" max="12289" width="9.140625" style="570"/>
    <col min="12290" max="12290" width="21.7109375" style="570" bestFit="1" customWidth="1"/>
    <col min="12291" max="12291" width="21.7109375" style="570" customWidth="1"/>
    <col min="12292" max="12292" width="25.7109375" style="570" bestFit="1" customWidth="1"/>
    <col min="12293" max="12293" width="18.85546875" style="570" bestFit="1" customWidth="1"/>
    <col min="12294" max="12294" width="17.7109375" style="570" bestFit="1" customWidth="1"/>
    <col min="12295" max="12295" width="27.28515625" style="570" bestFit="1" customWidth="1"/>
    <col min="12296" max="12296" width="13.5703125" style="570" bestFit="1" customWidth="1"/>
    <col min="12297" max="12297" width="10.5703125" style="570" bestFit="1" customWidth="1"/>
    <col min="12298" max="12298" width="20.140625" style="570" bestFit="1" customWidth="1"/>
    <col min="12299" max="12301" width="9.140625" style="570"/>
    <col min="12302" max="12302" width="18.85546875" style="570" bestFit="1" customWidth="1"/>
    <col min="12303" max="12545" width="9.140625" style="570"/>
    <col min="12546" max="12546" width="21.7109375" style="570" bestFit="1" customWidth="1"/>
    <col min="12547" max="12547" width="21.7109375" style="570" customWidth="1"/>
    <col min="12548" max="12548" width="25.7109375" style="570" bestFit="1" customWidth="1"/>
    <col min="12549" max="12549" width="18.85546875" style="570" bestFit="1" customWidth="1"/>
    <col min="12550" max="12550" width="17.7109375" style="570" bestFit="1" customWidth="1"/>
    <col min="12551" max="12551" width="27.28515625" style="570" bestFit="1" customWidth="1"/>
    <col min="12552" max="12552" width="13.5703125" style="570" bestFit="1" customWidth="1"/>
    <col min="12553" max="12553" width="10.5703125" style="570" bestFit="1" customWidth="1"/>
    <col min="12554" max="12554" width="20.140625" style="570" bestFit="1" customWidth="1"/>
    <col min="12555" max="12557" width="9.140625" style="570"/>
    <col min="12558" max="12558" width="18.85546875" style="570" bestFit="1" customWidth="1"/>
    <col min="12559" max="12801" width="9.140625" style="570"/>
    <col min="12802" max="12802" width="21.7109375" style="570" bestFit="1" customWidth="1"/>
    <col min="12803" max="12803" width="21.7109375" style="570" customWidth="1"/>
    <col min="12804" max="12804" width="25.7109375" style="570" bestFit="1" customWidth="1"/>
    <col min="12805" max="12805" width="18.85546875" style="570" bestFit="1" customWidth="1"/>
    <col min="12806" max="12806" width="17.7109375" style="570" bestFit="1" customWidth="1"/>
    <col min="12807" max="12807" width="27.28515625" style="570" bestFit="1" customWidth="1"/>
    <col min="12808" max="12808" width="13.5703125" style="570" bestFit="1" customWidth="1"/>
    <col min="12809" max="12809" width="10.5703125" style="570" bestFit="1" customWidth="1"/>
    <col min="12810" max="12810" width="20.140625" style="570" bestFit="1" customWidth="1"/>
    <col min="12811" max="12813" width="9.140625" style="570"/>
    <col min="12814" max="12814" width="18.85546875" style="570" bestFit="1" customWidth="1"/>
    <col min="12815" max="13057" width="9.140625" style="570"/>
    <col min="13058" max="13058" width="21.7109375" style="570" bestFit="1" customWidth="1"/>
    <col min="13059" max="13059" width="21.7109375" style="570" customWidth="1"/>
    <col min="13060" max="13060" width="25.7109375" style="570" bestFit="1" customWidth="1"/>
    <col min="13061" max="13061" width="18.85546875" style="570" bestFit="1" customWidth="1"/>
    <col min="13062" max="13062" width="17.7109375" style="570" bestFit="1" customWidth="1"/>
    <col min="13063" max="13063" width="27.28515625" style="570" bestFit="1" customWidth="1"/>
    <col min="13064" max="13064" width="13.5703125" style="570" bestFit="1" customWidth="1"/>
    <col min="13065" max="13065" width="10.5703125" style="570" bestFit="1" customWidth="1"/>
    <col min="13066" max="13066" width="20.140625" style="570" bestFit="1" customWidth="1"/>
    <col min="13067" max="13069" width="9.140625" style="570"/>
    <col min="13070" max="13070" width="18.85546875" style="570" bestFit="1" customWidth="1"/>
    <col min="13071" max="13313" width="9.140625" style="570"/>
    <col min="13314" max="13314" width="21.7109375" style="570" bestFit="1" customWidth="1"/>
    <col min="13315" max="13315" width="21.7109375" style="570" customWidth="1"/>
    <col min="13316" max="13316" width="25.7109375" style="570" bestFit="1" customWidth="1"/>
    <col min="13317" max="13317" width="18.85546875" style="570" bestFit="1" customWidth="1"/>
    <col min="13318" max="13318" width="17.7109375" style="570" bestFit="1" customWidth="1"/>
    <col min="13319" max="13319" width="27.28515625" style="570" bestFit="1" customWidth="1"/>
    <col min="13320" max="13320" width="13.5703125" style="570" bestFit="1" customWidth="1"/>
    <col min="13321" max="13321" width="10.5703125" style="570" bestFit="1" customWidth="1"/>
    <col min="13322" max="13322" width="20.140625" style="570" bestFit="1" customWidth="1"/>
    <col min="13323" max="13325" width="9.140625" style="570"/>
    <col min="13326" max="13326" width="18.85546875" style="570" bestFit="1" customWidth="1"/>
    <col min="13327" max="13569" width="9.140625" style="570"/>
    <col min="13570" max="13570" width="21.7109375" style="570" bestFit="1" customWidth="1"/>
    <col min="13571" max="13571" width="21.7109375" style="570" customWidth="1"/>
    <col min="13572" max="13572" width="25.7109375" style="570" bestFit="1" customWidth="1"/>
    <col min="13573" max="13573" width="18.85546875" style="570" bestFit="1" customWidth="1"/>
    <col min="13574" max="13574" width="17.7109375" style="570" bestFit="1" customWidth="1"/>
    <col min="13575" max="13575" width="27.28515625" style="570" bestFit="1" customWidth="1"/>
    <col min="13576" max="13576" width="13.5703125" style="570" bestFit="1" customWidth="1"/>
    <col min="13577" max="13577" width="10.5703125" style="570" bestFit="1" customWidth="1"/>
    <col min="13578" max="13578" width="20.140625" style="570" bestFit="1" customWidth="1"/>
    <col min="13579" max="13581" width="9.140625" style="570"/>
    <col min="13582" max="13582" width="18.85546875" style="570" bestFit="1" customWidth="1"/>
    <col min="13583" max="13825" width="9.140625" style="570"/>
    <col min="13826" max="13826" width="21.7109375" style="570" bestFit="1" customWidth="1"/>
    <col min="13827" max="13827" width="21.7109375" style="570" customWidth="1"/>
    <col min="13828" max="13828" width="25.7109375" style="570" bestFit="1" customWidth="1"/>
    <col min="13829" max="13829" width="18.85546875" style="570" bestFit="1" customWidth="1"/>
    <col min="13830" max="13830" width="17.7109375" style="570" bestFit="1" customWidth="1"/>
    <col min="13831" max="13831" width="27.28515625" style="570" bestFit="1" customWidth="1"/>
    <col min="13832" max="13832" width="13.5703125" style="570" bestFit="1" customWidth="1"/>
    <col min="13833" max="13833" width="10.5703125" style="570" bestFit="1" customWidth="1"/>
    <col min="13834" max="13834" width="20.140625" style="570" bestFit="1" customWidth="1"/>
    <col min="13835" max="13837" width="9.140625" style="570"/>
    <col min="13838" max="13838" width="18.85546875" style="570" bestFit="1" customWidth="1"/>
    <col min="13839" max="14081" width="9.140625" style="570"/>
    <col min="14082" max="14082" width="21.7109375" style="570" bestFit="1" customWidth="1"/>
    <col min="14083" max="14083" width="21.7109375" style="570" customWidth="1"/>
    <col min="14084" max="14084" width="25.7109375" style="570" bestFit="1" customWidth="1"/>
    <col min="14085" max="14085" width="18.85546875" style="570" bestFit="1" customWidth="1"/>
    <col min="14086" max="14086" width="17.7109375" style="570" bestFit="1" customWidth="1"/>
    <col min="14087" max="14087" width="27.28515625" style="570" bestFit="1" customWidth="1"/>
    <col min="14088" max="14088" width="13.5703125" style="570" bestFit="1" customWidth="1"/>
    <col min="14089" max="14089" width="10.5703125" style="570" bestFit="1" customWidth="1"/>
    <col min="14090" max="14090" width="20.140625" style="570" bestFit="1" customWidth="1"/>
    <col min="14091" max="14093" width="9.140625" style="570"/>
    <col min="14094" max="14094" width="18.85546875" style="570" bestFit="1" customWidth="1"/>
    <col min="14095" max="14337" width="9.140625" style="570"/>
    <col min="14338" max="14338" width="21.7109375" style="570" bestFit="1" customWidth="1"/>
    <col min="14339" max="14339" width="21.7109375" style="570" customWidth="1"/>
    <col min="14340" max="14340" width="25.7109375" style="570" bestFit="1" customWidth="1"/>
    <col min="14341" max="14341" width="18.85546875" style="570" bestFit="1" customWidth="1"/>
    <col min="14342" max="14342" width="17.7109375" style="570" bestFit="1" customWidth="1"/>
    <col min="14343" max="14343" width="27.28515625" style="570" bestFit="1" customWidth="1"/>
    <col min="14344" max="14344" width="13.5703125" style="570" bestFit="1" customWidth="1"/>
    <col min="14345" max="14345" width="10.5703125" style="570" bestFit="1" customWidth="1"/>
    <col min="14346" max="14346" width="20.140625" style="570" bestFit="1" customWidth="1"/>
    <col min="14347" max="14349" width="9.140625" style="570"/>
    <col min="14350" max="14350" width="18.85546875" style="570" bestFit="1" customWidth="1"/>
    <col min="14351" max="14593" width="9.140625" style="570"/>
    <col min="14594" max="14594" width="21.7109375" style="570" bestFit="1" customWidth="1"/>
    <col min="14595" max="14595" width="21.7109375" style="570" customWidth="1"/>
    <col min="14596" max="14596" width="25.7109375" style="570" bestFit="1" customWidth="1"/>
    <col min="14597" max="14597" width="18.85546875" style="570" bestFit="1" customWidth="1"/>
    <col min="14598" max="14598" width="17.7109375" style="570" bestFit="1" customWidth="1"/>
    <col min="14599" max="14599" width="27.28515625" style="570" bestFit="1" customWidth="1"/>
    <col min="14600" max="14600" width="13.5703125" style="570" bestFit="1" customWidth="1"/>
    <col min="14601" max="14601" width="10.5703125" style="570" bestFit="1" customWidth="1"/>
    <col min="14602" max="14602" width="20.140625" style="570" bestFit="1" customWidth="1"/>
    <col min="14603" max="14605" width="9.140625" style="570"/>
    <col min="14606" max="14606" width="18.85546875" style="570" bestFit="1" customWidth="1"/>
    <col min="14607" max="14849" width="9.140625" style="570"/>
    <col min="14850" max="14850" width="21.7109375" style="570" bestFit="1" customWidth="1"/>
    <col min="14851" max="14851" width="21.7109375" style="570" customWidth="1"/>
    <col min="14852" max="14852" width="25.7109375" style="570" bestFit="1" customWidth="1"/>
    <col min="14853" max="14853" width="18.85546875" style="570" bestFit="1" customWidth="1"/>
    <col min="14854" max="14854" width="17.7109375" style="570" bestFit="1" customWidth="1"/>
    <col min="14855" max="14855" width="27.28515625" style="570" bestFit="1" customWidth="1"/>
    <col min="14856" max="14856" width="13.5703125" style="570" bestFit="1" customWidth="1"/>
    <col min="14857" max="14857" width="10.5703125" style="570" bestFit="1" customWidth="1"/>
    <col min="14858" max="14858" width="20.140625" style="570" bestFit="1" customWidth="1"/>
    <col min="14859" max="14861" width="9.140625" style="570"/>
    <col min="14862" max="14862" width="18.85546875" style="570" bestFit="1" customWidth="1"/>
    <col min="14863" max="15105" width="9.140625" style="570"/>
    <col min="15106" max="15106" width="21.7109375" style="570" bestFit="1" customWidth="1"/>
    <col min="15107" max="15107" width="21.7109375" style="570" customWidth="1"/>
    <col min="15108" max="15108" width="25.7109375" style="570" bestFit="1" customWidth="1"/>
    <col min="15109" max="15109" width="18.85546875" style="570" bestFit="1" customWidth="1"/>
    <col min="15110" max="15110" width="17.7109375" style="570" bestFit="1" customWidth="1"/>
    <col min="15111" max="15111" width="27.28515625" style="570" bestFit="1" customWidth="1"/>
    <col min="15112" max="15112" width="13.5703125" style="570" bestFit="1" customWidth="1"/>
    <col min="15113" max="15113" width="10.5703125" style="570" bestFit="1" customWidth="1"/>
    <col min="15114" max="15114" width="20.140625" style="570" bestFit="1" customWidth="1"/>
    <col min="15115" max="15117" width="9.140625" style="570"/>
    <col min="15118" max="15118" width="18.85546875" style="570" bestFit="1" customWidth="1"/>
    <col min="15119" max="15361" width="9.140625" style="570"/>
    <col min="15362" max="15362" width="21.7109375" style="570" bestFit="1" customWidth="1"/>
    <col min="15363" max="15363" width="21.7109375" style="570" customWidth="1"/>
    <col min="15364" max="15364" width="25.7109375" style="570" bestFit="1" customWidth="1"/>
    <col min="15365" max="15365" width="18.85546875" style="570" bestFit="1" customWidth="1"/>
    <col min="15366" max="15366" width="17.7109375" style="570" bestFit="1" customWidth="1"/>
    <col min="15367" max="15367" width="27.28515625" style="570" bestFit="1" customWidth="1"/>
    <col min="15368" max="15368" width="13.5703125" style="570" bestFit="1" customWidth="1"/>
    <col min="15369" max="15369" width="10.5703125" style="570" bestFit="1" customWidth="1"/>
    <col min="15370" max="15370" width="20.140625" style="570" bestFit="1" customWidth="1"/>
    <col min="15371" max="15373" width="9.140625" style="570"/>
    <col min="15374" max="15374" width="18.85546875" style="570" bestFit="1" customWidth="1"/>
    <col min="15375" max="15617" width="9.140625" style="570"/>
    <col min="15618" max="15618" width="21.7109375" style="570" bestFit="1" customWidth="1"/>
    <col min="15619" max="15619" width="21.7109375" style="570" customWidth="1"/>
    <col min="15620" max="15620" width="25.7109375" style="570" bestFit="1" customWidth="1"/>
    <col min="15621" max="15621" width="18.85546875" style="570" bestFit="1" customWidth="1"/>
    <col min="15622" max="15622" width="17.7109375" style="570" bestFit="1" customWidth="1"/>
    <col min="15623" max="15623" width="27.28515625" style="570" bestFit="1" customWidth="1"/>
    <col min="15624" max="15624" width="13.5703125" style="570" bestFit="1" customWidth="1"/>
    <col min="15625" max="15625" width="10.5703125" style="570" bestFit="1" customWidth="1"/>
    <col min="15626" max="15626" width="20.140625" style="570" bestFit="1" customWidth="1"/>
    <col min="15627" max="15629" width="9.140625" style="570"/>
    <col min="15630" max="15630" width="18.85546875" style="570" bestFit="1" customWidth="1"/>
    <col min="15631" max="15873" width="9.140625" style="570"/>
    <col min="15874" max="15874" width="21.7109375" style="570" bestFit="1" customWidth="1"/>
    <col min="15875" max="15875" width="21.7109375" style="570" customWidth="1"/>
    <col min="15876" max="15876" width="25.7109375" style="570" bestFit="1" customWidth="1"/>
    <col min="15877" max="15877" width="18.85546875" style="570" bestFit="1" customWidth="1"/>
    <col min="15878" max="15878" width="17.7109375" style="570" bestFit="1" customWidth="1"/>
    <col min="15879" max="15879" width="27.28515625" style="570" bestFit="1" customWidth="1"/>
    <col min="15880" max="15880" width="13.5703125" style="570" bestFit="1" customWidth="1"/>
    <col min="15881" max="15881" width="10.5703125" style="570" bestFit="1" customWidth="1"/>
    <col min="15882" max="15882" width="20.140625" style="570" bestFit="1" customWidth="1"/>
    <col min="15883" max="15885" width="9.140625" style="570"/>
    <col min="15886" max="15886" width="18.85546875" style="570" bestFit="1" customWidth="1"/>
    <col min="15887" max="16129" width="9.140625" style="570"/>
    <col min="16130" max="16130" width="21.7109375" style="570" bestFit="1" customWidth="1"/>
    <col min="16131" max="16131" width="21.7109375" style="570" customWidth="1"/>
    <col min="16132" max="16132" width="25.7109375" style="570" bestFit="1" customWidth="1"/>
    <col min="16133" max="16133" width="18.85546875" style="570" bestFit="1" customWidth="1"/>
    <col min="16134" max="16134" width="17.7109375" style="570" bestFit="1" customWidth="1"/>
    <col min="16135" max="16135" width="27.28515625" style="570" bestFit="1" customWidth="1"/>
    <col min="16136" max="16136" width="13.5703125" style="570" bestFit="1" customWidth="1"/>
    <col min="16137" max="16137" width="10.5703125" style="570" bestFit="1" customWidth="1"/>
    <col min="16138" max="16138" width="20.140625" style="570" bestFit="1" customWidth="1"/>
    <col min="16139" max="16141" width="9.140625" style="570"/>
    <col min="16142" max="16142" width="18.85546875" style="570" bestFit="1" customWidth="1"/>
    <col min="16143" max="16384" width="9.140625" style="570"/>
  </cols>
  <sheetData>
    <row r="1" spans="1:16" s="563" customFormat="1">
      <c r="A1" s="563" t="s">
        <v>1842</v>
      </c>
    </row>
    <row r="2" spans="1:16" ht="60">
      <c r="A2" s="564"/>
      <c r="B2" s="565" t="s">
        <v>1843</v>
      </c>
      <c r="C2" s="565" t="s">
        <v>1844</v>
      </c>
      <c r="D2" s="566" t="s">
        <v>1845</v>
      </c>
      <c r="E2" s="566" t="s">
        <v>1846</v>
      </c>
      <c r="F2" s="566" t="s">
        <v>1847</v>
      </c>
      <c r="G2" s="566" t="s">
        <v>1848</v>
      </c>
      <c r="H2" s="566" t="s">
        <v>1849</v>
      </c>
      <c r="I2" s="567"/>
      <c r="J2" s="568" t="s">
        <v>944</v>
      </c>
      <c r="K2" s="569" t="s">
        <v>1850</v>
      </c>
      <c r="L2" s="569" t="s">
        <v>1851</v>
      </c>
      <c r="M2" s="569" t="s">
        <v>1852</v>
      </c>
      <c r="O2" s="571" t="s">
        <v>1853</v>
      </c>
      <c r="P2" s="572" t="s">
        <v>1852</v>
      </c>
    </row>
    <row r="3" spans="1:16">
      <c r="A3" s="564" t="s">
        <v>1854</v>
      </c>
      <c r="B3" s="573">
        <v>0.77</v>
      </c>
      <c r="C3" s="574">
        <f>1/B3</f>
        <v>1.2987012987012987</v>
      </c>
      <c r="D3" s="574">
        <f>(70-30)/70</f>
        <v>0.5714285714285714</v>
      </c>
      <c r="E3" s="574">
        <f>$M$10</f>
        <v>0.68483560090702955</v>
      </c>
      <c r="F3" s="574">
        <f>C3*D3/E3</f>
        <v>1.0836396747575918</v>
      </c>
      <c r="G3" s="574">
        <f>F3</f>
        <v>1.0836396747575918</v>
      </c>
      <c r="H3" s="575">
        <f>(G3-1)/G3</f>
        <v>7.7184027777777567E-2</v>
      </c>
      <c r="I3" s="567"/>
      <c r="J3" s="576" t="s">
        <v>1855</v>
      </c>
      <c r="K3" s="576">
        <v>60</v>
      </c>
      <c r="L3" s="576">
        <v>41</v>
      </c>
      <c r="M3" s="577">
        <f t="shared" ref="M3:M9" si="0">L3/K3</f>
        <v>0.68333333333333335</v>
      </c>
      <c r="O3" s="578">
        <f>(B29*30+D29)/1000</f>
        <v>42.140042437102153</v>
      </c>
      <c r="P3" s="579">
        <f t="shared" ref="P3:P9" si="1">O3/K3</f>
        <v>0.70233404061836924</v>
      </c>
    </row>
    <row r="4" spans="1:16">
      <c r="A4" s="564" t="s">
        <v>1856</v>
      </c>
      <c r="B4" s="573">
        <v>1.03</v>
      </c>
      <c r="C4" s="574">
        <f>1/B4</f>
        <v>0.970873786407767</v>
      </c>
      <c r="D4" s="574">
        <f>(70-30)/50</f>
        <v>0.8</v>
      </c>
      <c r="E4" s="574">
        <f>$M$10</f>
        <v>0.68483560090702955</v>
      </c>
      <c r="F4" s="574">
        <f>C4*D4/E4</f>
        <v>1.1341393877560042</v>
      </c>
      <c r="G4" s="574">
        <f>F4</f>
        <v>1.1341393877560042</v>
      </c>
      <c r="H4" s="575">
        <f>(G4-1)/G4</f>
        <v>0.11827416383219962</v>
      </c>
      <c r="I4" s="567"/>
      <c r="J4" s="576" t="s">
        <v>1857</v>
      </c>
      <c r="K4" s="576">
        <v>48</v>
      </c>
      <c r="L4" s="576">
        <v>34</v>
      </c>
      <c r="M4" s="577">
        <f t="shared" si="0"/>
        <v>0.70833333333333337</v>
      </c>
      <c r="O4" s="578">
        <f>(B28*30+D28)/1000</f>
        <v>33.266310160427814</v>
      </c>
      <c r="P4" s="579">
        <f t="shared" si="1"/>
        <v>0.69304812834224616</v>
      </c>
    </row>
    <row r="5" spans="1:16">
      <c r="A5" s="564" t="s">
        <v>1858</v>
      </c>
      <c r="B5" s="573">
        <v>0.91</v>
      </c>
      <c r="C5" s="574">
        <f>1/B5</f>
        <v>1.0989010989010988</v>
      </c>
      <c r="D5" s="574">
        <f>(70-30)/50</f>
        <v>0.8</v>
      </c>
      <c r="E5" s="574">
        <f>$M$10</f>
        <v>0.68483560090702955</v>
      </c>
      <c r="F5" s="574">
        <f>C5*D5/E5</f>
        <v>1.283696230097455</v>
      </c>
      <c r="G5" s="574">
        <f>F5</f>
        <v>1.283696230097455</v>
      </c>
      <c r="H5" s="575">
        <f>(G5-1)/G5</f>
        <v>0.22099950396825385</v>
      </c>
      <c r="I5" s="567"/>
      <c r="J5" s="576" t="s">
        <v>1859</v>
      </c>
      <c r="K5" s="576">
        <v>42</v>
      </c>
      <c r="L5" s="576">
        <v>28.5</v>
      </c>
      <c r="M5" s="577">
        <f t="shared" si="0"/>
        <v>0.6785714285714286</v>
      </c>
      <c r="O5" s="578">
        <f>(B27*30+D27)/1000</f>
        <v>29.940835266821345</v>
      </c>
      <c r="P5" s="579">
        <f t="shared" si="1"/>
        <v>0.71287703016241299</v>
      </c>
    </row>
    <row r="6" spans="1:16">
      <c r="A6" s="564" t="s">
        <v>1860</v>
      </c>
      <c r="B6" s="573">
        <v>0.63</v>
      </c>
      <c r="C6" s="574">
        <f>1/B6</f>
        <v>1.5873015873015872</v>
      </c>
      <c r="D6" s="574">
        <f>(70-30)/70</f>
        <v>0.5714285714285714</v>
      </c>
      <c r="E6" s="574">
        <f>$M$10</f>
        <v>0.68483560090702955</v>
      </c>
      <c r="F6" s="574">
        <f>C6*D6/E6</f>
        <v>1.32444849137039</v>
      </c>
      <c r="G6" s="574">
        <f>F6</f>
        <v>1.32444849137039</v>
      </c>
      <c r="H6" s="575">
        <f>(G6-1)/G6</f>
        <v>0.24496874999999982</v>
      </c>
      <c r="I6" s="567"/>
      <c r="J6" s="576" t="s">
        <v>1861</v>
      </c>
      <c r="K6" s="576">
        <v>36</v>
      </c>
      <c r="L6" s="576">
        <v>24.7</v>
      </c>
      <c r="M6" s="577">
        <f t="shared" si="0"/>
        <v>0.68611111111111112</v>
      </c>
      <c r="O6" s="578">
        <f>(B26*30+D26)/1000</f>
        <v>24.645892351274785</v>
      </c>
      <c r="P6" s="579">
        <f t="shared" si="1"/>
        <v>0.68460812086874401</v>
      </c>
    </row>
    <row r="7" spans="1:16">
      <c r="A7" s="580" t="s">
        <v>1862</v>
      </c>
      <c r="B7" s="580"/>
      <c r="C7" s="580"/>
      <c r="D7" s="580"/>
      <c r="E7" s="580"/>
      <c r="F7" s="581">
        <f>AVERAGE(F3:F6)</f>
        <v>1.2064809459953603</v>
      </c>
      <c r="G7" s="582">
        <f>F7</f>
        <v>1.2064809459953603</v>
      </c>
      <c r="H7" s="583">
        <f>(G7-1)/G7</f>
        <v>0.17114314708469033</v>
      </c>
      <c r="I7" s="567"/>
      <c r="J7" s="576" t="s">
        <v>1863</v>
      </c>
      <c r="K7" s="576">
        <v>30</v>
      </c>
      <c r="L7" s="576">
        <v>20.5</v>
      </c>
      <c r="M7" s="577">
        <f t="shared" si="0"/>
        <v>0.68333333333333335</v>
      </c>
      <c r="O7" s="578">
        <f>(B25*30+D25)/1000</f>
        <v>20.405982905982903</v>
      </c>
      <c r="P7" s="579">
        <f t="shared" si="1"/>
        <v>0.68019943019943008</v>
      </c>
    </row>
    <row r="8" spans="1:16">
      <c r="A8" s="567"/>
      <c r="B8" s="567"/>
      <c r="C8" s="567"/>
      <c r="D8" s="567"/>
      <c r="E8" s="567"/>
      <c r="F8" s="567"/>
      <c r="G8" s="567"/>
      <c r="H8" s="567"/>
      <c r="I8" s="567"/>
      <c r="J8" s="576" t="s">
        <v>1864</v>
      </c>
      <c r="K8" s="576">
        <v>24</v>
      </c>
      <c r="L8" s="576">
        <v>16.5</v>
      </c>
      <c r="M8" s="577">
        <f t="shared" si="0"/>
        <v>0.6875</v>
      </c>
      <c r="O8" s="578">
        <f>(B24*30+D24)/1000</f>
        <v>16.769010043041604</v>
      </c>
      <c r="P8" s="579">
        <f t="shared" si="1"/>
        <v>0.6987087517934002</v>
      </c>
    </row>
    <row r="9" spans="1:16">
      <c r="J9" s="568" t="s">
        <v>1865</v>
      </c>
      <c r="K9" s="568">
        <v>18</v>
      </c>
      <c r="L9" s="568">
        <v>12</v>
      </c>
      <c r="M9" s="584">
        <f t="shared" si="0"/>
        <v>0.66666666666666663</v>
      </c>
      <c r="O9" s="585">
        <f>(B23*30+D23)/1000</f>
        <v>12.411940298507464</v>
      </c>
      <c r="P9" s="586">
        <f t="shared" si="1"/>
        <v>0.68955223880597016</v>
      </c>
    </row>
    <row r="10" spans="1:16">
      <c r="M10" s="587">
        <f>AVERAGE(M3:M9)</f>
        <v>0.68483560090702955</v>
      </c>
      <c r="O10" s="579"/>
      <c r="P10" s="588">
        <f>AVERAGE(P3:P9)</f>
        <v>0.69447539154151039</v>
      </c>
    </row>
    <row r="14" spans="1:16">
      <c r="A14" s="668" t="s">
        <v>1866</v>
      </c>
      <c r="B14" s="668"/>
      <c r="C14" s="447"/>
      <c r="D14" s="589" t="s">
        <v>1018</v>
      </c>
      <c r="E14" s="589" t="s">
        <v>1867</v>
      </c>
    </row>
    <row r="15" spans="1:16">
      <c r="A15" s="590" t="s">
        <v>1868</v>
      </c>
      <c r="B15" s="590">
        <v>30</v>
      </c>
      <c r="C15" s="447" t="s">
        <v>1869</v>
      </c>
      <c r="D15" s="591">
        <v>1</v>
      </c>
      <c r="E15" s="591">
        <v>17</v>
      </c>
    </row>
    <row r="16" spans="1:16" ht="15.75" customHeight="1">
      <c r="D16" s="591">
        <v>2</v>
      </c>
      <c r="E16" s="591">
        <v>0</v>
      </c>
      <c r="F16" s="447"/>
      <c r="G16" s="592"/>
      <c r="H16" s="447"/>
    </row>
    <row r="17" spans="1:8">
      <c r="D17" s="591">
        <v>3</v>
      </c>
      <c r="E17" s="591">
        <v>-25</v>
      </c>
      <c r="F17" s="447"/>
      <c r="G17" s="592"/>
      <c r="H17" s="447"/>
    </row>
    <row r="18" spans="1:8">
      <c r="F18" s="447"/>
      <c r="G18" s="592"/>
      <c r="H18" s="447"/>
    </row>
    <row r="19" spans="1:8">
      <c r="A19" s="447"/>
      <c r="B19" s="447"/>
      <c r="C19" s="447"/>
      <c r="D19" s="447"/>
      <c r="E19" s="447"/>
      <c r="F19" s="447"/>
      <c r="G19" s="592"/>
      <c r="H19" s="447"/>
    </row>
    <row r="20" spans="1:8">
      <c r="A20" s="593" t="s">
        <v>1870</v>
      </c>
      <c r="B20" s="594"/>
      <c r="C20" s="593"/>
      <c r="D20" s="593"/>
      <c r="E20" s="593"/>
      <c r="F20" s="592"/>
      <c r="H20" s="447"/>
    </row>
    <row r="21" spans="1:8">
      <c r="A21" s="593" t="s">
        <v>1871</v>
      </c>
      <c r="B21" s="594"/>
      <c r="C21" s="593"/>
      <c r="D21" s="593"/>
      <c r="E21" s="593"/>
      <c r="F21" s="592"/>
    </row>
    <row r="22" spans="1:8">
      <c r="A22" s="595" t="s">
        <v>1168</v>
      </c>
      <c r="B22" s="595" t="s">
        <v>1872</v>
      </c>
      <c r="C22" s="595" t="s">
        <v>1873</v>
      </c>
      <c r="D22" s="596" t="s">
        <v>1874</v>
      </c>
      <c r="E22" s="597" t="s">
        <v>1875</v>
      </c>
      <c r="F22" s="592"/>
    </row>
    <row r="23" spans="1:8">
      <c r="A23" s="598">
        <v>1.5</v>
      </c>
      <c r="B23" s="599">
        <v>118.20895522388031</v>
      </c>
      <c r="C23" s="598" t="s">
        <v>1873</v>
      </c>
      <c r="D23" s="600">
        <v>8865.6716417910538</v>
      </c>
      <c r="E23" s="601" t="s">
        <v>1875</v>
      </c>
      <c r="F23" s="602"/>
    </row>
    <row r="24" spans="1:8">
      <c r="A24" s="598">
        <v>2</v>
      </c>
      <c r="B24" s="599">
        <v>117.07317073170707</v>
      </c>
      <c r="C24" s="598" t="s">
        <v>1873</v>
      </c>
      <c r="D24" s="600">
        <v>13256.81492109039</v>
      </c>
      <c r="E24" s="601" t="s">
        <v>1875</v>
      </c>
      <c r="F24" s="602"/>
    </row>
    <row r="25" spans="1:8">
      <c r="A25" s="598">
        <v>2.5</v>
      </c>
      <c r="B25" s="599">
        <v>175.21367521367549</v>
      </c>
      <c r="C25" s="598" t="s">
        <v>1873</v>
      </c>
      <c r="D25" s="600">
        <v>15149.572649572638</v>
      </c>
      <c r="E25" s="601" t="s">
        <v>1875</v>
      </c>
      <c r="F25" s="602"/>
    </row>
    <row r="26" spans="1:8">
      <c r="A26" s="598">
        <v>3</v>
      </c>
      <c r="B26" s="599">
        <v>220.96317280453439</v>
      </c>
      <c r="C26" s="598" t="s">
        <v>1873</v>
      </c>
      <c r="D26" s="600">
        <v>18016.997167138754</v>
      </c>
      <c r="E26" s="601" t="s">
        <v>1875</v>
      </c>
      <c r="F26" s="447"/>
    </row>
    <row r="27" spans="1:8">
      <c r="A27" s="598">
        <v>3.5</v>
      </c>
      <c r="B27" s="599">
        <v>224.12993039443089</v>
      </c>
      <c r="C27" s="598" t="s">
        <v>1873</v>
      </c>
      <c r="D27" s="600">
        <v>23216.937354988419</v>
      </c>
      <c r="E27" s="601" t="s">
        <v>1875</v>
      </c>
      <c r="F27" s="447"/>
    </row>
    <row r="28" spans="1:8">
      <c r="A28" s="598">
        <v>4</v>
      </c>
      <c r="B28" s="599">
        <v>205.34759358288855</v>
      </c>
      <c r="C28" s="598" t="s">
        <v>1873</v>
      </c>
      <c r="D28" s="600">
        <v>27105.882352941157</v>
      </c>
      <c r="E28" s="601" t="s">
        <v>1875</v>
      </c>
      <c r="F28" s="447"/>
    </row>
    <row r="29" spans="1:8">
      <c r="A29" s="598">
        <v>5</v>
      </c>
      <c r="B29" s="599">
        <v>236.43528341921726</v>
      </c>
      <c r="C29" s="598" t="s">
        <v>1873</v>
      </c>
      <c r="D29" s="600">
        <v>35046.983934525633</v>
      </c>
      <c r="E29" s="601" t="s">
        <v>1875</v>
      </c>
      <c r="F29" s="447"/>
    </row>
    <row r="36" spans="1:13">
      <c r="A36" s="603" t="s">
        <v>1168</v>
      </c>
      <c r="B36" s="604" t="s">
        <v>1876</v>
      </c>
      <c r="C36" s="604" t="s">
        <v>393</v>
      </c>
      <c r="E36" s="447" t="s">
        <v>1877</v>
      </c>
      <c r="F36" s="447"/>
      <c r="G36" s="447"/>
      <c r="H36" s="447"/>
      <c r="I36" s="447"/>
      <c r="J36" s="447"/>
      <c r="K36" s="447"/>
      <c r="L36" s="447"/>
      <c r="M36" s="447"/>
    </row>
    <row r="37" spans="1:13" ht="15.75" thickBot="1">
      <c r="A37" s="558">
        <v>1.5</v>
      </c>
      <c r="B37" s="605">
        <v>25</v>
      </c>
      <c r="C37" s="606">
        <f t="shared" ref="C37:C100" si="2">VLOOKUP(A37,$A$23:$D$29,2,FALSE)*B37+VLOOKUP(A37,$A$23:$D$29,4,FALSE)</f>
        <v>11820.895522388062</v>
      </c>
      <c r="E37" s="447"/>
      <c r="F37" s="447"/>
      <c r="G37" s="447"/>
      <c r="H37" s="447"/>
      <c r="I37" s="447"/>
      <c r="J37" s="447"/>
      <c r="K37" s="447"/>
      <c r="L37" s="447"/>
      <c r="M37" s="447"/>
    </row>
    <row r="38" spans="1:13">
      <c r="A38" s="558">
        <v>1.5</v>
      </c>
      <c r="B38" s="605">
        <v>26</v>
      </c>
      <c r="C38" s="606">
        <f t="shared" si="2"/>
        <v>11939.104477611942</v>
      </c>
      <c r="E38" s="607" t="s">
        <v>1878</v>
      </c>
      <c r="F38" s="607"/>
      <c r="G38" s="447"/>
      <c r="H38" s="447"/>
      <c r="I38" s="447"/>
      <c r="J38" s="447"/>
      <c r="K38" s="447"/>
      <c r="L38" s="447"/>
      <c r="M38" s="447"/>
    </row>
    <row r="39" spans="1:13">
      <c r="A39" s="558">
        <v>1.5</v>
      </c>
      <c r="B39" s="605">
        <v>27</v>
      </c>
      <c r="C39" s="606">
        <f t="shared" si="2"/>
        <v>12057.313432835823</v>
      </c>
      <c r="E39" s="608" t="s">
        <v>1879</v>
      </c>
      <c r="F39" s="608">
        <v>0.99918468585599451</v>
      </c>
      <c r="G39" s="447"/>
      <c r="H39" s="447"/>
      <c r="I39" s="447"/>
      <c r="J39" s="447"/>
      <c r="K39" s="447"/>
      <c r="L39" s="447"/>
      <c r="M39" s="447"/>
    </row>
    <row r="40" spans="1:13">
      <c r="A40" s="558">
        <v>1.5</v>
      </c>
      <c r="B40" s="605">
        <v>28</v>
      </c>
      <c r="C40" s="606">
        <f t="shared" si="2"/>
        <v>12175.522388059702</v>
      </c>
      <c r="E40" s="608" t="s">
        <v>1880</v>
      </c>
      <c r="F40" s="608">
        <v>0.99837003644914246</v>
      </c>
      <c r="G40" s="447"/>
      <c r="H40" s="447"/>
      <c r="I40" s="447"/>
      <c r="J40" s="447"/>
      <c r="K40" s="447"/>
      <c r="L40" s="447"/>
      <c r="M40" s="447"/>
    </row>
    <row r="41" spans="1:13">
      <c r="A41" s="558">
        <v>1.5</v>
      </c>
      <c r="B41" s="605">
        <v>29</v>
      </c>
      <c r="C41" s="606">
        <f t="shared" si="2"/>
        <v>12293.731343283584</v>
      </c>
      <c r="E41" s="608" t="s">
        <v>1881</v>
      </c>
      <c r="F41" s="608">
        <v>0.9983259833802004</v>
      </c>
      <c r="G41" s="447"/>
      <c r="H41" s="447"/>
      <c r="I41" s="447"/>
      <c r="J41" s="447"/>
      <c r="K41" s="447"/>
      <c r="L41" s="447"/>
      <c r="M41" s="447"/>
    </row>
    <row r="42" spans="1:13">
      <c r="A42" s="558">
        <v>1.5</v>
      </c>
      <c r="B42" s="605">
        <v>30</v>
      </c>
      <c r="C42" s="606">
        <f t="shared" si="2"/>
        <v>12411.940298507463</v>
      </c>
      <c r="E42" s="608" t="s">
        <v>1882</v>
      </c>
      <c r="F42" s="608">
        <v>4.5949979993890659E-2</v>
      </c>
      <c r="G42" s="447"/>
      <c r="H42" s="447"/>
      <c r="I42" s="447"/>
      <c r="J42" s="447"/>
      <c r="K42" s="447"/>
      <c r="L42" s="447"/>
      <c r="M42" s="447"/>
    </row>
    <row r="43" spans="1:13" ht="15.75" thickBot="1">
      <c r="A43" s="558">
        <v>1.5</v>
      </c>
      <c r="B43" s="605">
        <v>31</v>
      </c>
      <c r="C43" s="606">
        <f t="shared" si="2"/>
        <v>12530.149253731342</v>
      </c>
      <c r="E43" s="609" t="s">
        <v>1883</v>
      </c>
      <c r="F43" s="609">
        <v>77</v>
      </c>
      <c r="G43" s="447"/>
      <c r="H43" s="447"/>
      <c r="I43" s="447"/>
      <c r="J43" s="447"/>
      <c r="K43" s="447"/>
      <c r="L43" s="447"/>
      <c r="M43" s="447"/>
    </row>
    <row r="44" spans="1:13">
      <c r="A44" s="558">
        <v>1.5</v>
      </c>
      <c r="B44" s="605">
        <v>32</v>
      </c>
      <c r="C44" s="606">
        <f t="shared" si="2"/>
        <v>12648.358208955224</v>
      </c>
      <c r="E44" s="447"/>
      <c r="F44" s="447"/>
      <c r="G44" s="447"/>
      <c r="H44" s="447"/>
      <c r="I44" s="447"/>
      <c r="J44" s="447"/>
      <c r="K44" s="447"/>
      <c r="L44" s="447"/>
      <c r="M44" s="447"/>
    </row>
    <row r="45" spans="1:13" ht="15.75" thickBot="1">
      <c r="A45" s="558">
        <v>1.5</v>
      </c>
      <c r="B45" s="605">
        <v>33</v>
      </c>
      <c r="C45" s="606">
        <f t="shared" si="2"/>
        <v>12766.567164179105</v>
      </c>
      <c r="E45" s="447" t="s">
        <v>1884</v>
      </c>
      <c r="F45" s="447"/>
      <c r="G45" s="447"/>
      <c r="H45" s="447"/>
      <c r="I45" s="447"/>
      <c r="J45" s="447"/>
      <c r="K45" s="447"/>
      <c r="L45" s="447"/>
      <c r="M45" s="447"/>
    </row>
    <row r="46" spans="1:13">
      <c r="A46" s="558">
        <v>1.5</v>
      </c>
      <c r="B46" s="605">
        <v>34</v>
      </c>
      <c r="C46" s="606">
        <f t="shared" si="2"/>
        <v>12884.776119402984</v>
      </c>
      <c r="E46" s="610"/>
      <c r="F46" s="610" t="s">
        <v>1885</v>
      </c>
      <c r="G46" s="610" t="s">
        <v>1886</v>
      </c>
      <c r="H46" s="610" t="s">
        <v>1887</v>
      </c>
      <c r="I46" s="610" t="s">
        <v>1888</v>
      </c>
      <c r="J46" s="610" t="s">
        <v>1889</v>
      </c>
      <c r="K46" s="447"/>
      <c r="L46" s="447"/>
      <c r="M46" s="447"/>
    </row>
    <row r="47" spans="1:13">
      <c r="A47" s="558">
        <v>1.5</v>
      </c>
      <c r="B47" s="605">
        <v>35</v>
      </c>
      <c r="C47" s="606">
        <f t="shared" si="2"/>
        <v>13002.985074626864</v>
      </c>
      <c r="E47" s="608" t="s">
        <v>1890</v>
      </c>
      <c r="F47" s="608">
        <v>2</v>
      </c>
      <c r="G47" s="608">
        <v>95.700899208196319</v>
      </c>
      <c r="H47" s="608">
        <v>47.850449604098159</v>
      </c>
      <c r="I47" s="608">
        <v>22662.894105322172</v>
      </c>
      <c r="J47" s="608">
        <v>7.0889519937054316E-104</v>
      </c>
      <c r="K47" s="447"/>
      <c r="L47" s="447"/>
      <c r="M47" s="447"/>
    </row>
    <row r="48" spans="1:13">
      <c r="A48" s="605">
        <v>2</v>
      </c>
      <c r="B48" s="605">
        <v>25</v>
      </c>
      <c r="C48" s="606">
        <f t="shared" si="2"/>
        <v>16183.644189383067</v>
      </c>
      <c r="E48" s="608" t="s">
        <v>1891</v>
      </c>
      <c r="F48" s="608">
        <v>74</v>
      </c>
      <c r="G48" s="608">
        <v>0.15624364894648246</v>
      </c>
      <c r="H48" s="608">
        <v>2.111400661438952E-3</v>
      </c>
      <c r="I48" s="608"/>
      <c r="J48" s="608"/>
      <c r="K48" s="447"/>
      <c r="L48" s="447"/>
      <c r="M48" s="447"/>
    </row>
    <row r="49" spans="1:13" ht="15.75" thickBot="1">
      <c r="A49" s="605">
        <v>2</v>
      </c>
      <c r="B49" s="605">
        <v>26</v>
      </c>
      <c r="C49" s="606">
        <f t="shared" si="2"/>
        <v>16300.717360114773</v>
      </c>
      <c r="E49" s="609" t="s">
        <v>169</v>
      </c>
      <c r="F49" s="609">
        <v>76</v>
      </c>
      <c r="G49" s="609">
        <v>95.857142857142804</v>
      </c>
      <c r="H49" s="609"/>
      <c r="I49" s="609"/>
      <c r="J49" s="609"/>
      <c r="K49" s="447"/>
      <c r="L49" s="447"/>
      <c r="M49" s="447"/>
    </row>
    <row r="50" spans="1:13" ht="15.75" thickBot="1">
      <c r="A50" s="605">
        <v>2</v>
      </c>
      <c r="B50" s="605">
        <v>27</v>
      </c>
      <c r="C50" s="606">
        <f t="shared" si="2"/>
        <v>16417.79053084648</v>
      </c>
      <c r="E50" s="447"/>
      <c r="F50" s="447"/>
      <c r="G50" s="447"/>
      <c r="H50" s="447"/>
      <c r="I50" s="447"/>
      <c r="J50" s="447"/>
      <c r="K50" s="447"/>
      <c r="L50" s="447"/>
      <c r="M50" s="447"/>
    </row>
    <row r="51" spans="1:13">
      <c r="A51" s="605">
        <v>2</v>
      </c>
      <c r="B51" s="605">
        <v>28</v>
      </c>
      <c r="C51" s="606">
        <f t="shared" si="2"/>
        <v>16534.86370157819</v>
      </c>
      <c r="E51" s="610"/>
      <c r="F51" s="610" t="s">
        <v>1892</v>
      </c>
      <c r="G51" s="610" t="s">
        <v>1882</v>
      </c>
      <c r="H51" s="610" t="s">
        <v>1893</v>
      </c>
      <c r="I51" s="610" t="s">
        <v>1894</v>
      </c>
      <c r="J51" s="610" t="s">
        <v>1895</v>
      </c>
      <c r="K51" s="610" t="s">
        <v>1896</v>
      </c>
      <c r="L51" s="610" t="s">
        <v>1897</v>
      </c>
      <c r="M51" s="610" t="s">
        <v>1898</v>
      </c>
    </row>
    <row r="52" spans="1:13">
      <c r="A52" s="605">
        <v>2</v>
      </c>
      <c r="B52" s="605">
        <v>29</v>
      </c>
      <c r="C52" s="606">
        <f t="shared" si="2"/>
        <v>16651.936872309896</v>
      </c>
      <c r="E52" s="608" t="s">
        <v>1899</v>
      </c>
      <c r="F52" s="608">
        <v>0.71216966419910444</v>
      </c>
      <c r="G52" s="608">
        <v>5.1167311873481704E-2</v>
      </c>
      <c r="H52" s="608">
        <v>13.91844984860731</v>
      </c>
      <c r="I52" s="608">
        <v>2.3503954693396244E-22</v>
      </c>
      <c r="J52" s="608">
        <v>0.61021656975970429</v>
      </c>
      <c r="K52" s="608">
        <v>0.81412275863850458</v>
      </c>
      <c r="L52" s="608">
        <v>0.61021656975970429</v>
      </c>
      <c r="M52" s="608">
        <v>0.81412275863850458</v>
      </c>
    </row>
    <row r="53" spans="1:13">
      <c r="A53" s="605">
        <v>2</v>
      </c>
      <c r="B53" s="605">
        <v>30</v>
      </c>
      <c r="C53" s="606">
        <f t="shared" si="2"/>
        <v>16769.010043041602</v>
      </c>
      <c r="E53" s="608" t="s">
        <v>1876</v>
      </c>
      <c r="F53" s="608">
        <v>-2.1760704805273947E-2</v>
      </c>
      <c r="G53" s="608">
        <v>1.659073836968039E-3</v>
      </c>
      <c r="H53" s="608">
        <v>-13.116176218559195</v>
      </c>
      <c r="I53" s="608">
        <v>5.4434097458424093E-21</v>
      </c>
      <c r="J53" s="608">
        <v>-2.5066481587149487E-2</v>
      </c>
      <c r="K53" s="608">
        <v>-1.8454928023398407E-2</v>
      </c>
      <c r="L53" s="608">
        <v>-2.5066481587149487E-2</v>
      </c>
      <c r="M53" s="608">
        <v>-1.8454928023398407E-2</v>
      </c>
    </row>
    <row r="54" spans="1:13" ht="15.75" thickBot="1">
      <c r="A54" s="605">
        <v>2</v>
      </c>
      <c r="B54" s="605">
        <v>31</v>
      </c>
      <c r="C54" s="606">
        <f t="shared" si="2"/>
        <v>16886.083213773309</v>
      </c>
      <c r="E54" s="609" t="s">
        <v>393</v>
      </c>
      <c r="F54" s="609">
        <v>1.1741039525002275E-4</v>
      </c>
      <c r="G54" s="609">
        <v>5.5148520703787524E-7</v>
      </c>
      <c r="H54" s="609">
        <v>212.89853970998567</v>
      </c>
      <c r="I54" s="609">
        <v>6.5581896638000488E-105</v>
      </c>
      <c r="J54" s="609">
        <v>1.1631153698805093E-4</v>
      </c>
      <c r="K54" s="609">
        <v>1.1850925351199457E-4</v>
      </c>
      <c r="L54" s="609">
        <v>1.1631153698805093E-4</v>
      </c>
      <c r="M54" s="609">
        <v>1.1850925351199457E-4</v>
      </c>
    </row>
    <row r="55" spans="1:13">
      <c r="A55" s="605">
        <v>2</v>
      </c>
      <c r="B55" s="605">
        <v>32</v>
      </c>
      <c r="C55" s="606">
        <f t="shared" si="2"/>
        <v>17003.156384505015</v>
      </c>
      <c r="E55" s="447"/>
      <c r="F55" s="447"/>
      <c r="G55" s="447"/>
      <c r="H55" s="447"/>
      <c r="I55" s="447"/>
      <c r="J55" s="447"/>
      <c r="K55" s="447"/>
      <c r="L55" s="447"/>
      <c r="M55" s="447"/>
    </row>
    <row r="56" spans="1:13">
      <c r="A56" s="605">
        <v>2</v>
      </c>
      <c r="B56" s="605">
        <v>33</v>
      </c>
      <c r="C56" s="606">
        <f t="shared" si="2"/>
        <v>17120.229555236725</v>
      </c>
      <c r="E56" s="447"/>
      <c r="F56" s="447"/>
      <c r="G56" s="447"/>
      <c r="H56" s="447"/>
      <c r="I56" s="447"/>
      <c r="J56" s="447"/>
      <c r="K56" s="447"/>
      <c r="L56" s="447"/>
      <c r="M56" s="447"/>
    </row>
    <row r="57" spans="1:13">
      <c r="A57" s="605">
        <v>2</v>
      </c>
      <c r="B57" s="605">
        <v>34</v>
      </c>
      <c r="C57" s="606">
        <f t="shared" si="2"/>
        <v>17237.302725968431</v>
      </c>
      <c r="E57" s="447" t="s">
        <v>1900</v>
      </c>
      <c r="F57" s="447"/>
      <c r="G57" s="447"/>
      <c r="H57" s="447"/>
      <c r="I57" s="447"/>
      <c r="J57" s="447"/>
      <c r="K57" s="447"/>
      <c r="L57" s="447"/>
      <c r="M57" s="447"/>
    </row>
    <row r="58" spans="1:13">
      <c r="A58" s="605">
        <v>2</v>
      </c>
      <c r="B58" s="605">
        <v>35</v>
      </c>
      <c r="C58" s="606">
        <f t="shared" si="2"/>
        <v>17354.375896700138</v>
      </c>
    </row>
    <row r="59" spans="1:13">
      <c r="A59" s="605">
        <v>2.5</v>
      </c>
      <c r="B59" s="605">
        <v>25</v>
      </c>
      <c r="C59" s="606">
        <f t="shared" si="2"/>
        <v>19529.914529914524</v>
      </c>
    </row>
    <row r="60" spans="1:13">
      <c r="A60" s="605">
        <v>2.5</v>
      </c>
      <c r="B60" s="605">
        <v>26</v>
      </c>
      <c r="C60" s="606">
        <f t="shared" si="2"/>
        <v>19705.1282051282</v>
      </c>
    </row>
    <row r="61" spans="1:13">
      <c r="A61" s="605">
        <v>2.5</v>
      </c>
      <c r="B61" s="605">
        <v>27</v>
      </c>
      <c r="C61" s="606">
        <f t="shared" si="2"/>
        <v>19880.341880341875</v>
      </c>
    </row>
    <row r="62" spans="1:13">
      <c r="A62" s="605">
        <v>2.5</v>
      </c>
      <c r="B62" s="605">
        <v>28</v>
      </c>
      <c r="C62" s="606">
        <f t="shared" si="2"/>
        <v>20055.555555555551</v>
      </c>
    </row>
    <row r="63" spans="1:13">
      <c r="A63" s="605">
        <v>2.5</v>
      </c>
      <c r="B63" s="605">
        <v>29</v>
      </c>
      <c r="C63" s="606">
        <f t="shared" si="2"/>
        <v>20230.769230769227</v>
      </c>
    </row>
    <row r="64" spans="1:13">
      <c r="A64" s="605">
        <v>2.5</v>
      </c>
      <c r="B64" s="605">
        <v>30</v>
      </c>
      <c r="C64" s="606">
        <f t="shared" si="2"/>
        <v>20405.982905982903</v>
      </c>
    </row>
    <row r="65" spans="1:3">
      <c r="A65" s="605">
        <v>2.5</v>
      </c>
      <c r="B65" s="605">
        <v>31</v>
      </c>
      <c r="C65" s="606">
        <f t="shared" si="2"/>
        <v>20581.196581196578</v>
      </c>
    </row>
    <row r="66" spans="1:3">
      <c r="A66" s="605">
        <v>2.5</v>
      </c>
      <c r="B66" s="605">
        <v>32</v>
      </c>
      <c r="C66" s="606">
        <f t="shared" si="2"/>
        <v>20756.410256410254</v>
      </c>
    </row>
    <row r="67" spans="1:3">
      <c r="A67" s="605">
        <v>2.5</v>
      </c>
      <c r="B67" s="605">
        <v>33</v>
      </c>
      <c r="C67" s="606">
        <f t="shared" si="2"/>
        <v>20931.62393162393</v>
      </c>
    </row>
    <row r="68" spans="1:3">
      <c r="A68" s="605">
        <v>2.5</v>
      </c>
      <c r="B68" s="605">
        <v>34</v>
      </c>
      <c r="C68" s="606">
        <f t="shared" si="2"/>
        <v>21106.837606837602</v>
      </c>
    </row>
    <row r="69" spans="1:3">
      <c r="A69" s="605">
        <v>2.5</v>
      </c>
      <c r="B69" s="605">
        <v>35</v>
      </c>
      <c r="C69" s="606">
        <f t="shared" si="2"/>
        <v>21282.051282051281</v>
      </c>
    </row>
    <row r="70" spans="1:3">
      <c r="A70" s="605">
        <v>3</v>
      </c>
      <c r="B70" s="605">
        <v>25</v>
      </c>
      <c r="C70" s="606">
        <f t="shared" si="2"/>
        <v>23541.076487252114</v>
      </c>
    </row>
    <row r="71" spans="1:3">
      <c r="A71" s="605">
        <v>3</v>
      </c>
      <c r="B71" s="605">
        <v>26</v>
      </c>
      <c r="C71" s="606">
        <f t="shared" si="2"/>
        <v>23762.039660056649</v>
      </c>
    </row>
    <row r="72" spans="1:3">
      <c r="A72" s="605">
        <v>3</v>
      </c>
      <c r="B72" s="605">
        <v>27</v>
      </c>
      <c r="C72" s="606">
        <f t="shared" si="2"/>
        <v>23983.002832861181</v>
      </c>
    </row>
    <row r="73" spans="1:3">
      <c r="A73" s="605">
        <v>3</v>
      </c>
      <c r="B73" s="605">
        <v>28</v>
      </c>
      <c r="C73" s="606">
        <f t="shared" si="2"/>
        <v>24203.966005665716</v>
      </c>
    </row>
    <row r="74" spans="1:3">
      <c r="A74" s="605">
        <v>3</v>
      </c>
      <c r="B74" s="605">
        <v>29</v>
      </c>
      <c r="C74" s="606">
        <f t="shared" si="2"/>
        <v>24424.929178470251</v>
      </c>
    </row>
    <row r="75" spans="1:3">
      <c r="A75" s="605">
        <v>3</v>
      </c>
      <c r="B75" s="605">
        <v>30</v>
      </c>
      <c r="C75" s="606">
        <f t="shared" si="2"/>
        <v>24645.892351274786</v>
      </c>
    </row>
    <row r="76" spans="1:3">
      <c r="A76" s="605">
        <v>3</v>
      </c>
      <c r="B76" s="605">
        <v>31</v>
      </c>
      <c r="C76" s="606">
        <f t="shared" si="2"/>
        <v>24866.855524079321</v>
      </c>
    </row>
    <row r="77" spans="1:3">
      <c r="A77" s="605">
        <v>3</v>
      </c>
      <c r="B77" s="605">
        <v>32</v>
      </c>
      <c r="C77" s="606">
        <f t="shared" si="2"/>
        <v>25087.818696883856</v>
      </c>
    </row>
    <row r="78" spans="1:3">
      <c r="A78" s="605">
        <v>3</v>
      </c>
      <c r="B78" s="605">
        <v>33</v>
      </c>
      <c r="C78" s="606">
        <f t="shared" si="2"/>
        <v>25308.781869688388</v>
      </c>
    </row>
    <row r="79" spans="1:3">
      <c r="A79" s="605">
        <v>3</v>
      </c>
      <c r="B79" s="605">
        <v>34</v>
      </c>
      <c r="C79" s="606">
        <f t="shared" si="2"/>
        <v>25529.745042492923</v>
      </c>
    </row>
    <row r="80" spans="1:3">
      <c r="A80" s="605">
        <v>3</v>
      </c>
      <c r="B80" s="605">
        <v>35</v>
      </c>
      <c r="C80" s="606">
        <f t="shared" si="2"/>
        <v>25750.708215297458</v>
      </c>
    </row>
    <row r="81" spans="1:3">
      <c r="A81" s="605">
        <v>3.5</v>
      </c>
      <c r="B81" s="605">
        <v>25</v>
      </c>
      <c r="C81" s="606">
        <f t="shared" si="2"/>
        <v>28820.18561484919</v>
      </c>
    </row>
    <row r="82" spans="1:3">
      <c r="A82" s="605">
        <v>3.5</v>
      </c>
      <c r="B82" s="605">
        <v>26</v>
      </c>
      <c r="C82" s="606">
        <f t="shared" si="2"/>
        <v>29044.315545243622</v>
      </c>
    </row>
    <row r="83" spans="1:3">
      <c r="A83" s="605">
        <v>3.5</v>
      </c>
      <c r="B83" s="605">
        <v>27</v>
      </c>
      <c r="C83" s="606">
        <f t="shared" si="2"/>
        <v>29268.445475638051</v>
      </c>
    </row>
    <row r="84" spans="1:3">
      <c r="A84" s="605">
        <v>3.5</v>
      </c>
      <c r="B84" s="605">
        <v>28</v>
      </c>
      <c r="C84" s="606">
        <f t="shared" si="2"/>
        <v>29492.575406032483</v>
      </c>
    </row>
    <row r="85" spans="1:3">
      <c r="A85" s="605">
        <v>3.5</v>
      </c>
      <c r="B85" s="605">
        <v>29</v>
      </c>
      <c r="C85" s="606">
        <f t="shared" si="2"/>
        <v>29716.705336426916</v>
      </c>
    </row>
    <row r="86" spans="1:3">
      <c r="A86" s="605">
        <v>3.5</v>
      </c>
      <c r="B86" s="605">
        <v>30</v>
      </c>
      <c r="C86" s="606">
        <f t="shared" si="2"/>
        <v>29940.835266821345</v>
      </c>
    </row>
    <row r="87" spans="1:3">
      <c r="A87" s="605">
        <v>3.5</v>
      </c>
      <c r="B87" s="605">
        <v>31</v>
      </c>
      <c r="C87" s="606">
        <f t="shared" si="2"/>
        <v>30164.965197215777</v>
      </c>
    </row>
    <row r="88" spans="1:3">
      <c r="A88" s="605">
        <v>3.5</v>
      </c>
      <c r="B88" s="605">
        <v>32</v>
      </c>
      <c r="C88" s="606">
        <f t="shared" si="2"/>
        <v>30389.095127610206</v>
      </c>
    </row>
    <row r="89" spans="1:3">
      <c r="A89" s="605">
        <v>3.5</v>
      </c>
      <c r="B89" s="605">
        <v>33</v>
      </c>
      <c r="C89" s="606">
        <f t="shared" si="2"/>
        <v>30613.225058004638</v>
      </c>
    </row>
    <row r="90" spans="1:3">
      <c r="A90" s="605">
        <v>3.5</v>
      </c>
      <c r="B90" s="605">
        <v>34</v>
      </c>
      <c r="C90" s="606">
        <f t="shared" si="2"/>
        <v>30837.354988399071</v>
      </c>
    </row>
    <row r="91" spans="1:3">
      <c r="A91" s="605">
        <v>3.5</v>
      </c>
      <c r="B91" s="605">
        <v>35</v>
      </c>
      <c r="C91" s="606">
        <f t="shared" si="2"/>
        <v>31061.4849187935</v>
      </c>
    </row>
    <row r="92" spans="1:3">
      <c r="A92" s="605">
        <v>4</v>
      </c>
      <c r="B92" s="605">
        <v>25</v>
      </c>
      <c r="C92" s="606">
        <f t="shared" si="2"/>
        <v>32239.572192513369</v>
      </c>
    </row>
    <row r="93" spans="1:3">
      <c r="A93" s="605">
        <v>4</v>
      </c>
      <c r="B93" s="605">
        <v>26</v>
      </c>
      <c r="C93" s="606">
        <f t="shared" si="2"/>
        <v>32444.919786096259</v>
      </c>
    </row>
    <row r="94" spans="1:3">
      <c r="A94" s="605">
        <v>4</v>
      </c>
      <c r="B94" s="605">
        <v>27</v>
      </c>
      <c r="C94" s="606">
        <f t="shared" si="2"/>
        <v>32650.26737967915</v>
      </c>
    </row>
    <row r="95" spans="1:3">
      <c r="A95" s="605">
        <v>4</v>
      </c>
      <c r="B95" s="605">
        <v>28</v>
      </c>
      <c r="C95" s="606">
        <f t="shared" si="2"/>
        <v>32855.61497326204</v>
      </c>
    </row>
    <row r="96" spans="1:3">
      <c r="A96" s="605">
        <v>4</v>
      </c>
      <c r="B96" s="605">
        <v>29</v>
      </c>
      <c r="C96" s="606">
        <f t="shared" si="2"/>
        <v>33060.962566844923</v>
      </c>
    </row>
    <row r="97" spans="1:3">
      <c r="A97" s="605">
        <v>4</v>
      </c>
      <c r="B97" s="605">
        <v>30</v>
      </c>
      <c r="C97" s="606">
        <f t="shared" si="2"/>
        <v>33266.310160427813</v>
      </c>
    </row>
    <row r="98" spans="1:3">
      <c r="A98" s="605">
        <v>4</v>
      </c>
      <c r="B98" s="605">
        <v>31</v>
      </c>
      <c r="C98" s="606">
        <f t="shared" si="2"/>
        <v>33471.657754010703</v>
      </c>
    </row>
    <row r="99" spans="1:3">
      <c r="A99" s="605">
        <v>4</v>
      </c>
      <c r="B99" s="605">
        <v>32</v>
      </c>
      <c r="C99" s="606">
        <f t="shared" si="2"/>
        <v>33677.005347593593</v>
      </c>
    </row>
    <row r="100" spans="1:3">
      <c r="A100" s="605">
        <v>4</v>
      </c>
      <c r="B100" s="605">
        <v>33</v>
      </c>
      <c r="C100" s="606">
        <f t="shared" si="2"/>
        <v>33882.352941176476</v>
      </c>
    </row>
    <row r="101" spans="1:3">
      <c r="A101" s="605">
        <v>4</v>
      </c>
      <c r="B101" s="605">
        <v>34</v>
      </c>
      <c r="C101" s="606">
        <f t="shared" ref="C101:C113" si="3">VLOOKUP(A101,$A$23:$D$29,2,FALSE)*B101+VLOOKUP(A101,$A$23:$D$29,4,FALSE)</f>
        <v>34087.700534759366</v>
      </c>
    </row>
    <row r="102" spans="1:3">
      <c r="A102" s="605">
        <v>4</v>
      </c>
      <c r="B102" s="605">
        <v>35</v>
      </c>
      <c r="C102" s="606">
        <f t="shared" si="3"/>
        <v>34293.048128342256</v>
      </c>
    </row>
    <row r="103" spans="1:3">
      <c r="A103" s="605">
        <v>5</v>
      </c>
      <c r="B103" s="605">
        <v>25</v>
      </c>
      <c r="C103" s="606">
        <f t="shared" si="3"/>
        <v>40957.866020006062</v>
      </c>
    </row>
    <row r="104" spans="1:3">
      <c r="A104" s="605">
        <v>5</v>
      </c>
      <c r="B104" s="605">
        <v>26</v>
      </c>
      <c r="C104" s="606">
        <f t="shared" si="3"/>
        <v>41194.30130342528</v>
      </c>
    </row>
    <row r="105" spans="1:3">
      <c r="A105" s="605">
        <v>5</v>
      </c>
      <c r="B105" s="605">
        <v>27</v>
      </c>
      <c r="C105" s="606">
        <f t="shared" si="3"/>
        <v>41430.736586844498</v>
      </c>
    </row>
    <row r="106" spans="1:3">
      <c r="A106" s="605">
        <v>5</v>
      </c>
      <c r="B106" s="605">
        <v>28</v>
      </c>
      <c r="C106" s="606">
        <f t="shared" si="3"/>
        <v>41667.171870263715</v>
      </c>
    </row>
    <row r="107" spans="1:3">
      <c r="A107" s="605">
        <v>5</v>
      </c>
      <c r="B107" s="605">
        <v>29</v>
      </c>
      <c r="C107" s="606">
        <f t="shared" si="3"/>
        <v>41903.607153682933</v>
      </c>
    </row>
    <row r="108" spans="1:3">
      <c r="A108" s="605">
        <v>5</v>
      </c>
      <c r="B108" s="605">
        <v>30</v>
      </c>
      <c r="C108" s="606">
        <f t="shared" si="3"/>
        <v>42140.042437102151</v>
      </c>
    </row>
    <row r="109" spans="1:3">
      <c r="A109" s="605">
        <v>5</v>
      </c>
      <c r="B109" s="605">
        <v>31</v>
      </c>
      <c r="C109" s="606">
        <f t="shared" si="3"/>
        <v>42376.477720521369</v>
      </c>
    </row>
    <row r="110" spans="1:3">
      <c r="A110" s="605">
        <v>5</v>
      </c>
      <c r="B110" s="605">
        <v>32</v>
      </c>
      <c r="C110" s="606">
        <f t="shared" si="3"/>
        <v>42612.913003940586</v>
      </c>
    </row>
    <row r="111" spans="1:3">
      <c r="A111" s="605">
        <v>5</v>
      </c>
      <c r="B111" s="605">
        <v>33</v>
      </c>
      <c r="C111" s="606">
        <f t="shared" si="3"/>
        <v>42849.348287359804</v>
      </c>
    </row>
    <row r="112" spans="1:3">
      <c r="A112" s="605">
        <v>5</v>
      </c>
      <c r="B112" s="605">
        <v>34</v>
      </c>
      <c r="C112" s="606">
        <f t="shared" si="3"/>
        <v>43085.783570779022</v>
      </c>
    </row>
    <row r="113" spans="1:3">
      <c r="A113" s="605">
        <v>5</v>
      </c>
      <c r="B113" s="605">
        <v>35</v>
      </c>
      <c r="C113" s="606">
        <f t="shared" si="3"/>
        <v>43322.21885419824</v>
      </c>
    </row>
  </sheetData>
  <mergeCells count="1">
    <mergeCell ref="A14:B14"/>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sheetPr codeName="Sheet8"/>
  <dimension ref="A1:BD12"/>
  <sheetViews>
    <sheetView workbookViewId="0">
      <selection activeCell="C3" sqref="C3"/>
    </sheetView>
  </sheetViews>
  <sheetFormatPr defaultRowHeight="12.75"/>
  <cols>
    <col min="1" max="2" width="21.85546875" customWidth="1"/>
    <col min="3" max="3" width="40.28515625" bestFit="1" customWidth="1"/>
    <col min="4" max="4" width="12.28515625" bestFit="1" customWidth="1"/>
    <col min="5" max="5" width="30.5703125" bestFit="1" customWidth="1"/>
  </cols>
  <sheetData>
    <row r="1" spans="1:56" ht="15.75" thickBot="1">
      <c r="A1" s="64" t="s">
        <v>210</v>
      </c>
      <c r="B1" s="64" t="s">
        <v>211</v>
      </c>
      <c r="C1" s="64" t="s">
        <v>212</v>
      </c>
      <c r="D1" s="64" t="s">
        <v>213</v>
      </c>
      <c r="E1" s="64" t="s">
        <v>214</v>
      </c>
      <c r="F1" s="64" t="s">
        <v>215</v>
      </c>
      <c r="G1" s="64" t="s">
        <v>216</v>
      </c>
      <c r="H1" s="64" t="s">
        <v>170</v>
      </c>
      <c r="I1" s="64" t="s">
        <v>64</v>
      </c>
      <c r="J1" s="64" t="s">
        <v>65</v>
      </c>
      <c r="K1" s="58">
        <v>2016</v>
      </c>
      <c r="L1" s="59">
        <v>2017</v>
      </c>
      <c r="M1" s="59">
        <v>2018</v>
      </c>
      <c r="N1" s="59">
        <v>2019</v>
      </c>
      <c r="O1" s="59">
        <v>2020</v>
      </c>
      <c r="P1" s="59">
        <v>2021</v>
      </c>
      <c r="Q1" s="59">
        <v>2022</v>
      </c>
      <c r="R1" s="59">
        <v>2023</v>
      </c>
      <c r="S1" s="59">
        <v>2024</v>
      </c>
      <c r="T1" s="59">
        <v>2025</v>
      </c>
      <c r="U1" s="59">
        <v>2026</v>
      </c>
      <c r="V1" s="59">
        <v>2027</v>
      </c>
      <c r="W1" s="59">
        <v>2028</v>
      </c>
      <c r="X1" s="59">
        <v>2029</v>
      </c>
      <c r="Y1" s="59">
        <v>2030</v>
      </c>
      <c r="Z1" s="59">
        <v>2031</v>
      </c>
      <c r="AA1" s="59">
        <v>2032</v>
      </c>
      <c r="AB1" s="59">
        <v>2033</v>
      </c>
      <c r="AC1" s="59">
        <v>2034</v>
      </c>
      <c r="AD1" s="59">
        <v>2035</v>
      </c>
      <c r="AE1" s="60" t="s">
        <v>59</v>
      </c>
      <c r="AF1" s="43" t="s">
        <v>202</v>
      </c>
      <c r="AG1" s="44"/>
      <c r="AH1" s="44"/>
      <c r="AI1" s="44"/>
      <c r="AJ1" s="44"/>
      <c r="AK1" s="44"/>
      <c r="AL1" s="44"/>
      <c r="AM1" s="44"/>
      <c r="AN1" s="44"/>
      <c r="AO1" s="44"/>
      <c r="AP1" s="44"/>
      <c r="AQ1" s="38"/>
      <c r="AR1" s="42"/>
      <c r="AS1" s="43" t="s">
        <v>203</v>
      </c>
      <c r="AT1" s="44"/>
      <c r="AU1" s="44"/>
      <c r="AV1" s="44"/>
      <c r="AW1" s="44"/>
      <c r="AX1" s="44"/>
      <c r="AY1" s="44"/>
      <c r="AZ1" s="44"/>
      <c r="BA1" s="44"/>
      <c r="BB1" s="44"/>
      <c r="BC1" s="44"/>
      <c r="BD1" s="38"/>
    </row>
    <row r="2" spans="1:56" ht="15">
      <c r="A2" s="64"/>
      <c r="B2" s="64"/>
      <c r="C2" s="64"/>
      <c r="D2" s="64"/>
      <c r="E2" s="64"/>
      <c r="F2" s="64" t="s">
        <v>204</v>
      </c>
      <c r="G2" s="64" t="s">
        <v>46</v>
      </c>
      <c r="H2" s="64" t="s">
        <v>63</v>
      </c>
      <c r="I2" s="64">
        <v>1</v>
      </c>
      <c r="J2" s="64"/>
      <c r="K2" s="61" t="str">
        <f t="shared" ref="K2:AD2" si="0">CONCATENATE("aMW_",K$1)</f>
        <v>aMW_2016</v>
      </c>
      <c r="L2" s="62" t="str">
        <f t="shared" si="0"/>
        <v>aMW_2017</v>
      </c>
      <c r="M2" s="62" t="str">
        <f t="shared" si="0"/>
        <v>aMW_2018</v>
      </c>
      <c r="N2" s="62" t="str">
        <f t="shared" si="0"/>
        <v>aMW_2019</v>
      </c>
      <c r="O2" s="62" t="str">
        <f t="shared" si="0"/>
        <v>aMW_2020</v>
      </c>
      <c r="P2" s="62" t="str">
        <f t="shared" si="0"/>
        <v>aMW_2021</v>
      </c>
      <c r="Q2" s="62" t="str">
        <f t="shared" si="0"/>
        <v>aMW_2022</v>
      </c>
      <c r="R2" s="62" t="str">
        <f t="shared" si="0"/>
        <v>aMW_2023</v>
      </c>
      <c r="S2" s="62" t="str">
        <f t="shared" si="0"/>
        <v>aMW_2024</v>
      </c>
      <c r="T2" s="62" t="str">
        <f t="shared" si="0"/>
        <v>aMW_2025</v>
      </c>
      <c r="U2" s="62" t="str">
        <f t="shared" si="0"/>
        <v>aMW_2026</v>
      </c>
      <c r="V2" s="62" t="str">
        <f t="shared" si="0"/>
        <v>aMW_2027</v>
      </c>
      <c r="W2" s="62" t="str">
        <f t="shared" si="0"/>
        <v>aMW_2028</v>
      </c>
      <c r="X2" s="62" t="str">
        <f t="shared" si="0"/>
        <v>aMW_2029</v>
      </c>
      <c r="Y2" s="62" t="str">
        <f t="shared" si="0"/>
        <v>aMW_2030</v>
      </c>
      <c r="Z2" s="62" t="str">
        <f t="shared" si="0"/>
        <v>aMW_2031</v>
      </c>
      <c r="AA2" s="62" t="str">
        <f t="shared" si="0"/>
        <v>aMW_2032</v>
      </c>
      <c r="AB2" s="62" t="str">
        <f t="shared" si="0"/>
        <v>aMW_2033</v>
      </c>
      <c r="AC2" s="62" t="str">
        <f t="shared" si="0"/>
        <v>aMW_2034</v>
      </c>
      <c r="AD2" s="62" t="str">
        <f t="shared" si="0"/>
        <v>aMW_2035</v>
      </c>
      <c r="AE2" s="63" t="s">
        <v>59</v>
      </c>
      <c r="AF2" s="37" t="s">
        <v>33</v>
      </c>
      <c r="AG2" s="37" t="s">
        <v>34</v>
      </c>
      <c r="AH2" s="37" t="s">
        <v>35</v>
      </c>
      <c r="AI2" s="37" t="s">
        <v>36</v>
      </c>
      <c r="AJ2" s="37" t="s">
        <v>37</v>
      </c>
      <c r="AK2" s="37" t="s">
        <v>38</v>
      </c>
      <c r="AL2" s="37" t="s">
        <v>39</v>
      </c>
      <c r="AM2" s="37" t="s">
        <v>40</v>
      </c>
      <c r="AN2" s="37" t="s">
        <v>41</v>
      </c>
      <c r="AO2" s="37" t="s">
        <v>42</v>
      </c>
      <c r="AP2" s="37" t="s">
        <v>43</v>
      </c>
      <c r="AQ2" s="37" t="s">
        <v>44</v>
      </c>
      <c r="AR2" s="37"/>
      <c r="AS2" s="37" t="s">
        <v>33</v>
      </c>
      <c r="AT2" s="37" t="s">
        <v>34</v>
      </c>
      <c r="AU2" s="37" t="s">
        <v>35</v>
      </c>
      <c r="AV2" s="37" t="s">
        <v>36</v>
      </c>
      <c r="AW2" s="37" t="s">
        <v>37</v>
      </c>
      <c r="AX2" s="37" t="s">
        <v>38</v>
      </c>
      <c r="AY2" s="37" t="s">
        <v>39</v>
      </c>
      <c r="AZ2" s="37" t="s">
        <v>40</v>
      </c>
      <c r="BA2" s="37" t="s">
        <v>41</v>
      </c>
      <c r="BB2" s="37" t="s">
        <v>42</v>
      </c>
      <c r="BC2" s="37" t="s">
        <v>43</v>
      </c>
      <c r="BD2" s="37" t="s">
        <v>44</v>
      </c>
    </row>
    <row r="3" spans="1:56" ht="15">
      <c r="A3" s="55" t="str">
        <f>VLOOKUP(CONCATENATE($C3," - ",$B3),[2]ACHIEV!$B$12:$C$78,2,FALSE)</f>
        <v>LO1Slow</v>
      </c>
      <c r="B3" s="55" t="str">
        <f>'SC-New'!$C$7</f>
        <v>New</v>
      </c>
      <c r="C3" s="55" t="str">
        <f>'SC-New'!$C$8</f>
        <v>GSHP</v>
      </c>
      <c r="D3" s="55" t="s">
        <v>217</v>
      </c>
      <c r="E3" s="55" t="str">
        <f>'SC-New'!$A$9</f>
        <v>HVAC</v>
      </c>
      <c r="F3" s="92">
        <f t="shared" ref="F3:F6" si="1">VLOOKUP($J3,MeasureOutput,14,FALSE)</f>
        <v>1.3353386729037928</v>
      </c>
      <c r="G3" s="57">
        <f>'SC-New'!A44</f>
        <v>3822.4043943278657</v>
      </c>
      <c r="H3" s="57">
        <f>'SC-New'!B44</f>
        <v>157.31156480020979</v>
      </c>
      <c r="I3" s="9" t="str">
        <f>'SC-New'!C44</f>
        <v>Single Family</v>
      </c>
      <c r="J3" s="9" t="str">
        <f>'SC-New'!D44</f>
        <v>Ground Source Heat Pump Upgrade from Air Source Heat Pump - With Desuperheater - New House 4000 square feet or greater</v>
      </c>
      <c r="K3" s="34">
        <f ca="1">'SC-New'!E44</f>
        <v>1.4095127074913531E-5</v>
      </c>
      <c r="L3" s="34">
        <f ca="1">'SC-New'!F44</f>
        <v>4.0433524356728086E-5</v>
      </c>
      <c r="M3" s="34">
        <f ca="1">'SC-New'!G44</f>
        <v>8.3680816953461692E-5</v>
      </c>
      <c r="N3" s="34">
        <f ca="1">'SC-New'!H44</f>
        <v>1.5233706929200676E-4</v>
      </c>
      <c r="O3" s="34">
        <f ca="1">'SC-New'!I44</f>
        <v>2.5367379016990325E-4</v>
      </c>
      <c r="P3" s="34">
        <f ca="1">'SC-New'!J44</f>
        <v>3.8557356340784176E-4</v>
      </c>
      <c r="Q3" s="34">
        <f ca="1">'SC-New'!K44</f>
        <v>5.6508506857626381E-4</v>
      </c>
      <c r="R3" s="34">
        <f ca="1">'SC-New'!L44</f>
        <v>8.0783856893040839E-4</v>
      </c>
      <c r="S3" s="34">
        <f ca="1">'SC-New'!M44</f>
        <v>1.0999634911552944E-3</v>
      </c>
      <c r="T3" s="34">
        <f ca="1">'SC-New'!N44</f>
        <v>1.4801171352331968E-3</v>
      </c>
      <c r="U3" s="34">
        <f ca="1">'SC-New'!O44</f>
        <v>1.8978532364061769E-3</v>
      </c>
      <c r="V3" s="34">
        <f ca="1">'SC-New'!P44</f>
        <v>2.3013196122759062E-3</v>
      </c>
      <c r="W3" s="34">
        <f ca="1">'SC-New'!Q44</f>
        <v>2.6585900073541318E-3</v>
      </c>
      <c r="X3" s="34">
        <f ca="1">'SC-New'!R44</f>
        <v>3.0560065422211313E-3</v>
      </c>
      <c r="Y3" s="34">
        <f ca="1">'SC-New'!S44</f>
        <v>3.4427106682426E-3</v>
      </c>
      <c r="Z3" s="34">
        <f ca="1">'SC-New'!T44</f>
        <v>3.7125671469380073E-3</v>
      </c>
      <c r="AA3" s="34">
        <f ca="1">'SC-New'!U44</f>
        <v>3.7953974389755532E-3</v>
      </c>
      <c r="AB3" s="34">
        <f ca="1">'SC-New'!V44</f>
        <v>3.9285218568315414E-3</v>
      </c>
      <c r="AC3" s="34">
        <f ca="1">'SC-New'!W44</f>
        <v>4.0242566711961277E-3</v>
      </c>
      <c r="AD3" s="34">
        <f ca="1">'SC-New'!X44</f>
        <v>4.0929948698347745E-3</v>
      </c>
      <c r="AE3" s="34">
        <f ca="1">'SC-New'!Y44</f>
        <v>3.7793016205425974E-2</v>
      </c>
      <c r="AF3" s="93">
        <f t="shared" ref="AF3:AO6" si="2">VLOOKUP($J3,MeasureOutput,COLUMN()-17,FALSE)</f>
        <v>326.86783033906278</v>
      </c>
      <c r="AG3" s="93">
        <f t="shared" si="2"/>
        <v>238.68842428593052</v>
      </c>
      <c r="AH3" s="93">
        <f t="shared" si="2"/>
        <v>193.36054104835117</v>
      </c>
      <c r="AI3" s="93">
        <f t="shared" si="2"/>
        <v>167.63942995958192</v>
      </c>
      <c r="AJ3" s="93">
        <f t="shared" si="2"/>
        <v>61.512327645214462</v>
      </c>
      <c r="AK3" s="93">
        <f t="shared" si="2"/>
        <v>39.769881375048328</v>
      </c>
      <c r="AL3" s="93">
        <f t="shared" si="2"/>
        <v>115.63029485857743</v>
      </c>
      <c r="AM3" s="93">
        <f t="shared" si="2"/>
        <v>115.32585614581963</v>
      </c>
      <c r="AN3" s="93">
        <f t="shared" si="2"/>
        <v>67.064638940546075</v>
      </c>
      <c r="AO3" s="93">
        <f t="shared" si="2"/>
        <v>152.34500632162332</v>
      </c>
      <c r="AP3" s="93">
        <f t="shared" ref="AP3:BD6" si="3">VLOOKUP($J3,MeasureOutput,COLUMN()-17,FALSE)</f>
        <v>236.55133054776923</v>
      </c>
      <c r="AQ3" s="93">
        <f t="shared" si="3"/>
        <v>412.77875645997869</v>
      </c>
      <c r="AR3" s="93">
        <f t="shared" si="3"/>
        <v>0</v>
      </c>
      <c r="AS3" s="93">
        <f t="shared" si="3"/>
        <v>310.14402453878404</v>
      </c>
      <c r="AT3" s="93">
        <f t="shared" si="3"/>
        <v>219.6706512581853</v>
      </c>
      <c r="AU3" s="93">
        <f t="shared" si="3"/>
        <v>162.21525851726443</v>
      </c>
      <c r="AV3" s="93">
        <f t="shared" si="3"/>
        <v>151.29987488120452</v>
      </c>
      <c r="AW3" s="93">
        <f t="shared" si="3"/>
        <v>59.812925333221855</v>
      </c>
      <c r="AX3" s="93">
        <f t="shared" si="3"/>
        <v>18.477447131638602</v>
      </c>
      <c r="AY3" s="93">
        <f t="shared" si="3"/>
        <v>56.917061628625262</v>
      </c>
      <c r="AZ3" s="93">
        <f t="shared" si="3"/>
        <v>40.748003239961719</v>
      </c>
      <c r="BA3" s="93">
        <f t="shared" si="3"/>
        <v>38.53245752997389</v>
      </c>
      <c r="BB3" s="93">
        <f t="shared" si="3"/>
        <v>93.592109530865443</v>
      </c>
      <c r="BC3" s="93">
        <f t="shared" si="3"/>
        <v>186.26429723821033</v>
      </c>
      <c r="BD3" s="93">
        <f t="shared" si="3"/>
        <v>357.1959655724275</v>
      </c>
    </row>
    <row r="4" spans="1:56" ht="15">
      <c r="A4" s="55" t="str">
        <f>VLOOKUP(CONCATENATE($C4," - ",$B4),[2]ACHIEV!$B$12:$C$78,2,FALSE)</f>
        <v>LO1Slow</v>
      </c>
      <c r="B4" s="55" t="str">
        <f>'SC-New'!$C$7</f>
        <v>New</v>
      </c>
      <c r="C4" s="55" t="str">
        <f>'SC-New'!$C$8</f>
        <v>GSHP</v>
      </c>
      <c r="D4" s="55" t="s">
        <v>217</v>
      </c>
      <c r="E4" s="55" t="str">
        <f>'SC-New'!$A$9</f>
        <v>HVAC</v>
      </c>
      <c r="F4" s="92">
        <f t="shared" si="1"/>
        <v>0.81542308094159122</v>
      </c>
      <c r="G4" s="57">
        <f>'SC-New'!A47</f>
        <v>2334.1470078520424</v>
      </c>
      <c r="H4" s="57">
        <f>'SC-New'!B47</f>
        <v>168.74734982295431</v>
      </c>
      <c r="I4" s="9" t="str">
        <f>'SC-New'!C47</f>
        <v>Single Family</v>
      </c>
      <c r="J4" s="9" t="str">
        <f>'SC-New'!D47</f>
        <v>Ground Source Heat Pump Upgrade from Air Source Heat Pump - With Desuperheater - New House less than 4000 square feet</v>
      </c>
      <c r="K4" s="34">
        <f ca="1">'SC-New'!E47</f>
        <v>4.965892022333353E-4</v>
      </c>
      <c r="L4" s="34">
        <f ca="1">'SC-New'!F47</f>
        <v>1.4245243407224059E-3</v>
      </c>
      <c r="M4" s="34">
        <f ca="1">'SC-New'!G47</f>
        <v>2.9481813049499045E-3</v>
      </c>
      <c r="N4" s="34">
        <f ca="1">'SC-New'!H47</f>
        <v>5.367028144423169E-3</v>
      </c>
      <c r="O4" s="34">
        <f ca="1">'SC-New'!I47</f>
        <v>8.9372493357780906E-3</v>
      </c>
      <c r="P4" s="34">
        <f ca="1">'SC-New'!J47</f>
        <v>1.3584245621718815E-2</v>
      </c>
      <c r="Q4" s="34">
        <f ca="1">'SC-New'!K47</f>
        <v>1.9908663604579668E-2</v>
      </c>
      <c r="R4" s="34">
        <f ca="1">'SC-New'!L47</f>
        <v>2.8461177281080437E-2</v>
      </c>
      <c r="S4" s="34">
        <f ca="1">'SC-New'!M47</f>
        <v>3.8753108762728417E-2</v>
      </c>
      <c r="T4" s="34">
        <f ca="1">'SC-New'!N47</f>
        <v>5.21464037529333E-2</v>
      </c>
      <c r="U4" s="34">
        <f ca="1">'SC-New'!O47</f>
        <v>6.6863776368520506E-2</v>
      </c>
      <c r="V4" s="34">
        <f ca="1">'SC-New'!P47</f>
        <v>8.1078408464865262E-2</v>
      </c>
      <c r="W4" s="34">
        <f ca="1">'SC-New'!Q47</f>
        <v>9.3665497572366141E-2</v>
      </c>
      <c r="X4" s="34">
        <f ca="1">'SC-New'!R47</f>
        <v>0.1076669860978004</v>
      </c>
      <c r="Y4" s="34">
        <f ca="1">'SC-New'!S47</f>
        <v>0.12129106287417231</v>
      </c>
      <c r="Z4" s="34">
        <f ca="1">'SC-New'!T47</f>
        <v>0.13079844884952516</v>
      </c>
      <c r="AA4" s="34">
        <f ca="1">'SC-New'!U47</f>
        <v>0.13371666508305505</v>
      </c>
      <c r="AB4" s="34">
        <f ca="1">'SC-New'!V47</f>
        <v>0.13840680715197912</v>
      </c>
      <c r="AC4" s="34">
        <f ca="1">'SC-New'!W47</f>
        <v>0.14177966607255452</v>
      </c>
      <c r="AD4" s="34">
        <f ca="1">'SC-New'!X47</f>
        <v>0.14420139998410436</v>
      </c>
      <c r="AE4" s="34">
        <f ca="1">'SC-New'!Y47</f>
        <v>1.3314958898700904</v>
      </c>
      <c r="AF4" s="93">
        <f t="shared" si="2"/>
        <v>199.60147839961118</v>
      </c>
      <c r="AG4" s="93">
        <f t="shared" si="2"/>
        <v>145.75482180343462</v>
      </c>
      <c r="AH4" s="93">
        <f t="shared" si="2"/>
        <v>118.0754001314985</v>
      </c>
      <c r="AI4" s="93">
        <f t="shared" si="2"/>
        <v>102.36883214628728</v>
      </c>
      <c r="AJ4" s="93">
        <f t="shared" si="2"/>
        <v>37.562434715738341</v>
      </c>
      <c r="AK4" s="93">
        <f t="shared" si="2"/>
        <v>24.285433993313205</v>
      </c>
      <c r="AL4" s="93">
        <f t="shared" si="2"/>
        <v>70.609511427337338</v>
      </c>
      <c r="AM4" s="93">
        <f t="shared" si="2"/>
        <v>70.423606264735383</v>
      </c>
      <c r="AN4" s="93">
        <f t="shared" si="2"/>
        <v>40.952947455806559</v>
      </c>
      <c r="AO4" s="93">
        <f t="shared" si="2"/>
        <v>93.029309299270437</v>
      </c>
      <c r="AP4" s="93">
        <f t="shared" si="3"/>
        <v>144.44980788030531</v>
      </c>
      <c r="AQ4" s="93">
        <f t="shared" si="3"/>
        <v>252.06289023884565</v>
      </c>
      <c r="AR4" s="93">
        <f t="shared" si="3"/>
        <v>0</v>
      </c>
      <c r="AS4" s="93">
        <f t="shared" si="3"/>
        <v>189.38910491904875</v>
      </c>
      <c r="AT4" s="93">
        <f t="shared" si="3"/>
        <v>134.14163977732761</v>
      </c>
      <c r="AU4" s="93">
        <f t="shared" si="3"/>
        <v>99.056567865472445</v>
      </c>
      <c r="AV4" s="93">
        <f t="shared" si="3"/>
        <v>92.391100943271894</v>
      </c>
      <c r="AW4" s="93">
        <f t="shared" si="3"/>
        <v>36.524696577000171</v>
      </c>
      <c r="AX4" s="93">
        <f t="shared" si="3"/>
        <v>11.283232616375846</v>
      </c>
      <c r="AY4" s="93">
        <f t="shared" si="3"/>
        <v>34.756340614647833</v>
      </c>
      <c r="AZ4" s="93">
        <f t="shared" si="3"/>
        <v>24.882723026281603</v>
      </c>
      <c r="BA4" s="93">
        <f t="shared" si="3"/>
        <v>23.529802493487779</v>
      </c>
      <c r="BB4" s="93">
        <f t="shared" si="3"/>
        <v>57.151917977125478</v>
      </c>
      <c r="BC4" s="93">
        <f t="shared" si="3"/>
        <v>113.74208671206858</v>
      </c>
      <c r="BD4" s="93">
        <f t="shared" si="3"/>
        <v>218.12132057375095</v>
      </c>
    </row>
    <row r="5" spans="1:56" ht="15">
      <c r="A5" s="55" t="str">
        <f>VLOOKUP(CONCATENATE($C5," - ",$B5),[2]ACHIEV!$B$12:$C$78,2,FALSE)</f>
        <v>LO1Slow</v>
      </c>
      <c r="B5" s="55" t="str">
        <f>'SC-NR'!$C$7</f>
        <v>NR</v>
      </c>
      <c r="C5" s="55" t="str">
        <f>'SC-NR'!$C$8</f>
        <v>GSHP</v>
      </c>
      <c r="D5" s="55" t="s">
        <v>217</v>
      </c>
      <c r="E5" s="55" t="str">
        <f>'SC-NR'!$A$9</f>
        <v>HVAC</v>
      </c>
      <c r="F5" s="92">
        <f t="shared" si="1"/>
        <v>1.3511664342990126</v>
      </c>
      <c r="G5" s="57">
        <f>'SC-NR'!A75</f>
        <v>3867.7113310152445</v>
      </c>
      <c r="H5" s="57">
        <f>'SC-NR'!B75</f>
        <v>181.55043025550398</v>
      </c>
      <c r="I5" s="9" t="str">
        <f>'SC-NR'!C75</f>
        <v>Single Family</v>
      </c>
      <c r="J5" s="9" t="str">
        <f>'SC-NR'!D75</f>
        <v>Ground Source Heat Pump Upgrade from Air Source Heat Pump - With Desuperheater - Existing House 4000 square feet or greater</v>
      </c>
      <c r="K5" s="34">
        <f ca="1">'SC-NR'!E75</f>
        <v>1.2517361005045315E-4</v>
      </c>
      <c r="L5" s="34">
        <f ca="1">'SC-NR'!F75</f>
        <v>3.7453502337350626E-4</v>
      </c>
      <c r="M5" s="34">
        <f ca="1">'SC-NR'!G75</f>
        <v>8.1593516204076855E-4</v>
      </c>
      <c r="N5" s="34">
        <f ca="1">'SC-NR'!H75</f>
        <v>1.5318300524678416E-3</v>
      </c>
      <c r="O5" s="34">
        <f ca="1">'SC-NR'!I75</f>
        <v>2.6153184799799787E-3</v>
      </c>
      <c r="P5" s="34">
        <f ca="1">'SC-NR'!J75</f>
        <v>4.1626134127568139E-3</v>
      </c>
      <c r="Q5" s="34">
        <f ca="1">'SC-NR'!K75</f>
        <v>6.2611877163079857E-3</v>
      </c>
      <c r="R5" s="34">
        <f ca="1">'SC-NR'!L75</f>
        <v>8.9735283725116896E-3</v>
      </c>
      <c r="S5" s="34">
        <f ca="1">'SC-NR'!M75</f>
        <v>1.2317776613668356E-2</v>
      </c>
      <c r="T5" s="34">
        <f ca="1">'SC-NR'!N75</f>
        <v>1.6248488212388081E-2</v>
      </c>
      <c r="U5" s="34">
        <f ca="1">'SC-NR'!O75</f>
        <v>2.0642890620072921E-2</v>
      </c>
      <c r="V5" s="34">
        <f ca="1">'SC-NR'!P75</f>
        <v>2.529937851376423E-2</v>
      </c>
      <c r="W5" s="34">
        <f ca="1">'SC-NR'!Q75</f>
        <v>2.9954203563975716E-2</v>
      </c>
      <c r="X5" s="34">
        <f ca="1">'SC-NR'!R75</f>
        <v>3.4318210387133369E-2</v>
      </c>
      <c r="Y5" s="34">
        <f ca="1">'SC-NR'!S75</f>
        <v>3.812817492850451E-2</v>
      </c>
      <c r="Z5" s="34">
        <f ca="1">'SC-NR'!T75</f>
        <v>4.6054954267549075E-2</v>
      </c>
      <c r="AA5" s="34">
        <f ca="1">'SC-NR'!U75</f>
        <v>4.8368624072583778E-2</v>
      </c>
      <c r="AB5" s="34">
        <f ca="1">'SC-NR'!V75</f>
        <v>4.9778542188878665E-2</v>
      </c>
      <c r="AC5" s="34">
        <f ca="1">'SC-NR'!W75</f>
        <v>5.0590448513176074E-2</v>
      </c>
      <c r="AD5" s="34">
        <f ca="1">'SC-NR'!X75</f>
        <v>5.0862160315235744E-2</v>
      </c>
      <c r="AE5" s="34">
        <f ca="1">'SC-NR'!Y75</f>
        <v>0.726720296998695</v>
      </c>
      <c r="AF5" s="93">
        <f t="shared" si="2"/>
        <v>330.74219279958334</v>
      </c>
      <c r="AG5" s="93">
        <f t="shared" si="2"/>
        <v>241.51759676783232</v>
      </c>
      <c r="AH5" s="93">
        <f t="shared" si="2"/>
        <v>195.65244239822275</v>
      </c>
      <c r="AI5" s="93">
        <f t="shared" si="2"/>
        <v>169.62645913178511</v>
      </c>
      <c r="AJ5" s="93">
        <f t="shared" si="2"/>
        <v>62.241432901123709</v>
      </c>
      <c r="AK5" s="93">
        <f t="shared" si="2"/>
        <v>40.241273543861674</v>
      </c>
      <c r="AL5" s="93">
        <f t="shared" si="2"/>
        <v>117.00086005991368</v>
      </c>
      <c r="AM5" s="93">
        <f t="shared" si="2"/>
        <v>116.69281283689345</v>
      </c>
      <c r="AN5" s="93">
        <f t="shared" si="2"/>
        <v>67.859555709412845</v>
      </c>
      <c r="AO5" s="93">
        <f t="shared" si="2"/>
        <v>154.15075078086852</v>
      </c>
      <c r="AP5" s="93">
        <f t="shared" si="3"/>
        <v>239.35517207022741</v>
      </c>
      <c r="AQ5" s="93">
        <f t="shared" si="3"/>
        <v>417.67142061989307</v>
      </c>
      <c r="AR5" s="93">
        <f t="shared" si="3"/>
        <v>0</v>
      </c>
      <c r="AS5" s="93">
        <f t="shared" si="3"/>
        <v>313.82015982802739</v>
      </c>
      <c r="AT5" s="93">
        <f t="shared" si="3"/>
        <v>222.27440618882494</v>
      </c>
      <c r="AU5" s="93">
        <f t="shared" si="3"/>
        <v>164.13799501743028</v>
      </c>
      <c r="AV5" s="93">
        <f t="shared" si="3"/>
        <v>153.09323140366541</v>
      </c>
      <c r="AW5" s="93">
        <f t="shared" si="3"/>
        <v>60.521887583574156</v>
      </c>
      <c r="AX5" s="93">
        <f t="shared" si="3"/>
        <v>18.696460203248662</v>
      </c>
      <c r="AY5" s="93">
        <f t="shared" si="3"/>
        <v>57.591699223607733</v>
      </c>
      <c r="AZ5" s="93">
        <f t="shared" si="3"/>
        <v>41.230989081457089</v>
      </c>
      <c r="BA5" s="93">
        <f t="shared" si="3"/>
        <v>38.989182521267395</v>
      </c>
      <c r="BB5" s="93">
        <f t="shared" si="3"/>
        <v>94.701456251805155</v>
      </c>
      <c r="BC5" s="93">
        <f t="shared" si="3"/>
        <v>188.47208685215429</v>
      </c>
      <c r="BD5" s="93">
        <f t="shared" si="3"/>
        <v>361.42980724056497</v>
      </c>
    </row>
    <row r="6" spans="1:56" ht="15">
      <c r="A6" s="55" t="str">
        <f>VLOOKUP(CONCATENATE($C6," - ",$B6),[2]ACHIEV!$B$12:$C$78,2,FALSE)</f>
        <v>LO1Slow</v>
      </c>
      <c r="B6" s="55" t="str">
        <f>'SC-NR'!$C$7</f>
        <v>NR</v>
      </c>
      <c r="C6" s="55" t="str">
        <f>'SC-NR'!$C$8</f>
        <v>GSHP</v>
      </c>
      <c r="D6" s="55" t="s">
        <v>217</v>
      </c>
      <c r="E6" s="55" t="str">
        <f>'SC-NR'!$A$9</f>
        <v>HVAC</v>
      </c>
      <c r="F6" s="92">
        <f t="shared" si="1"/>
        <v>0.89250544332643766</v>
      </c>
      <c r="G6" s="57">
        <f>'SC-NR'!A76</f>
        <v>2554.7951225840852</v>
      </c>
      <c r="H6" s="57">
        <f>'SC-NR'!B76</f>
        <v>169.78149233545739</v>
      </c>
      <c r="I6" s="9" t="str">
        <f>'SC-NR'!C76</f>
        <v>Single Family</v>
      </c>
      <c r="J6" s="9" t="str">
        <f>'SC-NR'!D76</f>
        <v>Ground Source Heat Pump Upgrade from Air Source Heat Pump - With Desuperheater - Existing House less than 4000 square feet</v>
      </c>
      <c r="K6" s="34">
        <f ca="1">'SC-NR'!E76</f>
        <v>4.7703638614783319E-3</v>
      </c>
      <c r="L6" s="34">
        <f ca="1">'SC-NR'!F76</f>
        <v>1.4273522507170421E-2</v>
      </c>
      <c r="M6" s="34">
        <f ca="1">'SC-NR'!G76</f>
        <v>3.1095273266784393E-2</v>
      </c>
      <c r="N6" s="34">
        <f ca="1">'SC-NR'!H76</f>
        <v>5.8378013714501756E-2</v>
      </c>
      <c r="O6" s="34">
        <f ca="1">'SC-NR'!I76</f>
        <v>9.9669736761001632E-2</v>
      </c>
      <c r="P6" s="34">
        <f ca="1">'SC-NR'!J76</f>
        <v>0.15863711676539766</v>
      </c>
      <c r="Q6" s="34">
        <f ca="1">'SC-NR'!K76</f>
        <v>0.23861374294285231</v>
      </c>
      <c r="R6" s="34">
        <f ca="1">'SC-NR'!L76</f>
        <v>0.34198099296589934</v>
      </c>
      <c r="S6" s="34">
        <f ca="1">'SC-NR'!M76</f>
        <v>0.46943022884713675</v>
      </c>
      <c r="T6" s="34">
        <f ca="1">'SC-NR'!N76</f>
        <v>0.61922957195842399</v>
      </c>
      <c r="U6" s="34">
        <f ca="1">'SC-NR'!O76</f>
        <v>0.78670016284386457</v>
      </c>
      <c r="V6" s="34">
        <f ca="1">'SC-NR'!P76</f>
        <v>0.96415882653921581</v>
      </c>
      <c r="W6" s="34">
        <f ca="1">'SC-NR'!Q76</f>
        <v>1.1415541193016661</v>
      </c>
      <c r="X6" s="34">
        <f ca="1">'SC-NR'!R76</f>
        <v>1.3078663350478221</v>
      </c>
      <c r="Y6" s="34">
        <f ca="1">'SC-NR'!S76</f>
        <v>1.4530640101356069</v>
      </c>
      <c r="Z6" s="34">
        <f ca="1">'SC-NR'!T76</f>
        <v>1.7551534176524939</v>
      </c>
      <c r="AA6" s="34">
        <f ca="1">'SC-NR'!U76</f>
        <v>1.8433273292372325</v>
      </c>
      <c r="AB6" s="34">
        <f ca="1">'SC-NR'!V76</f>
        <v>1.8970592814187324</v>
      </c>
      <c r="AC6" s="34">
        <f ca="1">'SC-NR'!W76</f>
        <v>1.9280010157569285</v>
      </c>
      <c r="AD6" s="34">
        <f ca="1">'SC-NR'!X76</f>
        <v>1.9383559472857086</v>
      </c>
      <c r="AE6" s="34">
        <f ca="1">'SC-NR'!Y76</f>
        <v>27.695296483085055</v>
      </c>
      <c r="AF6" s="93">
        <f t="shared" si="2"/>
        <v>218.46990860492693</v>
      </c>
      <c r="AG6" s="93">
        <f t="shared" si="2"/>
        <v>159.53309992209856</v>
      </c>
      <c r="AH6" s="93">
        <f t="shared" si="2"/>
        <v>129.23712831211625</v>
      </c>
      <c r="AI6" s="93">
        <f t="shared" si="2"/>
        <v>112.04581039333651</v>
      </c>
      <c r="AJ6" s="93">
        <f t="shared" si="2"/>
        <v>41.113230949605402</v>
      </c>
      <c r="AK6" s="93">
        <f t="shared" si="2"/>
        <v>26.581148534020361</v>
      </c>
      <c r="AL6" s="93">
        <f t="shared" si="2"/>
        <v>77.284264785280172</v>
      </c>
      <c r="AM6" s="93">
        <f t="shared" si="2"/>
        <v>77.080785912235356</v>
      </c>
      <c r="AN6" s="93">
        <f t="shared" si="2"/>
        <v>44.824250599287453</v>
      </c>
      <c r="AO6" s="93">
        <f t="shared" si="2"/>
        <v>101.82341765776562</v>
      </c>
      <c r="AP6" s="93">
        <f t="shared" si="3"/>
        <v>158.10472236297338</v>
      </c>
      <c r="AQ6" s="93">
        <f t="shared" si="3"/>
        <v>275.8905246329158</v>
      </c>
      <c r="AR6" s="93">
        <f t="shared" si="3"/>
        <v>0</v>
      </c>
      <c r="AS6" s="93">
        <f t="shared" si="3"/>
        <v>207.2921542174013</v>
      </c>
      <c r="AT6" s="93">
        <f t="shared" si="3"/>
        <v>146.82211783820574</v>
      </c>
      <c r="AU6" s="93">
        <f t="shared" si="3"/>
        <v>108.42043606992472</v>
      </c>
      <c r="AV6" s="93">
        <f t="shared" si="3"/>
        <v>101.12487913829253</v>
      </c>
      <c r="AW6" s="93">
        <f t="shared" si="3"/>
        <v>39.97739489195817</v>
      </c>
      <c r="AX6" s="93">
        <f t="shared" si="3"/>
        <v>12.349842387102097</v>
      </c>
      <c r="AY6" s="93">
        <f t="shared" si="3"/>
        <v>38.041875332816232</v>
      </c>
      <c r="AZ6" s="93">
        <f t="shared" si="3"/>
        <v>27.234899605854029</v>
      </c>
      <c r="BA6" s="93">
        <f t="shared" si="3"/>
        <v>25.754086800663046</v>
      </c>
      <c r="BB6" s="93">
        <f t="shared" si="3"/>
        <v>62.554518118655409</v>
      </c>
      <c r="BC6" s="93">
        <f t="shared" si="3"/>
        <v>124.49418455092817</v>
      </c>
      <c r="BD6" s="93">
        <f t="shared" si="3"/>
        <v>238.74044096572266</v>
      </c>
    </row>
    <row r="7" spans="1:56" ht="15">
      <c r="A7" s="55"/>
      <c r="B7" s="55"/>
      <c r="C7" s="55"/>
      <c r="D7" s="55"/>
      <c r="E7" s="55"/>
      <c r="F7" s="92"/>
      <c r="G7" s="57"/>
      <c r="H7" s="57"/>
      <c r="I7" s="9"/>
      <c r="J7" s="9"/>
      <c r="K7" s="34"/>
      <c r="L7" s="34"/>
      <c r="M7" s="34"/>
      <c r="N7" s="34"/>
      <c r="O7" s="34"/>
      <c r="P7" s="34"/>
      <c r="Q7" s="34"/>
      <c r="R7" s="34"/>
      <c r="S7" s="34"/>
      <c r="T7" s="34"/>
      <c r="U7" s="34"/>
      <c r="V7" s="34"/>
      <c r="W7" s="34"/>
      <c r="X7" s="34"/>
      <c r="Y7" s="34"/>
      <c r="Z7" s="34"/>
      <c r="AA7" s="34"/>
      <c r="AB7" s="34"/>
      <c r="AC7" s="34"/>
      <c r="AD7" s="34"/>
      <c r="AE7" s="34"/>
      <c r="AF7" s="93"/>
      <c r="AG7" s="93"/>
      <c r="AH7" s="93"/>
      <c r="AI7" s="93"/>
      <c r="AJ7" s="93"/>
      <c r="AK7" s="93"/>
      <c r="AL7" s="93"/>
      <c r="AM7" s="93"/>
      <c r="AN7" s="93"/>
      <c r="AO7" s="93"/>
      <c r="AP7" s="93"/>
      <c r="AQ7" s="93"/>
      <c r="AR7" s="93"/>
      <c r="AS7" s="93"/>
      <c r="AT7" s="93"/>
      <c r="AU7" s="93"/>
      <c r="AV7" s="93"/>
      <c r="AW7" s="93"/>
      <c r="AX7" s="93"/>
      <c r="AY7" s="93"/>
      <c r="AZ7" s="93"/>
      <c r="BA7" s="93"/>
      <c r="BB7" s="93"/>
      <c r="BC7" s="93"/>
      <c r="BD7" s="93"/>
    </row>
    <row r="8" spans="1:56" ht="15">
      <c r="A8" s="55"/>
      <c r="B8" s="55"/>
      <c r="C8" s="55"/>
      <c r="D8" s="55"/>
      <c r="E8" s="55"/>
      <c r="F8" s="92"/>
      <c r="G8" s="57"/>
      <c r="H8" s="57"/>
      <c r="I8" s="9"/>
      <c r="J8" s="9"/>
      <c r="K8" s="34"/>
      <c r="L8" s="34"/>
      <c r="M8" s="34"/>
      <c r="N8" s="34"/>
      <c r="O8" s="34"/>
      <c r="P8" s="34"/>
      <c r="Q8" s="34"/>
      <c r="R8" s="34"/>
      <c r="S8" s="34"/>
      <c r="T8" s="34"/>
      <c r="U8" s="34"/>
      <c r="V8" s="34"/>
      <c r="W8" s="34"/>
      <c r="X8" s="34"/>
      <c r="Y8" s="34"/>
      <c r="Z8" s="34"/>
      <c r="AA8" s="34"/>
      <c r="AB8" s="34"/>
      <c r="AC8" s="34"/>
      <c r="AD8" s="34"/>
      <c r="AE8" s="34"/>
      <c r="AF8" s="93"/>
      <c r="AG8" s="93"/>
      <c r="AH8" s="93"/>
      <c r="AI8" s="93"/>
      <c r="AJ8" s="93"/>
      <c r="AK8" s="93"/>
      <c r="AL8" s="93"/>
      <c r="AM8" s="93"/>
      <c r="AN8" s="93"/>
      <c r="AO8" s="93"/>
      <c r="AP8" s="93"/>
      <c r="AQ8" s="93"/>
      <c r="AR8" s="93"/>
      <c r="AS8" s="93"/>
      <c r="AT8" s="93"/>
      <c r="AU8" s="93"/>
      <c r="AV8" s="93"/>
      <c r="AW8" s="93"/>
      <c r="AX8" s="93"/>
      <c r="AY8" s="93"/>
      <c r="AZ8" s="93"/>
      <c r="BA8" s="93"/>
      <c r="BB8" s="93"/>
      <c r="BC8" s="93"/>
      <c r="BD8" s="93"/>
    </row>
    <row r="9" spans="1:56" ht="15">
      <c r="A9" s="55"/>
      <c r="B9" s="55"/>
      <c r="C9" s="55"/>
      <c r="D9" s="55"/>
      <c r="E9" s="55"/>
      <c r="F9" s="92"/>
      <c r="G9" s="57"/>
      <c r="H9" s="57"/>
      <c r="I9" s="9"/>
      <c r="J9" s="9"/>
      <c r="K9" s="34"/>
      <c r="L9" s="34"/>
      <c r="M9" s="34"/>
      <c r="N9" s="34"/>
      <c r="O9" s="34"/>
      <c r="P9" s="34"/>
      <c r="Q9" s="34"/>
      <c r="R9" s="34"/>
      <c r="S9" s="34"/>
      <c r="T9" s="34"/>
      <c r="U9" s="34"/>
      <c r="V9" s="34"/>
      <c r="W9" s="34"/>
      <c r="X9" s="34"/>
      <c r="Y9" s="34"/>
      <c r="Z9" s="34"/>
      <c r="AA9" s="34"/>
      <c r="AB9" s="34"/>
      <c r="AC9" s="34"/>
      <c r="AD9" s="34"/>
      <c r="AE9" s="34"/>
      <c r="AF9" s="93"/>
      <c r="AG9" s="93"/>
      <c r="AH9" s="93"/>
      <c r="AI9" s="93"/>
      <c r="AJ9" s="93"/>
      <c r="AK9" s="93"/>
      <c r="AL9" s="93"/>
      <c r="AM9" s="93"/>
      <c r="AN9" s="93"/>
      <c r="AO9" s="93"/>
      <c r="AP9" s="93"/>
      <c r="AQ9" s="93"/>
      <c r="AR9" s="93"/>
      <c r="AS9" s="93"/>
      <c r="AT9" s="93"/>
      <c r="AU9" s="93"/>
      <c r="AV9" s="93"/>
      <c r="AW9" s="93"/>
      <c r="AX9" s="93"/>
      <c r="AY9" s="93"/>
      <c r="AZ9" s="93"/>
      <c r="BA9" s="93"/>
      <c r="BB9" s="93"/>
      <c r="BC9" s="93"/>
      <c r="BD9" s="93"/>
    </row>
    <row r="10" spans="1:56" ht="15">
      <c r="A10" s="55"/>
      <c r="B10" s="55"/>
      <c r="C10" s="55"/>
      <c r="D10" s="55"/>
      <c r="E10" s="55"/>
      <c r="F10" s="92"/>
      <c r="G10" s="57"/>
      <c r="H10" s="57"/>
      <c r="I10" s="9"/>
      <c r="J10" s="9"/>
      <c r="K10" s="34"/>
      <c r="L10" s="34"/>
      <c r="M10" s="34"/>
      <c r="N10" s="34"/>
      <c r="O10" s="34"/>
      <c r="P10" s="34"/>
      <c r="Q10" s="34"/>
      <c r="R10" s="34"/>
      <c r="S10" s="34"/>
      <c r="T10" s="34"/>
      <c r="U10" s="34"/>
      <c r="V10" s="34"/>
      <c r="W10" s="34"/>
      <c r="X10" s="34"/>
      <c r="Y10" s="34"/>
      <c r="Z10" s="34"/>
      <c r="AA10" s="34"/>
      <c r="AB10" s="34"/>
      <c r="AC10" s="34"/>
      <c r="AD10" s="34"/>
      <c r="AE10" s="34"/>
      <c r="AF10" s="93"/>
      <c r="AG10" s="93"/>
      <c r="AH10" s="93"/>
      <c r="AI10" s="93"/>
      <c r="AJ10" s="93"/>
      <c r="AK10" s="93"/>
      <c r="AL10" s="93"/>
      <c r="AM10" s="93"/>
      <c r="AN10" s="93"/>
      <c r="AO10" s="93"/>
      <c r="AP10" s="93"/>
      <c r="AQ10" s="93"/>
      <c r="AR10" s="93"/>
      <c r="AS10" s="93"/>
      <c r="AT10" s="93"/>
      <c r="AU10" s="93"/>
      <c r="AV10" s="93"/>
      <c r="AW10" s="93"/>
      <c r="AX10" s="93"/>
      <c r="AY10" s="93"/>
      <c r="AZ10" s="93"/>
      <c r="BA10" s="93"/>
      <c r="BB10" s="93"/>
      <c r="BC10" s="93"/>
      <c r="BD10" s="93"/>
    </row>
    <row r="11" spans="1:56" ht="15">
      <c r="A11" s="55"/>
      <c r="B11" s="55"/>
      <c r="C11" s="55"/>
      <c r="D11" s="55"/>
      <c r="E11" s="55"/>
      <c r="F11" s="92"/>
      <c r="G11" s="57"/>
      <c r="H11" s="57"/>
      <c r="I11" s="9"/>
      <c r="J11" s="9"/>
      <c r="K11" s="34"/>
      <c r="L11" s="34"/>
      <c r="M11" s="34"/>
      <c r="N11" s="34"/>
      <c r="O11" s="34"/>
      <c r="P11" s="34"/>
      <c r="Q11" s="34"/>
      <c r="R11" s="34"/>
      <c r="S11" s="34"/>
      <c r="T11" s="34"/>
      <c r="U11" s="34"/>
      <c r="V11" s="34"/>
      <c r="W11" s="34"/>
      <c r="X11" s="34"/>
      <c r="Y11" s="34"/>
      <c r="Z11" s="34"/>
      <c r="AA11" s="34"/>
      <c r="AB11" s="34"/>
      <c r="AC11" s="34"/>
      <c r="AD11" s="34"/>
      <c r="AE11" s="34"/>
      <c r="AF11" s="93"/>
      <c r="AG11" s="93"/>
      <c r="AH11" s="93"/>
      <c r="AI11" s="93"/>
      <c r="AJ11" s="93"/>
      <c r="AK11" s="93"/>
      <c r="AL11" s="93"/>
      <c r="AM11" s="93"/>
      <c r="AN11" s="93"/>
      <c r="AO11" s="93"/>
      <c r="AP11" s="93"/>
      <c r="AQ11" s="93"/>
      <c r="AR11" s="93"/>
      <c r="AS11" s="93"/>
      <c r="AT11" s="93"/>
      <c r="AU11" s="93"/>
      <c r="AV11" s="93"/>
      <c r="AW11" s="93"/>
      <c r="AX11" s="93"/>
      <c r="AY11" s="93"/>
      <c r="AZ11" s="93"/>
      <c r="BA11" s="93"/>
      <c r="BB11" s="93"/>
      <c r="BC11" s="93"/>
      <c r="BD11" s="93"/>
    </row>
    <row r="12" spans="1:56" ht="15">
      <c r="A12" s="55"/>
      <c r="B12" s="55"/>
      <c r="C12" s="55"/>
      <c r="D12" s="55"/>
      <c r="E12" s="55"/>
      <c r="F12" s="92"/>
      <c r="G12" s="57"/>
      <c r="H12" s="57"/>
      <c r="I12" s="9"/>
      <c r="J12" s="9"/>
      <c r="K12" s="34"/>
      <c r="L12" s="34"/>
      <c r="M12" s="34"/>
      <c r="N12" s="34"/>
      <c r="O12" s="34"/>
      <c r="P12" s="34"/>
      <c r="Q12" s="34"/>
      <c r="R12" s="34"/>
      <c r="S12" s="34"/>
      <c r="T12" s="34"/>
      <c r="U12" s="34"/>
      <c r="V12" s="34"/>
      <c r="W12" s="34"/>
      <c r="X12" s="34"/>
      <c r="Y12" s="34"/>
      <c r="Z12" s="34"/>
      <c r="AA12" s="34"/>
      <c r="AB12" s="34"/>
      <c r="AC12" s="34"/>
      <c r="AD12" s="34"/>
      <c r="AE12" s="34"/>
      <c r="AF12" s="93"/>
      <c r="AG12" s="93"/>
      <c r="AH12" s="93"/>
      <c r="AI12" s="93"/>
      <c r="AJ12" s="93"/>
      <c r="AK12" s="93"/>
      <c r="AL12" s="93"/>
      <c r="AM12" s="93"/>
      <c r="AN12" s="93"/>
      <c r="AO12" s="93"/>
      <c r="AP12" s="93"/>
      <c r="AQ12" s="93"/>
      <c r="AR12" s="93"/>
      <c r="AS12" s="93"/>
      <c r="AT12" s="93"/>
      <c r="AU12" s="93"/>
      <c r="AV12" s="93"/>
      <c r="AW12" s="93"/>
      <c r="AX12" s="93"/>
      <c r="AY12" s="93"/>
      <c r="AZ12" s="93"/>
      <c r="BA12" s="93"/>
      <c r="BB12" s="93"/>
      <c r="BC12" s="93"/>
      <c r="BD12" s="9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Sheet2"/>
  <dimension ref="A1:CB142"/>
  <sheetViews>
    <sheetView tabSelected="1" topLeftCell="B7" workbookViewId="0">
      <selection activeCell="B13" sqref="B13"/>
    </sheetView>
  </sheetViews>
  <sheetFormatPr defaultRowHeight="12.75"/>
  <cols>
    <col min="1" max="1" width="35" style="9" customWidth="1"/>
    <col min="2" max="2" width="29.28515625" style="9" customWidth="1"/>
    <col min="3" max="4" width="19.85546875" style="9" customWidth="1"/>
    <col min="5" max="5" width="10.7109375" style="9" customWidth="1"/>
    <col min="6" max="25" width="9.5703125" style="9" bestFit="1" customWidth="1"/>
    <col min="26" max="28" width="9.140625" style="9"/>
    <col min="29" max="29" width="21.7109375" style="9" customWidth="1"/>
    <col min="30" max="30" width="35.85546875" style="9" customWidth="1"/>
    <col min="31" max="31" width="35.28515625" style="9" customWidth="1"/>
    <col min="32" max="32" width="15" style="9" customWidth="1"/>
    <col min="33" max="33" width="17.7109375" style="9" customWidth="1"/>
    <col min="34" max="34" width="15.140625" style="9" customWidth="1"/>
    <col min="35" max="35" width="15.7109375" style="9" customWidth="1"/>
    <col min="36" max="36" width="21.28515625" style="9" customWidth="1"/>
    <col min="37" max="37" width="17.7109375" style="9" bestFit="1" customWidth="1"/>
    <col min="38" max="38" width="15.42578125" style="9" bestFit="1" customWidth="1"/>
    <col min="39" max="39" width="14.28515625" style="9" bestFit="1" customWidth="1"/>
    <col min="40" max="40" width="14.28515625" style="9" customWidth="1"/>
    <col min="41" max="41" width="12.5703125" style="9" customWidth="1"/>
    <col min="42" max="42" width="14" style="9" bestFit="1" customWidth="1"/>
    <col min="43" max="44" width="10.85546875" style="9" bestFit="1" customWidth="1"/>
    <col min="45" max="45" width="13.42578125" style="9" customWidth="1"/>
    <col min="46" max="46" width="11.85546875" style="9" bestFit="1" customWidth="1"/>
    <col min="47" max="47" width="11" style="9" bestFit="1" customWidth="1"/>
    <col min="48" max="48" width="14.28515625" style="9" bestFit="1" customWidth="1"/>
    <col min="49" max="49" width="10.7109375" style="9" customWidth="1"/>
    <col min="50" max="50" width="13.85546875" style="9" bestFit="1" customWidth="1"/>
    <col min="51" max="51" width="11.7109375" style="9" bestFit="1" customWidth="1"/>
    <col min="52" max="52" width="15.28515625" style="9" bestFit="1" customWidth="1"/>
    <col min="53" max="55" width="12.28515625" style="9" bestFit="1" customWidth="1"/>
    <col min="56" max="56" width="12.5703125" style="9" bestFit="1" customWidth="1"/>
    <col min="57" max="59" width="14.28515625" style="9" bestFit="1" customWidth="1"/>
    <col min="60" max="60" width="13.7109375" style="9" bestFit="1" customWidth="1"/>
    <col min="61" max="61" width="14" style="9" bestFit="1" customWidth="1"/>
    <col min="62" max="62" width="12.85546875" style="9" bestFit="1" customWidth="1"/>
    <col min="63" max="63" width="15.28515625" style="9" bestFit="1" customWidth="1"/>
    <col min="64" max="64" width="12.28515625" style="9" bestFit="1" customWidth="1"/>
    <col min="65" max="65" width="10.85546875" style="9" bestFit="1" customWidth="1"/>
    <col min="66" max="66" width="12.28515625" style="9" bestFit="1" customWidth="1"/>
    <col min="67" max="67" width="12.5703125" style="9" bestFit="1" customWidth="1"/>
    <col min="68" max="16384" width="9.140625" style="9"/>
  </cols>
  <sheetData>
    <row r="1" spans="1:69">
      <c r="A1" s="45" t="s">
        <v>53</v>
      </c>
      <c r="B1" s="612" t="s">
        <v>134</v>
      </c>
      <c r="C1" s="612"/>
      <c r="D1" s="612"/>
      <c r="E1" s="612"/>
      <c r="F1" s="612"/>
      <c r="G1" s="612"/>
      <c r="H1" s="612"/>
      <c r="I1" s="612"/>
      <c r="J1" s="612"/>
      <c r="K1" s="612"/>
      <c r="L1" s="612"/>
      <c r="M1" s="612"/>
      <c r="N1" s="612"/>
      <c r="O1" s="612"/>
      <c r="P1" s="612"/>
      <c r="Q1" s="612"/>
      <c r="R1" s="612"/>
      <c r="S1" s="612"/>
      <c r="T1" s="612"/>
    </row>
    <row r="2" spans="1:69">
      <c r="A2" s="46" t="s">
        <v>143</v>
      </c>
      <c r="B2" s="612"/>
      <c r="C2" s="612"/>
      <c r="D2" s="612"/>
      <c r="E2" s="612"/>
      <c r="F2" s="612"/>
      <c r="G2" s="612"/>
      <c r="H2" s="612"/>
      <c r="I2" s="612"/>
      <c r="J2" s="612"/>
      <c r="K2" s="612"/>
      <c r="L2" s="612"/>
      <c r="M2" s="612"/>
      <c r="N2" s="612"/>
      <c r="O2" s="612"/>
      <c r="P2" s="612"/>
      <c r="Q2" s="612"/>
      <c r="R2" s="612"/>
      <c r="S2" s="612"/>
      <c r="T2" s="612"/>
    </row>
    <row r="3" spans="1:69">
      <c r="B3" s="612"/>
      <c r="C3" s="612"/>
      <c r="D3" s="612"/>
      <c r="E3" s="612"/>
      <c r="F3" s="612"/>
      <c r="G3" s="612"/>
      <c r="H3" s="612"/>
      <c r="I3" s="612"/>
      <c r="J3" s="612"/>
      <c r="K3" s="612"/>
      <c r="L3" s="612"/>
      <c r="M3" s="612"/>
      <c r="N3" s="612"/>
      <c r="O3" s="612"/>
      <c r="P3" s="612"/>
      <c r="Q3" s="612"/>
      <c r="R3" s="612"/>
      <c r="S3" s="612"/>
      <c r="T3" s="612"/>
    </row>
    <row r="4" spans="1:69">
      <c r="B4" s="612"/>
      <c r="C4" s="612"/>
      <c r="D4" s="612"/>
      <c r="E4" s="612"/>
      <c r="F4" s="612"/>
      <c r="G4" s="612"/>
      <c r="H4" s="612"/>
      <c r="I4" s="612"/>
      <c r="J4" s="612"/>
      <c r="K4" s="612"/>
      <c r="L4" s="612"/>
      <c r="M4" s="612"/>
      <c r="N4" s="612"/>
      <c r="O4" s="612"/>
      <c r="P4" s="612"/>
      <c r="Q4" s="612"/>
      <c r="R4" s="612"/>
      <c r="S4" s="612"/>
      <c r="T4" s="612"/>
    </row>
    <row r="5" spans="1:69">
      <c r="B5" s="612"/>
      <c r="C5" s="612"/>
      <c r="D5" s="612"/>
      <c r="E5" s="612"/>
      <c r="F5" s="612"/>
      <c r="G5" s="612"/>
      <c r="H5" s="612"/>
      <c r="I5" s="612"/>
      <c r="J5" s="612"/>
      <c r="K5" s="612"/>
      <c r="L5" s="612"/>
      <c r="M5" s="612"/>
      <c r="N5" s="612"/>
      <c r="O5" s="612"/>
      <c r="P5" s="612"/>
      <c r="Q5" s="612"/>
      <c r="R5" s="612"/>
      <c r="S5" s="612"/>
      <c r="T5" s="612"/>
    </row>
    <row r="6" spans="1:69">
      <c r="B6" s="612"/>
      <c r="C6" s="612"/>
      <c r="D6" s="612"/>
      <c r="E6" s="612"/>
      <c r="F6" s="612"/>
      <c r="G6" s="612"/>
      <c r="H6" s="612"/>
      <c r="I6" s="612"/>
      <c r="J6" s="612"/>
      <c r="K6" s="612"/>
      <c r="L6" s="612"/>
      <c r="M6" s="612"/>
      <c r="N6" s="612"/>
      <c r="O6" s="612"/>
      <c r="P6" s="612"/>
      <c r="Q6" s="612"/>
      <c r="R6" s="612"/>
      <c r="S6" s="612"/>
      <c r="T6" s="612"/>
    </row>
    <row r="7" spans="1:69">
      <c r="A7" s="90"/>
      <c r="B7" s="90" t="s">
        <v>47</v>
      </c>
      <c r="C7" s="52" t="s">
        <v>52</v>
      </c>
      <c r="D7" s="52" t="s">
        <v>52</v>
      </c>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row>
    <row r="8" spans="1:69">
      <c r="A8" s="90" t="s">
        <v>209</v>
      </c>
      <c r="B8" s="90" t="s">
        <v>54</v>
      </c>
      <c r="C8" s="52" t="s">
        <v>977</v>
      </c>
      <c r="D8" s="52" t="str">
        <f>[1]!switch_ForecastState</f>
        <v>Region</v>
      </c>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row>
    <row r="9" spans="1:69">
      <c r="A9" s="90" t="str">
        <f>INDEX([2]ACHIEV!$A$19:$B$100,MATCH(CONCATENATE($C$8," - ",$C$7),[2]ACHIEV!$B$19:$B$100,0),1)</f>
        <v>HVAC</v>
      </c>
      <c r="B9" s="91" t="s">
        <v>55</v>
      </c>
      <c r="C9" s="52">
        <f>[2]FILES!$H$4</f>
        <v>2035</v>
      </c>
      <c r="D9" s="52" t="str">
        <f>[1]!switch_ForecastScenario</f>
        <v>Base</v>
      </c>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row>
    <row r="10" spans="1:69">
      <c r="A10" s="90"/>
      <c r="B10" s="90" t="s">
        <v>1905</v>
      </c>
      <c r="C10" s="611">
        <f ca="1">MIN(SUM(E50:X50),Y50)</f>
        <v>1.3692889060755165</v>
      </c>
      <c r="D10" s="54"/>
      <c r="E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row>
    <row r="11" spans="1:69" ht="15">
      <c r="A11" s="55" t="str">
        <f>CONCATENATE("# HOMES AVAILABLE FOR MEASURE -",$C$8)</f>
        <v># HOMES AVAILABLE FOR MEASURE -GSHP</v>
      </c>
      <c r="C11" s="9" t="s">
        <v>135</v>
      </c>
      <c r="E11" s="58">
        <v>2016</v>
      </c>
      <c r="F11" s="59">
        <v>2017</v>
      </c>
      <c r="G11" s="59">
        <v>2018</v>
      </c>
      <c r="H11" s="59">
        <v>2019</v>
      </c>
      <c r="I11" s="59">
        <v>2020</v>
      </c>
      <c r="J11" s="59">
        <v>2021</v>
      </c>
      <c r="K11" s="59">
        <v>2022</v>
      </c>
      <c r="L11" s="59">
        <v>2023</v>
      </c>
      <c r="M11" s="59">
        <v>2024</v>
      </c>
      <c r="N11" s="59">
        <v>2025</v>
      </c>
      <c r="O11" s="59">
        <v>2026</v>
      </c>
      <c r="P11" s="59">
        <v>2027</v>
      </c>
      <c r="Q11" s="59">
        <v>2028</v>
      </c>
      <c r="R11" s="59">
        <v>2029</v>
      </c>
      <c r="S11" s="59">
        <v>2030</v>
      </c>
      <c r="T11" s="59">
        <v>2031</v>
      </c>
      <c r="U11" s="59">
        <v>2032</v>
      </c>
      <c r="V11" s="59">
        <v>2033</v>
      </c>
      <c r="W11" s="59">
        <v>2034</v>
      </c>
      <c r="X11" s="59">
        <v>2035</v>
      </c>
      <c r="Y11" s="60"/>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row>
    <row r="12" spans="1:69" ht="15">
      <c r="E12" s="61" t="str">
        <f>CONCATENATE("Homes_",E11)</f>
        <v>Homes_2016</v>
      </c>
      <c r="F12" s="62" t="str">
        <f t="shared" ref="F12:X12" si="0">CONCATENATE("Homes_",F11)</f>
        <v>Homes_2017</v>
      </c>
      <c r="G12" s="62" t="str">
        <f t="shared" si="0"/>
        <v>Homes_2018</v>
      </c>
      <c r="H12" s="62" t="str">
        <f t="shared" si="0"/>
        <v>Homes_2019</v>
      </c>
      <c r="I12" s="62" t="str">
        <f t="shared" si="0"/>
        <v>Homes_2020</v>
      </c>
      <c r="J12" s="62" t="str">
        <f t="shared" si="0"/>
        <v>Homes_2021</v>
      </c>
      <c r="K12" s="62" t="str">
        <f t="shared" si="0"/>
        <v>Homes_2022</v>
      </c>
      <c r="L12" s="62" t="str">
        <f t="shared" si="0"/>
        <v>Homes_2023</v>
      </c>
      <c r="M12" s="62" t="str">
        <f t="shared" si="0"/>
        <v>Homes_2024</v>
      </c>
      <c r="N12" s="62" t="str">
        <f t="shared" si="0"/>
        <v>Homes_2025</v>
      </c>
      <c r="O12" s="62" t="str">
        <f t="shared" si="0"/>
        <v>Homes_2026</v>
      </c>
      <c r="P12" s="62" t="str">
        <f t="shared" si="0"/>
        <v>Homes_2027</v>
      </c>
      <c r="Q12" s="62" t="str">
        <f t="shared" si="0"/>
        <v>Homes_2028</v>
      </c>
      <c r="R12" s="62" t="str">
        <f t="shared" si="0"/>
        <v>Homes_2029</v>
      </c>
      <c r="S12" s="62" t="str">
        <f t="shared" si="0"/>
        <v>Homes_2030</v>
      </c>
      <c r="T12" s="62" t="str">
        <f t="shared" si="0"/>
        <v>Homes_2031</v>
      </c>
      <c r="U12" s="62" t="str">
        <f t="shared" si="0"/>
        <v>Homes_2032</v>
      </c>
      <c r="V12" s="62" t="str">
        <f t="shared" si="0"/>
        <v>Homes_2033</v>
      </c>
      <c r="W12" s="62" t="str">
        <f t="shared" si="0"/>
        <v>Homes_2034</v>
      </c>
      <c r="X12" s="62" t="str">
        <f t="shared" si="0"/>
        <v>Homes_2035</v>
      </c>
      <c r="Y12" s="63"/>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row>
    <row r="13" spans="1:69">
      <c r="B13" s="9" t="s">
        <v>52</v>
      </c>
      <c r="C13" s="9" t="s">
        <v>48</v>
      </c>
      <c r="E13" s="39">
        <f ca="1">INDEX([1]!tbl_Forecast,MATCH($D$8&amp;$C13&amp;$D$7,[1]!rng_ForecastRowLookup,0),MATCH(E$11,[1]!rng_ForecastColumnLookup,0))</f>
        <v>62685.758999999998</v>
      </c>
      <c r="F13" s="39">
        <f ca="1">INDEX([1]!tbl_Forecast,MATCH($D$8&amp;$C13&amp;$D$7,[1]!rng_ForecastRowLookup,0),MATCH(F$11,[1]!rng_ForecastColumnLookup,0))</f>
        <v>59961.781000000003</v>
      </c>
      <c r="G13" s="39">
        <f ca="1">INDEX([1]!tbl_Forecast,MATCH($D$8&amp;$C13&amp;$D$7,[1]!rng_ForecastRowLookup,0),MATCH(G$11,[1]!rng_ForecastColumnLookup,0))</f>
        <v>56834.012000000002</v>
      </c>
      <c r="H13" s="39">
        <f ca="1">INDEX([1]!tbl_Forecast,MATCH($D$8&amp;$C13&amp;$D$7,[1]!rng_ForecastRowLookup,0),MATCH(H$11,[1]!rng_ForecastColumnLookup,0))</f>
        <v>54985.192999999999</v>
      </c>
      <c r="I13" s="39">
        <f ca="1">INDEX([1]!tbl_Forecast,MATCH($D$8&amp;$C13&amp;$D$7,[1]!rng_ForecastRowLookup,0),MATCH(I$11,[1]!rng_ForecastColumnLookup,0))</f>
        <v>53507.474000000002</v>
      </c>
      <c r="J13" s="39">
        <f ca="1">INDEX([1]!tbl_Forecast,MATCH($D$8&amp;$C13&amp;$D$7,[1]!rng_ForecastRowLookup,0),MATCH(J$11,[1]!rng_ForecastColumnLookup,0))</f>
        <v>50982.05</v>
      </c>
      <c r="K13" s="39">
        <f ca="1">INDEX([1]!tbl_Forecast,MATCH($D$8&amp;$C13&amp;$D$7,[1]!rng_ForecastRowLookup,0),MATCH(K$11,[1]!rng_ForecastColumnLookup,0))</f>
        <v>49561.669000000002</v>
      </c>
      <c r="L13" s="39">
        <f ca="1">INDEX([1]!tbl_Forecast,MATCH($D$8&amp;$C13&amp;$D$7,[1]!rng_ForecastRowLookup,0),MATCH(L$11,[1]!rng_ForecastColumnLookup,0))</f>
        <v>49324.517999999996</v>
      </c>
      <c r="M13" s="39">
        <f ca="1">INDEX([1]!tbl_Forecast,MATCH($D$8&amp;$C13&amp;$D$7,[1]!rng_ForecastRowLookup,0),MATCH(M$11,[1]!rng_ForecastColumnLookup,0))</f>
        <v>48815.77</v>
      </c>
      <c r="N13" s="39">
        <f ca="1">INDEX([1]!tbl_Forecast,MATCH($D$8&amp;$C13&amp;$D$7,[1]!rng_ForecastRowLookup,0),MATCH(N$11,[1]!rng_ForecastColumnLookup,0))</f>
        <v>49683.252</v>
      </c>
      <c r="O13" s="39">
        <f ca="1">INDEX([1]!tbl_Forecast,MATCH($D$8&amp;$C13&amp;$D$7,[1]!rng_ForecastRowLookup,0),MATCH(O$11,[1]!rng_ForecastColumnLookup,0))</f>
        <v>50030.137000000002</v>
      </c>
      <c r="P13" s="39">
        <f ca="1">INDEX([1]!tbl_Forecast,MATCH($D$8&amp;$C13&amp;$D$7,[1]!rng_ForecastRowLookup,0),MATCH(P$11,[1]!rng_ForecastColumnLookup,0))</f>
        <v>49387.762999999999</v>
      </c>
      <c r="Q13" s="39">
        <f ca="1">INDEX([1]!tbl_Forecast,MATCH($D$8&amp;$C13&amp;$D$7,[1]!rng_ForecastRowLookup,0),MATCH(Q$11,[1]!rng_ForecastColumnLookup,0))</f>
        <v>48079.345999999998</v>
      </c>
      <c r="R13" s="39">
        <f ca="1">INDEX([1]!tbl_Forecast,MATCH($D$8&amp;$C13&amp;$D$7,[1]!rng_ForecastRowLookup,0),MATCH(R$11,[1]!rng_ForecastColumnLookup,0))</f>
        <v>48129.050999999999</v>
      </c>
      <c r="S13" s="39">
        <f ca="1">INDEX([1]!tbl_Forecast,MATCH($D$8&amp;$C13&amp;$D$7,[1]!rng_ForecastRowLookup,0),MATCH(S$11,[1]!rng_ForecastColumnLookup,0))</f>
        <v>48690.569000000003</v>
      </c>
      <c r="T13" s="39">
        <f ca="1">INDEX([1]!tbl_Forecast,MATCH($D$8&amp;$C13&amp;$D$7,[1]!rng_ForecastRowLookup,0),MATCH(T$11,[1]!rng_ForecastColumnLookup,0))</f>
        <v>48482.864000000001</v>
      </c>
      <c r="U13" s="39">
        <f ca="1">INDEX([1]!tbl_Forecast,MATCH($D$8&amp;$C13&amp;$D$7,[1]!rng_ForecastRowLookup,0),MATCH(U$11,[1]!rng_ForecastColumnLookup,0))</f>
        <v>46879.000999999997</v>
      </c>
      <c r="V13" s="39">
        <f ca="1">INDEX([1]!tbl_Forecast,MATCH($D$8&amp;$C13&amp;$D$7,[1]!rng_ForecastRowLookup,0),MATCH(V$11,[1]!rng_ForecastColumnLookup,0))</f>
        <v>46798.777999999998</v>
      </c>
      <c r="W13" s="39">
        <f ca="1">INDEX([1]!tbl_Forecast,MATCH($D$8&amp;$C13&amp;$D$7,[1]!rng_ForecastRowLookup,0),MATCH(W$11,[1]!rng_ForecastColumnLookup,0))</f>
        <v>46917.627</v>
      </c>
      <c r="X13" s="39">
        <f ca="1">INDEX([1]!tbl_Forecast,MATCH($D$8&amp;$C13&amp;$D$7,[1]!rng_ForecastRowLookup,0),MATCH(X$11,[1]!rng_ForecastColumnLookup,0))</f>
        <v>47236.144999999997</v>
      </c>
      <c r="Y13" s="39"/>
      <c r="AA13" s="39">
        <f ca="1">SUM(E13:Y13)</f>
        <v>1016972.7590000002</v>
      </c>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row>
    <row r="14" spans="1:69">
      <c r="B14" s="9" t="s">
        <v>52</v>
      </c>
      <c r="C14" s="9" t="s">
        <v>49</v>
      </c>
      <c r="E14" s="39">
        <f ca="1">INDEX([1]!tbl_Forecast,MATCH($D$8&amp;$C14&amp;$D$7,[1]!rng_ForecastRowLookup,0),MATCH(E$11,[1]!rng_ForecastColumnLookup,0))</f>
        <v>23280.347100904564</v>
      </c>
      <c r="F14" s="39">
        <f ca="1">INDEX([1]!tbl_Forecast,MATCH($D$8&amp;$C14&amp;$D$7,[1]!rng_ForecastRowLookup,0),MATCH(F$11,[1]!rng_ForecastColumnLookup,0))</f>
        <v>23017.418106038647</v>
      </c>
      <c r="G14" s="39">
        <f ca="1">INDEX([1]!tbl_Forecast,MATCH($D$8&amp;$C14&amp;$D$7,[1]!rng_ForecastRowLookup,0),MATCH(G$11,[1]!rng_ForecastColumnLookup,0))</f>
        <v>22811.60852767331</v>
      </c>
      <c r="H14" s="39">
        <f ca="1">INDEX([1]!tbl_Forecast,MATCH($D$8&amp;$C14&amp;$D$7,[1]!rng_ForecastRowLookup,0),MATCH(H$11,[1]!rng_ForecastColumnLookup,0))</f>
        <v>22085.916378202593</v>
      </c>
      <c r="I14" s="39">
        <f ca="1">INDEX([1]!tbl_Forecast,MATCH($D$8&amp;$C14&amp;$D$7,[1]!rng_ForecastRowLookup,0),MATCH(I$11,[1]!rng_ForecastColumnLookup,0))</f>
        <v>20817.853908138593</v>
      </c>
      <c r="J14" s="39">
        <f ca="1">INDEX([1]!tbl_Forecast,MATCH($D$8&amp;$C14&amp;$D$7,[1]!rng_ForecastRowLookup,0),MATCH(J$11,[1]!rng_ForecastColumnLookup,0))</f>
        <v>20070.279329962508</v>
      </c>
      <c r="K14" s="39">
        <f ca="1">INDEX([1]!tbl_Forecast,MATCH($D$8&amp;$C14&amp;$D$7,[1]!rng_ForecastRowLookup,0),MATCH(K$11,[1]!rng_ForecastColumnLookup,0))</f>
        <v>19887.831284331631</v>
      </c>
      <c r="L14" s="39">
        <f ca="1">INDEX([1]!tbl_Forecast,MATCH($D$8&amp;$C14&amp;$D$7,[1]!rng_ForecastRowLookup,0),MATCH(L$11,[1]!rng_ForecastColumnLookup,0))</f>
        <v>20257.583209811291</v>
      </c>
      <c r="M14" s="39">
        <f ca="1">INDEX([1]!tbl_Forecast,MATCH($D$8&amp;$C14&amp;$D$7,[1]!rng_ForecastRowLookup,0),MATCH(M$11,[1]!rng_ForecastColumnLookup,0))</f>
        <v>20750.368029493613</v>
      </c>
      <c r="N14" s="39">
        <f ca="1">INDEX([1]!tbl_Forecast,MATCH($D$8&amp;$C14&amp;$D$7,[1]!rng_ForecastRowLookup,0),MATCH(N$11,[1]!rng_ForecastColumnLookup,0))</f>
        <v>21314.334279744231</v>
      </c>
      <c r="O14" s="39">
        <f ca="1">INDEX([1]!tbl_Forecast,MATCH($D$8&amp;$C14&amp;$D$7,[1]!rng_ForecastRowLookup,0),MATCH(O$11,[1]!rng_ForecastColumnLookup,0))</f>
        <v>21403.286239774712</v>
      </c>
      <c r="P14" s="39">
        <f ca="1">INDEX([1]!tbl_Forecast,MATCH($D$8&amp;$C14&amp;$D$7,[1]!rng_ForecastRowLookup,0),MATCH(P$11,[1]!rng_ForecastColumnLookup,0))</f>
        <v>21409.137516518917</v>
      </c>
      <c r="Q14" s="39">
        <f ca="1">INDEX([1]!tbl_Forecast,MATCH($D$8&amp;$C14&amp;$D$7,[1]!rng_ForecastRowLookup,0),MATCH(Q$11,[1]!rng_ForecastColumnLookup,0))</f>
        <v>21443.358292282628</v>
      </c>
      <c r="R14" s="39">
        <f ca="1">INDEX([1]!tbl_Forecast,MATCH($D$8&amp;$C14&amp;$D$7,[1]!rng_ForecastRowLookup,0),MATCH(R$11,[1]!rng_ForecastColumnLookup,0))</f>
        <v>21209.865626522758</v>
      </c>
      <c r="S14" s="39">
        <f ca="1">INDEX([1]!tbl_Forecast,MATCH($D$8&amp;$C14&amp;$D$7,[1]!rng_ForecastRowLookup,0),MATCH(S$11,[1]!rng_ForecastColumnLookup,0))</f>
        <v>20954.17798283829</v>
      </c>
      <c r="T14" s="39">
        <f ca="1">INDEX([1]!tbl_Forecast,MATCH($D$8&amp;$C14&amp;$D$7,[1]!rng_ForecastRowLookup,0),MATCH(T$11,[1]!rng_ForecastColumnLookup,0))</f>
        <v>20525.44023202754</v>
      </c>
      <c r="U14" s="39">
        <f ca="1">INDEX([1]!tbl_Forecast,MATCH($D$8&amp;$C14&amp;$D$7,[1]!rng_ForecastRowLookup,0),MATCH(U$11,[1]!rng_ForecastColumnLookup,0))</f>
        <v>20175.505597554071</v>
      </c>
      <c r="V14" s="39">
        <f ca="1">INDEX([1]!tbl_Forecast,MATCH($D$8&amp;$C14&amp;$D$7,[1]!rng_ForecastRowLookup,0),MATCH(V$11,[1]!rng_ForecastColumnLookup,0))</f>
        <v>19919.723927484571</v>
      </c>
      <c r="W14" s="39">
        <f ca="1">INDEX([1]!tbl_Forecast,MATCH($D$8&amp;$C14&amp;$D$7,[1]!rng_ForecastRowLookup,0),MATCH(W$11,[1]!rng_ForecastColumnLookup,0))</f>
        <v>19536.194066416414</v>
      </c>
      <c r="X14" s="39">
        <f ca="1">INDEX([1]!tbl_Forecast,MATCH($D$8&amp;$C14&amp;$D$7,[1]!rng_ForecastRowLookup,0),MATCH(X$11,[1]!rng_ForecastColumnLookup,0))</f>
        <v>19462.287131015248</v>
      </c>
      <c r="Y14" s="39"/>
      <c r="AA14" s="39">
        <f t="shared" ref="AA14:AA16" ca="1" si="1">SUM(E14:Y14)</f>
        <v>420332.51676673623</v>
      </c>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row>
    <row r="15" spans="1:69">
      <c r="B15" s="9" t="s">
        <v>52</v>
      </c>
      <c r="C15" s="9" t="s">
        <v>50</v>
      </c>
      <c r="E15" s="39">
        <f ca="1">INDEX([1]!tbl_Forecast,MATCH($D$8&amp;$C15&amp;$D$7,[1]!rng_ForecastRowLookup,0),MATCH(E$11,[1]!rng_ForecastColumnLookup,0))</f>
        <v>5226.2387411561367</v>
      </c>
      <c r="F15" s="39">
        <f ca="1">INDEX([1]!tbl_Forecast,MATCH($D$8&amp;$C15&amp;$D$7,[1]!rng_ForecastRowLookup,0),MATCH(F$11,[1]!rng_ForecastColumnLookup,0))</f>
        <v>5239.95312759432</v>
      </c>
      <c r="G15" s="39">
        <f ca="1">INDEX([1]!tbl_Forecast,MATCH($D$8&amp;$C15&amp;$D$7,[1]!rng_ForecastRowLookup,0),MATCH(G$11,[1]!rng_ForecastColumnLookup,0))</f>
        <v>5271.2612760989568</v>
      </c>
      <c r="H15" s="39">
        <f ca="1">INDEX([1]!tbl_Forecast,MATCH($D$8&amp;$C15&amp;$D$7,[1]!rng_ForecastRowLookup,0),MATCH(H$11,[1]!rng_ForecastColumnLookup,0))</f>
        <v>4985.883552972361</v>
      </c>
      <c r="I15" s="39">
        <f ca="1">INDEX([1]!tbl_Forecast,MATCH($D$8&amp;$C15&amp;$D$7,[1]!rng_ForecastRowLookup,0),MATCH(I$11,[1]!rng_ForecastColumnLookup,0))</f>
        <v>4608.5912035798974</v>
      </c>
      <c r="J15" s="39">
        <f ca="1">INDEX([1]!tbl_Forecast,MATCH($D$8&amp;$C15&amp;$D$7,[1]!rng_ForecastRowLookup,0),MATCH(J$11,[1]!rng_ForecastColumnLookup,0))</f>
        <v>4509.6375960361838</v>
      </c>
      <c r="K15" s="39">
        <f ca="1">INDEX([1]!tbl_Forecast,MATCH($D$8&amp;$C15&amp;$D$7,[1]!rng_ForecastRowLookup,0),MATCH(K$11,[1]!rng_ForecastColumnLookup,0))</f>
        <v>4481.760351096189</v>
      </c>
      <c r="L15" s="39">
        <f ca="1">INDEX([1]!tbl_Forecast,MATCH($D$8&amp;$C15&amp;$D$7,[1]!rng_ForecastRowLookup,0),MATCH(L$11,[1]!rng_ForecastColumnLookup,0))</f>
        <v>4621.8312800578688</v>
      </c>
      <c r="M15" s="39">
        <f ca="1">INDEX([1]!tbl_Forecast,MATCH($D$8&amp;$C15&amp;$D$7,[1]!rng_ForecastRowLookup,0),MATCH(M$11,[1]!rng_ForecastColumnLookup,0))</f>
        <v>4700.9782942419988</v>
      </c>
      <c r="N15" s="39">
        <f ca="1">INDEX([1]!tbl_Forecast,MATCH($D$8&amp;$C15&amp;$D$7,[1]!rng_ForecastRowLookup,0),MATCH(N$11,[1]!rng_ForecastColumnLookup,0))</f>
        <v>4828.2391631488581</v>
      </c>
      <c r="O15" s="39">
        <f ca="1">INDEX([1]!tbl_Forecast,MATCH($D$8&amp;$C15&amp;$D$7,[1]!rng_ForecastRowLookup,0),MATCH(O$11,[1]!rng_ForecastColumnLookup,0))</f>
        <v>4790.0249139778334</v>
      </c>
      <c r="P15" s="39">
        <f ca="1">INDEX([1]!tbl_Forecast,MATCH($D$8&amp;$C15&amp;$D$7,[1]!rng_ForecastRowLookup,0),MATCH(P$11,[1]!rng_ForecastColumnLookup,0))</f>
        <v>4782.0649962402858</v>
      </c>
      <c r="Q15" s="39">
        <f ca="1">INDEX([1]!tbl_Forecast,MATCH($D$8&amp;$C15&amp;$D$7,[1]!rng_ForecastRowLookup,0),MATCH(Q$11,[1]!rng_ForecastColumnLookup,0))</f>
        <v>4748.3908346265653</v>
      </c>
      <c r="R15" s="39">
        <f ca="1">INDEX([1]!tbl_Forecast,MATCH($D$8&amp;$C15&amp;$D$7,[1]!rng_ForecastRowLookup,0),MATCH(R$11,[1]!rng_ForecastColumnLookup,0))</f>
        <v>4733.4823682495089</v>
      </c>
      <c r="S15" s="39">
        <f ca="1">INDEX([1]!tbl_Forecast,MATCH($D$8&amp;$C15&amp;$D$7,[1]!rng_ForecastRowLookup,0),MATCH(S$11,[1]!rng_ForecastColumnLookup,0))</f>
        <v>4698.697177079107</v>
      </c>
      <c r="T15" s="39">
        <f ca="1">INDEX([1]!tbl_Forecast,MATCH($D$8&amp;$C15&amp;$D$7,[1]!rng_ForecastRowLookup,0),MATCH(T$11,[1]!rng_ForecastColumnLookup,0))</f>
        <v>4599.2987885998937</v>
      </c>
      <c r="U15" s="39">
        <f ca="1">INDEX([1]!tbl_Forecast,MATCH($D$8&amp;$C15&amp;$D$7,[1]!rng_ForecastRowLookup,0),MATCH(U$11,[1]!rng_ForecastColumnLookup,0))</f>
        <v>4526.3104216428001</v>
      </c>
      <c r="V15" s="39">
        <f ca="1">INDEX([1]!tbl_Forecast,MATCH($D$8&amp;$C15&amp;$D$7,[1]!rng_ForecastRowLookup,0),MATCH(V$11,[1]!rng_ForecastColumnLookup,0))</f>
        <v>4422.0600452822764</v>
      </c>
      <c r="W15" s="39">
        <f ca="1">INDEX([1]!tbl_Forecast,MATCH($D$8&amp;$C15&amp;$D$7,[1]!rng_ForecastRowLookup,0),MATCH(W$11,[1]!rng_ForecastColumnLookup,0))</f>
        <v>4405.182362066379</v>
      </c>
      <c r="X15" s="39">
        <f ca="1">INDEX([1]!tbl_Forecast,MATCH($D$8&amp;$C15&amp;$D$7,[1]!rng_ForecastRowLookup,0),MATCH(X$11,[1]!rng_ForecastColumnLookup,0))</f>
        <v>4385.1136986120664</v>
      </c>
      <c r="Y15" s="39"/>
      <c r="AA15" s="39">
        <f t="shared" ca="1" si="1"/>
        <v>94565.000192359483</v>
      </c>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row>
    <row r="16" spans="1:69">
      <c r="B16" s="9" t="s">
        <v>52</v>
      </c>
      <c r="C16" s="9" t="s">
        <v>51</v>
      </c>
      <c r="E16" s="39">
        <f ca="1">INDEX([1]!tbl_Forecast,MATCH($D$8&amp;$C16&amp;$D$7,[1]!rng_ForecastRowLookup,0),MATCH(E$11,[1]!rng_ForecastColumnLookup,0))</f>
        <v>1869.5754050925925</v>
      </c>
      <c r="F16" s="39">
        <f ca="1">INDEX([1]!tbl_Forecast,MATCH($D$8&amp;$C16&amp;$D$7,[1]!rng_ForecastRowLookup,0),MATCH(F$11,[1]!rng_ForecastColumnLookup,0))</f>
        <v>1881.796305941358</v>
      </c>
      <c r="G16" s="39">
        <f ca="1">INDEX([1]!tbl_Forecast,MATCH($D$8&amp;$C16&amp;$D$7,[1]!rng_ForecastRowLookup,0),MATCH(G$11,[1]!rng_ForecastColumnLookup,0))</f>
        <v>1949.1340235982509</v>
      </c>
      <c r="H16" s="39">
        <f ca="1">INDEX([1]!tbl_Forecast,MATCH($D$8&amp;$C16&amp;$D$7,[1]!rng_ForecastRowLookup,0),MATCH(H$11,[1]!rng_ForecastColumnLookup,0))</f>
        <v>2021.1963608646258</v>
      </c>
      <c r="I16" s="39">
        <f ca="1">INDEX([1]!tbl_Forecast,MATCH($D$8&amp;$C16&amp;$D$7,[1]!rng_ForecastRowLookup,0),MATCH(I$11,[1]!rng_ForecastColumnLookup,0))</f>
        <v>1959.5061710087307</v>
      </c>
      <c r="J16" s="39">
        <f ca="1">INDEX([1]!tbl_Forecast,MATCH($D$8&amp;$C16&amp;$D$7,[1]!rng_ForecastRowLookup,0),MATCH(J$11,[1]!rng_ForecastColumnLookup,0))</f>
        <v>1928.5764356212967</v>
      </c>
      <c r="K16" s="39">
        <f ca="1">INDEX([1]!tbl_Forecast,MATCH($D$8&amp;$C16&amp;$D$7,[1]!rng_ForecastRowLookup,0),MATCH(K$11,[1]!rng_ForecastColumnLookup,0))</f>
        <v>1934.9641170211423</v>
      </c>
      <c r="L16" s="39">
        <f ca="1">INDEX([1]!tbl_Forecast,MATCH($D$8&amp;$C16&amp;$D$7,[1]!rng_ForecastRowLookup,0),MATCH(L$11,[1]!rng_ForecastColumnLookup,0))</f>
        <v>1945.862235675901</v>
      </c>
      <c r="M16" s="39">
        <f ca="1">INDEX([1]!tbl_Forecast,MATCH($D$8&amp;$C16&amp;$D$7,[1]!rng_ForecastRowLookup,0),MATCH(M$11,[1]!rng_ForecastColumnLookup,0))</f>
        <v>1956.539890631658</v>
      </c>
      <c r="N16" s="39">
        <f ca="1">INDEX([1]!tbl_Forecast,MATCH($D$8&amp;$C16&amp;$D$7,[1]!rng_ForecastRowLookup,0),MATCH(N$11,[1]!rng_ForecastColumnLookup,0))</f>
        <v>1957.7742018038925</v>
      </c>
      <c r="O16" s="39">
        <f ca="1">INDEX([1]!tbl_Forecast,MATCH($D$8&amp;$C16&amp;$D$7,[1]!rng_ForecastRowLookup,0),MATCH(O$11,[1]!rng_ForecastColumnLookup,0))</f>
        <v>1947.2038419604366</v>
      </c>
      <c r="P16" s="39">
        <f ca="1">INDEX([1]!tbl_Forecast,MATCH($D$8&amp;$C16&amp;$D$7,[1]!rng_ForecastRowLookup,0),MATCH(P$11,[1]!rng_ForecastColumnLookup,0))</f>
        <v>1945.153453785721</v>
      </c>
      <c r="Q16" s="39">
        <f ca="1">INDEX([1]!tbl_Forecast,MATCH($D$8&amp;$C16&amp;$D$7,[1]!rng_ForecastRowLookup,0),MATCH(Q$11,[1]!rng_ForecastColumnLookup,0))</f>
        <v>1947.9162901464586</v>
      </c>
      <c r="R16" s="39">
        <f ca="1">INDEX([1]!tbl_Forecast,MATCH($D$8&amp;$C16&amp;$D$7,[1]!rng_ForecastRowLookup,0),MATCH(R$11,[1]!rng_ForecastColumnLookup,0))</f>
        <v>1950.0749856673444</v>
      </c>
      <c r="S16" s="39">
        <f ca="1">INDEX([1]!tbl_Forecast,MATCH($D$8&amp;$C16&amp;$D$7,[1]!rng_ForecastRowLookup,0),MATCH(S$11,[1]!rng_ForecastColumnLookup,0))</f>
        <v>1950.7771106659191</v>
      </c>
      <c r="T16" s="39">
        <f ca="1">INDEX([1]!tbl_Forecast,MATCH($D$8&amp;$C16&amp;$D$7,[1]!rng_ForecastRowLookup,0),MATCH(T$11,[1]!rng_ForecastColumnLookup,0))</f>
        <v>1949.8166473382953</v>
      </c>
      <c r="U16" s="39">
        <f ca="1">INDEX([1]!tbl_Forecast,MATCH($D$8&amp;$C16&amp;$D$7,[1]!rng_ForecastRowLookup,0),MATCH(U$11,[1]!rng_ForecastColumnLookup,0))</f>
        <v>1948.4903882606959</v>
      </c>
      <c r="V16" s="39">
        <f ca="1">INDEX([1]!tbl_Forecast,MATCH($D$8&amp;$C16&amp;$D$7,[1]!rng_ForecastRowLookup,0),MATCH(V$11,[1]!rng_ForecastColumnLookup,0))</f>
        <v>1948.7048126440727</v>
      </c>
      <c r="W16" s="39">
        <f ca="1">INDEX([1]!tbl_Forecast,MATCH($D$8&amp;$C16&amp;$D$7,[1]!rng_ForecastRowLookup,0),MATCH(W$11,[1]!rng_ForecastColumnLookup,0))</f>
        <v>1949.296705787131</v>
      </c>
      <c r="X16" s="39">
        <f ca="1">INDEX([1]!tbl_Forecast,MATCH($D$8&amp;$C16&amp;$D$7,[1]!rng_ForecastRowLookup,0),MATCH(X$11,[1]!rng_ForecastColumnLookup,0))</f>
        <v>1949.5267750605763</v>
      </c>
      <c r="Y16" s="39"/>
      <c r="AA16" s="39">
        <f t="shared" ca="1" si="1"/>
        <v>38891.88615857609</v>
      </c>
    </row>
    <row r="17" spans="1:27">
      <c r="E17" s="39"/>
      <c r="F17" s="39"/>
      <c r="G17" s="39"/>
      <c r="H17" s="39"/>
      <c r="I17" s="39"/>
      <c r="J17" s="39"/>
      <c r="K17" s="39"/>
      <c r="L17" s="39"/>
      <c r="M17" s="39"/>
      <c r="N17" s="39"/>
      <c r="O17" s="39"/>
      <c r="P17" s="39"/>
      <c r="Q17" s="39"/>
      <c r="R17" s="39"/>
      <c r="S17" s="39"/>
      <c r="T17" s="39"/>
      <c r="U17" s="39"/>
      <c r="V17" s="39"/>
      <c r="W17" s="39"/>
      <c r="X17" s="39"/>
      <c r="Y17" s="39"/>
    </row>
    <row r="18" spans="1:27">
      <c r="B18" s="9" t="s">
        <v>136</v>
      </c>
      <c r="C18" s="9" t="s">
        <v>57</v>
      </c>
      <c r="E18" s="39">
        <f ca="1">SUM(E13:E16)</f>
        <v>93061.920247153292</v>
      </c>
      <c r="F18" s="39">
        <f t="shared" ref="F18:X18" ca="1" si="2">SUM(F13:F16)</f>
        <v>90100.948539574325</v>
      </c>
      <c r="G18" s="39">
        <f t="shared" ca="1" si="2"/>
        <v>86866.015827370516</v>
      </c>
      <c r="H18" s="39">
        <f t="shared" ca="1" si="2"/>
        <v>84078.189292039577</v>
      </c>
      <c r="I18" s="39">
        <f t="shared" ca="1" si="2"/>
        <v>80893.425282727228</v>
      </c>
      <c r="J18" s="39">
        <f t="shared" ca="1" si="2"/>
        <v>77490.543361619988</v>
      </c>
      <c r="K18" s="39">
        <f t="shared" ca="1" si="2"/>
        <v>75866.224752448965</v>
      </c>
      <c r="L18" s="39">
        <f t="shared" ca="1" si="2"/>
        <v>76149.794725545056</v>
      </c>
      <c r="M18" s="39">
        <f t="shared" ca="1" si="2"/>
        <v>76223.656214367264</v>
      </c>
      <c r="N18" s="39">
        <f t="shared" ca="1" si="2"/>
        <v>77783.59964469698</v>
      </c>
      <c r="O18" s="39">
        <f t="shared" ca="1" si="2"/>
        <v>78170.651995712979</v>
      </c>
      <c r="P18" s="39">
        <f t="shared" ca="1" si="2"/>
        <v>77524.11896654492</v>
      </c>
      <c r="Q18" s="39">
        <f t="shared" ca="1" si="2"/>
        <v>76219.011417055648</v>
      </c>
      <c r="R18" s="39">
        <f t="shared" ca="1" si="2"/>
        <v>76022.473980439609</v>
      </c>
      <c r="S18" s="39">
        <f t="shared" ca="1" si="2"/>
        <v>76294.221270583323</v>
      </c>
      <c r="T18" s="39">
        <f t="shared" ca="1" si="2"/>
        <v>75557.419667965733</v>
      </c>
      <c r="U18" s="39">
        <f t="shared" ca="1" si="2"/>
        <v>73529.307407457556</v>
      </c>
      <c r="V18" s="39">
        <f t="shared" ca="1" si="2"/>
        <v>73089.266785410931</v>
      </c>
      <c r="W18" s="39">
        <f t="shared" ca="1" si="2"/>
        <v>72808.300134269928</v>
      </c>
      <c r="X18" s="39">
        <f t="shared" ca="1" si="2"/>
        <v>73033.072604687884</v>
      </c>
      <c r="Y18" s="39"/>
      <c r="AA18" s="39">
        <f ca="1">SUM(E18:Y18)</f>
        <v>1570762.1621176719</v>
      </c>
    </row>
    <row r="19" spans="1:27">
      <c r="E19" s="39"/>
      <c r="F19" s="39"/>
      <c r="G19" s="39"/>
      <c r="H19" s="39"/>
      <c r="I19" s="39"/>
      <c r="J19" s="39"/>
      <c r="K19" s="39"/>
      <c r="L19" s="39"/>
      <c r="M19" s="39"/>
      <c r="N19" s="39"/>
      <c r="O19" s="39"/>
      <c r="P19" s="39"/>
      <c r="Q19" s="39"/>
      <c r="R19" s="39"/>
      <c r="S19" s="39"/>
      <c r="T19" s="39"/>
      <c r="U19" s="39"/>
      <c r="V19" s="39"/>
      <c r="W19" s="39"/>
      <c r="X19" s="39"/>
      <c r="Y19" s="39"/>
    </row>
    <row r="20" spans="1:27">
      <c r="E20" s="39"/>
      <c r="F20" s="39"/>
      <c r="G20" s="39"/>
      <c r="H20" s="39"/>
      <c r="I20" s="39"/>
      <c r="J20" s="39"/>
      <c r="K20" s="39"/>
      <c r="L20" s="39"/>
      <c r="M20" s="39"/>
      <c r="N20" s="39"/>
      <c r="O20" s="39"/>
      <c r="P20" s="39"/>
      <c r="Q20" s="39"/>
      <c r="R20" s="39"/>
      <c r="S20" s="39"/>
      <c r="T20" s="39"/>
      <c r="U20" s="39"/>
      <c r="V20" s="39"/>
      <c r="W20" s="39"/>
      <c r="X20" s="39"/>
      <c r="Y20" s="39"/>
    </row>
    <row r="21" spans="1:27" ht="15">
      <c r="A21" s="55" t="str">
        <f>CONCATENATE("# HOMES APPLICABLE BY YEAR FOR MEASURE - ",C22)</f>
        <v># HOMES APPLICABLE BY YEAR FOR MEASURE - GSHP - New</v>
      </c>
      <c r="E21" s="39"/>
      <c r="F21" s="39"/>
      <c r="G21" s="39"/>
      <c r="H21" s="39"/>
      <c r="I21" s="39"/>
      <c r="J21" s="39"/>
      <c r="K21" s="39"/>
      <c r="L21" s="39"/>
      <c r="M21" s="39"/>
      <c r="N21" s="39"/>
      <c r="O21" s="39"/>
      <c r="P21" s="39"/>
      <c r="Q21" s="39"/>
      <c r="R21" s="39"/>
      <c r="S21" s="39"/>
      <c r="T21" s="39"/>
      <c r="U21" s="39"/>
      <c r="V21" s="39"/>
      <c r="W21" s="39"/>
      <c r="X21" s="39"/>
      <c r="Y21" s="39"/>
    </row>
    <row r="22" spans="1:27" ht="15">
      <c r="A22" s="64" t="s">
        <v>58</v>
      </c>
      <c r="B22" s="64" t="s">
        <v>145</v>
      </c>
      <c r="C22" s="64" t="str">
        <f>CONCATENATE(C8," - ",C7)</f>
        <v>GSHP - New</v>
      </c>
      <c r="D22" s="64"/>
      <c r="AA22" s="9" t="s">
        <v>59</v>
      </c>
    </row>
    <row r="23" spans="1:27">
      <c r="A23" s="56">
        <f>INDEX([2]!ResApplic,MATCH($C$22,[2]APPLIC!$B$9:$B$120,0)+1,MATCH($C23,[2]APPLIC!$C$8:$F$8,0)+1)</f>
        <v>0.12485156673907999</v>
      </c>
      <c r="B23" s="89">
        <f>[2]SATS!$C$94+[2]SATS!$C$105</f>
        <v>0.11113965477799331</v>
      </c>
      <c r="C23" s="9" t="str">
        <f>C13</f>
        <v>Single Family</v>
      </c>
      <c r="E23" s="39">
        <f ca="1">E13*$A23*$B23</f>
        <v>869.82508607550494</v>
      </c>
      <c r="F23" s="39">
        <f t="shared" ref="F23:X23" ca="1" si="3">F13*$A23*$B23</f>
        <v>832.02727623614771</v>
      </c>
      <c r="G23" s="39">
        <f t="shared" ca="1" si="3"/>
        <v>788.62647862198321</v>
      </c>
      <c r="H23" s="39">
        <f t="shared" ca="1" si="3"/>
        <v>762.97234008290877</v>
      </c>
      <c r="I23" s="39">
        <f t="shared" ca="1" si="3"/>
        <v>742.46757030943581</v>
      </c>
      <c r="J23" s="39">
        <f t="shared" ca="1" si="3"/>
        <v>707.42488783705573</v>
      </c>
      <c r="K23" s="39">
        <f t="shared" ca="1" si="3"/>
        <v>687.71573785954615</v>
      </c>
      <c r="L23" s="39">
        <f t="shared" ca="1" si="3"/>
        <v>684.4250400634503</v>
      </c>
      <c r="M23" s="39">
        <f t="shared" ca="1" si="3"/>
        <v>677.36567315220759</v>
      </c>
      <c r="N23" s="39">
        <f t="shared" ca="1" si="3"/>
        <v>689.40281870737192</v>
      </c>
      <c r="O23" s="39">
        <f t="shared" ca="1" si="3"/>
        <v>694.21618110094687</v>
      </c>
      <c r="P23" s="39">
        <f t="shared" ca="1" si="3"/>
        <v>685.30262515528671</v>
      </c>
      <c r="Q23" s="39">
        <f t="shared" ca="1" si="3"/>
        <v>667.14708316611416</v>
      </c>
      <c r="R23" s="39">
        <f t="shared" ca="1" si="3"/>
        <v>667.83678775920021</v>
      </c>
      <c r="S23" s="39">
        <f t="shared" ca="1" si="3"/>
        <v>675.62838908100832</v>
      </c>
      <c r="T23" s="39">
        <f t="shared" ca="1" si="3"/>
        <v>672.74628280383433</v>
      </c>
      <c r="U23" s="39">
        <f t="shared" ca="1" si="3"/>
        <v>650.4911439288577</v>
      </c>
      <c r="V23" s="39">
        <f t="shared" ca="1" si="3"/>
        <v>649.37797278770199</v>
      </c>
      <c r="W23" s="39">
        <f t="shared" ca="1" si="3"/>
        <v>651.02711676081708</v>
      </c>
      <c r="X23" s="39">
        <f t="shared" ca="1" si="3"/>
        <v>655.446859796338</v>
      </c>
      <c r="Y23" s="39"/>
      <c r="AA23" s="39">
        <f ca="1">X23*$AA$32</f>
        <v>557.12983082688731</v>
      </c>
    </row>
    <row r="24" spans="1:27">
      <c r="A24" s="56">
        <f>INDEX([2]!ResApplic,MATCH($C$22,[2]APPLIC!$B$9:$B$120,0)+1,MATCH($C24,[2]APPLIC!$C$8:$F$8,0)+1)</f>
        <v>0</v>
      </c>
      <c r="B24" s="89"/>
      <c r="C24" s="9" t="str">
        <f>C14</f>
        <v>Multifamily - Low Rise</v>
      </c>
      <c r="E24" s="39">
        <f t="shared" ref="E24:X24" ca="1" si="4">E14*$A24*$B24</f>
        <v>0</v>
      </c>
      <c r="F24" s="39">
        <f t="shared" ca="1" si="4"/>
        <v>0</v>
      </c>
      <c r="G24" s="39">
        <f t="shared" ca="1" si="4"/>
        <v>0</v>
      </c>
      <c r="H24" s="39">
        <f t="shared" ca="1" si="4"/>
        <v>0</v>
      </c>
      <c r="I24" s="39">
        <f t="shared" ca="1" si="4"/>
        <v>0</v>
      </c>
      <c r="J24" s="39">
        <f t="shared" ca="1" si="4"/>
        <v>0</v>
      </c>
      <c r="K24" s="39">
        <f t="shared" ca="1" si="4"/>
        <v>0</v>
      </c>
      <c r="L24" s="39">
        <f t="shared" ca="1" si="4"/>
        <v>0</v>
      </c>
      <c r="M24" s="39">
        <f t="shared" ca="1" si="4"/>
        <v>0</v>
      </c>
      <c r="N24" s="39">
        <f t="shared" ca="1" si="4"/>
        <v>0</v>
      </c>
      <c r="O24" s="39">
        <f t="shared" ca="1" si="4"/>
        <v>0</v>
      </c>
      <c r="P24" s="39">
        <f t="shared" ca="1" si="4"/>
        <v>0</v>
      </c>
      <c r="Q24" s="39">
        <f t="shared" ca="1" si="4"/>
        <v>0</v>
      </c>
      <c r="R24" s="39">
        <f t="shared" ca="1" si="4"/>
        <v>0</v>
      </c>
      <c r="S24" s="39">
        <f t="shared" ca="1" si="4"/>
        <v>0</v>
      </c>
      <c r="T24" s="39">
        <f t="shared" ca="1" si="4"/>
        <v>0</v>
      </c>
      <c r="U24" s="39">
        <f t="shared" ca="1" si="4"/>
        <v>0</v>
      </c>
      <c r="V24" s="39">
        <f t="shared" ca="1" si="4"/>
        <v>0</v>
      </c>
      <c r="W24" s="39">
        <f t="shared" ca="1" si="4"/>
        <v>0</v>
      </c>
      <c r="X24" s="39">
        <f t="shared" ca="1" si="4"/>
        <v>0</v>
      </c>
      <c r="Y24" s="39"/>
      <c r="AA24" s="39">
        <f t="shared" ref="AA24:AA26" ca="1" si="5">X24*$AA$32</f>
        <v>0</v>
      </c>
    </row>
    <row r="25" spans="1:27">
      <c r="A25" s="56">
        <f>INDEX([2]!ResApplic,MATCH($C$22,[2]APPLIC!$B$9:$B$120,0)+1,MATCH($C25,[2]APPLIC!$C$8:$F$8,0)+1)</f>
        <v>0</v>
      </c>
      <c r="B25" s="89"/>
      <c r="C25" s="9" t="str">
        <f>C15</f>
        <v>Multifamily - High Rise</v>
      </c>
      <c r="E25" s="39">
        <f t="shared" ref="E25:X25" ca="1" si="6">E15*$A25*$B25</f>
        <v>0</v>
      </c>
      <c r="F25" s="39">
        <f t="shared" ca="1" si="6"/>
        <v>0</v>
      </c>
      <c r="G25" s="39">
        <f t="shared" ca="1" si="6"/>
        <v>0</v>
      </c>
      <c r="H25" s="39">
        <f t="shared" ca="1" si="6"/>
        <v>0</v>
      </c>
      <c r="I25" s="39">
        <f t="shared" ca="1" si="6"/>
        <v>0</v>
      </c>
      <c r="J25" s="39">
        <f t="shared" ca="1" si="6"/>
        <v>0</v>
      </c>
      <c r="K25" s="39">
        <f t="shared" ca="1" si="6"/>
        <v>0</v>
      </c>
      <c r="L25" s="39">
        <f t="shared" ca="1" si="6"/>
        <v>0</v>
      </c>
      <c r="M25" s="39">
        <f t="shared" ca="1" si="6"/>
        <v>0</v>
      </c>
      <c r="N25" s="39">
        <f t="shared" ca="1" si="6"/>
        <v>0</v>
      </c>
      <c r="O25" s="39">
        <f t="shared" ca="1" si="6"/>
        <v>0</v>
      </c>
      <c r="P25" s="39">
        <f t="shared" ca="1" si="6"/>
        <v>0</v>
      </c>
      <c r="Q25" s="39">
        <f t="shared" ca="1" si="6"/>
        <v>0</v>
      </c>
      <c r="R25" s="39">
        <f t="shared" ca="1" si="6"/>
        <v>0</v>
      </c>
      <c r="S25" s="39">
        <f t="shared" ca="1" si="6"/>
        <v>0</v>
      </c>
      <c r="T25" s="39">
        <f t="shared" ca="1" si="6"/>
        <v>0</v>
      </c>
      <c r="U25" s="39">
        <f t="shared" ca="1" si="6"/>
        <v>0</v>
      </c>
      <c r="V25" s="39">
        <f t="shared" ca="1" si="6"/>
        <v>0</v>
      </c>
      <c r="W25" s="39">
        <f t="shared" ca="1" si="6"/>
        <v>0</v>
      </c>
      <c r="X25" s="39">
        <f t="shared" ca="1" si="6"/>
        <v>0</v>
      </c>
      <c r="Y25" s="39"/>
      <c r="AA25" s="39">
        <f t="shared" ca="1" si="5"/>
        <v>0</v>
      </c>
    </row>
    <row r="26" spans="1:27">
      <c r="A26" s="56">
        <f>INDEX([2]!ResApplic,MATCH($C$22,[2]APPLIC!$B$9:$B$120,0)+1,MATCH($C26,[2]APPLIC!$C$8:$F$8,0)+1)</f>
        <v>0</v>
      </c>
      <c r="B26" s="89"/>
      <c r="C26" t="s">
        <v>51</v>
      </c>
      <c r="D26"/>
      <c r="E26" s="39">
        <f t="shared" ref="E26:X26" ca="1" si="7">E16*$A26*$B26</f>
        <v>0</v>
      </c>
      <c r="F26" s="39">
        <f t="shared" ca="1" si="7"/>
        <v>0</v>
      </c>
      <c r="G26" s="39">
        <f t="shared" ca="1" si="7"/>
        <v>0</v>
      </c>
      <c r="H26" s="39">
        <f t="shared" ca="1" si="7"/>
        <v>0</v>
      </c>
      <c r="I26" s="39">
        <f t="shared" ca="1" si="7"/>
        <v>0</v>
      </c>
      <c r="J26" s="39">
        <f t="shared" ca="1" si="7"/>
        <v>0</v>
      </c>
      <c r="K26" s="39">
        <f t="shared" ca="1" si="7"/>
        <v>0</v>
      </c>
      <c r="L26" s="39">
        <f t="shared" ca="1" si="7"/>
        <v>0</v>
      </c>
      <c r="M26" s="39">
        <f t="shared" ca="1" si="7"/>
        <v>0</v>
      </c>
      <c r="N26" s="39">
        <f t="shared" ca="1" si="7"/>
        <v>0</v>
      </c>
      <c r="O26" s="39">
        <f t="shared" ca="1" si="7"/>
        <v>0</v>
      </c>
      <c r="P26" s="39">
        <f t="shared" ca="1" si="7"/>
        <v>0</v>
      </c>
      <c r="Q26" s="39">
        <f t="shared" ca="1" si="7"/>
        <v>0</v>
      </c>
      <c r="R26" s="39">
        <f t="shared" ca="1" si="7"/>
        <v>0</v>
      </c>
      <c r="S26" s="39">
        <f t="shared" ca="1" si="7"/>
        <v>0</v>
      </c>
      <c r="T26" s="39">
        <f t="shared" ca="1" si="7"/>
        <v>0</v>
      </c>
      <c r="U26" s="39">
        <f t="shared" ca="1" si="7"/>
        <v>0</v>
      </c>
      <c r="V26" s="39">
        <f t="shared" ca="1" si="7"/>
        <v>0</v>
      </c>
      <c r="W26" s="39">
        <f t="shared" ca="1" si="7"/>
        <v>0</v>
      </c>
      <c r="X26" s="39">
        <f t="shared" ca="1" si="7"/>
        <v>0</v>
      </c>
      <c r="Y26" s="39"/>
      <c r="AA26" s="39">
        <f t="shared" ca="1" si="5"/>
        <v>0</v>
      </c>
    </row>
    <row r="27" spans="1:27">
      <c r="E27" s="39"/>
      <c r="F27" s="39"/>
      <c r="G27" s="39"/>
      <c r="H27" s="39"/>
      <c r="I27" s="39"/>
      <c r="J27" s="39"/>
      <c r="K27" s="39"/>
      <c r="L27" s="39"/>
      <c r="M27" s="39"/>
      <c r="N27" s="39"/>
      <c r="O27" s="39"/>
      <c r="P27" s="39"/>
      <c r="Q27" s="39"/>
      <c r="R27" s="39"/>
      <c r="S27" s="39"/>
      <c r="T27" s="39"/>
      <c r="U27" s="39"/>
      <c r="V27" s="39"/>
      <c r="W27" s="39"/>
      <c r="X27" s="39"/>
      <c r="Y27" s="39"/>
    </row>
    <row r="28" spans="1:27">
      <c r="E28" s="39">
        <f t="shared" ref="E28:X28" ca="1" si="8">SUM(E23:E26)</f>
        <v>869.82508607550494</v>
      </c>
      <c r="F28" s="39">
        <f t="shared" ca="1" si="8"/>
        <v>832.02727623614771</v>
      </c>
      <c r="G28" s="39">
        <f t="shared" ca="1" si="8"/>
        <v>788.62647862198321</v>
      </c>
      <c r="H28" s="39">
        <f t="shared" ca="1" si="8"/>
        <v>762.97234008290877</v>
      </c>
      <c r="I28" s="39">
        <f t="shared" ca="1" si="8"/>
        <v>742.46757030943581</v>
      </c>
      <c r="J28" s="39">
        <f t="shared" ca="1" si="8"/>
        <v>707.42488783705573</v>
      </c>
      <c r="K28" s="39">
        <f t="shared" ca="1" si="8"/>
        <v>687.71573785954615</v>
      </c>
      <c r="L28" s="39">
        <f t="shared" ca="1" si="8"/>
        <v>684.4250400634503</v>
      </c>
      <c r="M28" s="39">
        <f t="shared" ca="1" si="8"/>
        <v>677.36567315220759</v>
      </c>
      <c r="N28" s="39">
        <f t="shared" ca="1" si="8"/>
        <v>689.40281870737192</v>
      </c>
      <c r="O28" s="39">
        <f t="shared" ca="1" si="8"/>
        <v>694.21618110094687</v>
      </c>
      <c r="P28" s="39">
        <f t="shared" ca="1" si="8"/>
        <v>685.30262515528671</v>
      </c>
      <c r="Q28" s="39">
        <f t="shared" ca="1" si="8"/>
        <v>667.14708316611416</v>
      </c>
      <c r="R28" s="39">
        <f t="shared" ca="1" si="8"/>
        <v>667.83678775920021</v>
      </c>
      <c r="S28" s="39">
        <f t="shared" ca="1" si="8"/>
        <v>675.62838908100832</v>
      </c>
      <c r="T28" s="39">
        <f t="shared" ca="1" si="8"/>
        <v>672.74628280383433</v>
      </c>
      <c r="U28" s="39">
        <f t="shared" ca="1" si="8"/>
        <v>650.4911439288577</v>
      </c>
      <c r="V28" s="39">
        <f t="shared" ca="1" si="8"/>
        <v>649.37797278770199</v>
      </c>
      <c r="W28" s="39">
        <f t="shared" ca="1" si="8"/>
        <v>651.02711676081708</v>
      </c>
      <c r="X28" s="39">
        <f t="shared" ca="1" si="8"/>
        <v>655.446859796338</v>
      </c>
      <c r="Y28" s="39"/>
      <c r="AA28" s="39">
        <f ca="1">SUM(E28:Y28)</f>
        <v>14111.47335128572</v>
      </c>
    </row>
    <row r="29" spans="1:27">
      <c r="E29" s="39"/>
      <c r="F29" s="39"/>
      <c r="G29" s="39"/>
      <c r="H29" s="39"/>
      <c r="I29" s="39"/>
      <c r="J29" s="39"/>
      <c r="K29" s="39"/>
      <c r="L29" s="39"/>
      <c r="M29" s="39"/>
      <c r="N29" s="39"/>
      <c r="O29" s="39"/>
      <c r="P29" s="39"/>
      <c r="Q29" s="39"/>
      <c r="R29" s="39"/>
      <c r="S29" s="39"/>
      <c r="T29" s="39"/>
      <c r="U29" s="39"/>
      <c r="V29" s="39"/>
      <c r="W29" s="39"/>
      <c r="X29" s="39"/>
      <c r="Y29" s="39"/>
    </row>
    <row r="31" spans="1:27" ht="15.75" thickBot="1">
      <c r="A31" s="55" t="str">
        <f>CONCATENATE("# UNITS ACHIEVABLE BY YEAR FOR MEASURE - ",C32)</f>
        <v># UNITS ACHIEVABLE BY YEAR FOR MEASURE - GSHP - New</v>
      </c>
      <c r="D31" s="64" t="s">
        <v>60</v>
      </c>
      <c r="E31" s="9">
        <v>3</v>
      </c>
      <c r="F31" s="9">
        <v>4</v>
      </c>
      <c r="G31" s="9">
        <v>5</v>
      </c>
      <c r="H31" s="9">
        <v>6</v>
      </c>
      <c r="I31" s="9">
        <v>7</v>
      </c>
      <c r="J31" s="9">
        <v>8</v>
      </c>
      <c r="K31" s="9">
        <v>9</v>
      </c>
      <c r="L31" s="9">
        <v>10</v>
      </c>
      <c r="M31" s="9">
        <v>11</v>
      </c>
      <c r="N31" s="9">
        <v>12</v>
      </c>
      <c r="O31" s="9">
        <v>13</v>
      </c>
      <c r="P31" s="9">
        <v>14</v>
      </c>
      <c r="Q31" s="9">
        <v>15</v>
      </c>
      <c r="R31" s="9">
        <v>16</v>
      </c>
      <c r="S31" s="9">
        <v>17</v>
      </c>
      <c r="T31" s="9">
        <v>18</v>
      </c>
      <c r="U31" s="9">
        <v>19</v>
      </c>
      <c r="V31" s="9">
        <v>20</v>
      </c>
      <c r="W31" s="9">
        <v>21</v>
      </c>
      <c r="X31" s="9">
        <v>22</v>
      </c>
    </row>
    <row r="32" spans="1:27" ht="15.75" thickBot="1">
      <c r="C32" s="64" t="str">
        <f>CONCATENATE(C8," - ",C7)</f>
        <v>GSHP - New</v>
      </c>
      <c r="D32" s="64"/>
      <c r="E32" s="68">
        <f>VLOOKUP($C$32,[2]ACHIEV!$B$10:$X$76,MATCH(E$11,$E$11:$Y$11,0)+2,FALSE)</f>
        <v>2.5643970768378654E-3</v>
      </c>
      <c r="F32" s="68">
        <f>VLOOKUP($C$32,[2]ACHIEV!$B$10:$X$76,MATCH(F$11,$E$11:$Y$11,0)+2,FALSE)</f>
        <v>7.6904586297764643E-3</v>
      </c>
      <c r="G32" s="68">
        <f>VLOOKUP($C$32,[2]ACHIEV!$B$10:$X$76,MATCH(G$11,$E$11:$Y$11,0)+2,FALSE)</f>
        <v>1.6792013047419844E-2</v>
      </c>
      <c r="H32" s="68">
        <f>VLOOKUP($C$32,[2]ACHIEV!$B$10:$X$76,MATCH(H$11,$E$11:$Y$11,0)+2,FALSE)</f>
        <v>3.15969387774655E-2</v>
      </c>
      <c r="I32" s="68">
        <f>VLOOKUP($C$32,[2]ACHIEV!$B$10:$X$76,MATCH(I$11,$E$11:$Y$11,0)+2,FALSE)</f>
        <v>5.406874819795171E-2</v>
      </c>
      <c r="J32" s="68">
        <f>VLOOKUP($C$32,[2]ACHIEV!$B$10:$X$76,MATCH(J$11,$E$11:$Y$11,0)+2,FALSE)</f>
        <v>8.6253181011834101E-2</v>
      </c>
      <c r="K32" s="68">
        <f>VLOOKUP($C$32,[2]ACHIEV!$B$10:$X$76,MATCH(K$11,$E$11:$Y$11,0)+2,FALSE)</f>
        <v>0.1300328481838382</v>
      </c>
      <c r="L32" s="68">
        <f>VLOOKUP($C$32,[2]ACHIEV!$B$10:$X$76,MATCH(L$11,$E$11:$Y$11,0)+2,FALSE)</f>
        <v>0.18678710893858319</v>
      </c>
      <c r="M32" s="68">
        <f>VLOOKUP($C$32,[2]ACHIEV!$B$10:$X$76,MATCH(M$11,$E$11:$Y$11,0)+2,FALSE)</f>
        <v>0.2569823480072907</v>
      </c>
      <c r="N32" s="68">
        <f>VLOOKUP($C$32,[2]ACHIEV!$B$10:$X$76,MATCH(N$11,$E$11:$Y$11,0)+2,FALSE)</f>
        <v>0.33975920985004748</v>
      </c>
      <c r="O32" s="68">
        <f>VLOOKUP($C$32,[2]ACHIEV!$B$10:$X$76,MATCH(O$11,$E$11:$Y$11,0)+2,FALSE)</f>
        <v>0.43262946935754232</v>
      </c>
      <c r="P32" s="68">
        <f>VLOOKUP($C$32,[2]ACHIEV!$B$10:$X$76,MATCH(P$11,$E$11:$Y$11,0)+2,FALSE)</f>
        <v>0.53142594003645804</v>
      </c>
      <c r="Q32" s="68">
        <f>VLOOKUP($C$32,[2]ACHIEV!$B$10:$X$76,MATCH(Q$11,$E$11:$Y$11,0)+2,FALSE)</f>
        <v>0.63063487292644704</v>
      </c>
      <c r="R32" s="68">
        <f>VLOOKUP($C$32,[2]ACHIEV!$B$10:$X$76,MATCH(R$11,$E$11:$Y$11,0)+2,FALSE)</f>
        <v>0.7241560234206913</v>
      </c>
      <c r="S32" s="68">
        <f>VLOOKUP($C$32,[2]ACHIEV!$B$10:$X$76,MATCH(S$11,$E$11:$Y$11,0)+2,FALSE)</f>
        <v>0.80638203131755359</v>
      </c>
      <c r="T32" s="68">
        <f>VLOOKUP($C$32,[2]ACHIEV!$B$10:$X$76,MATCH(T$11,$E$11:$Y$11,0)+2,FALSE)</f>
        <v>0.87331559734491926</v>
      </c>
      <c r="U32" s="68">
        <f>VLOOKUP($C$32,[2]ACHIEV!$B$10:$X$76,MATCH(U$11,$E$11:$Y$11,0)+2,FALSE)</f>
        <v>0.92334516248836807</v>
      </c>
      <c r="V32" s="68">
        <f>VLOOKUP($C$32,[2]ACHIEV!$B$10:$X$76,MATCH(V$11,$E$11:$Y$11,0)+2,FALSE)</f>
        <v>0.95737002770730018</v>
      </c>
      <c r="W32" s="68">
        <f>VLOOKUP($C$32,[2]ACHIEV!$B$10:$X$76,MATCH(W$11,$E$11:$Y$11,0)+2,FALSE)</f>
        <v>0.97821608704807483</v>
      </c>
      <c r="X32" s="68">
        <f>VLOOKUP($C$32,[2]ACHIEV!$B$10:$X$76,MATCH(X$11,$E$11:$Y$11,0)+2,FALSE)</f>
        <v>0.98821608704807484</v>
      </c>
      <c r="Y32" s="68"/>
      <c r="AA32" s="88">
        <v>0.85</v>
      </c>
    </row>
    <row r="33" spans="1:80">
      <c r="C33" s="9" t="str">
        <f>C23</f>
        <v>Single Family</v>
      </c>
      <c r="E33" s="39">
        <f ca="1">E23*E$32*$AA$32</f>
        <v>1.895990371878429</v>
      </c>
      <c r="F33" s="39">
        <f t="shared" ref="F33:X36" ca="1" si="9">F23*F$32*$AA$32</f>
        <v>5.4388706447287349</v>
      </c>
      <c r="G33" s="39">
        <f t="shared" ca="1" si="9"/>
        <v>11.256232200776942</v>
      </c>
      <c r="H33" s="39">
        <f t="shared" ca="1" si="9"/>
        <v>20.491451770724368</v>
      </c>
      <c r="I33" s="39">
        <f t="shared" ca="1" si="9"/>
        <v>34.122648288575007</v>
      </c>
      <c r="J33" s="39">
        <f t="shared" ca="1" si="9"/>
        <v>51.864999867453108</v>
      </c>
      <c r="K33" s="39">
        <f t="shared" ca="1" si="9"/>
        <v>76.01179071451763</v>
      </c>
      <c r="L33" s="39">
        <f t="shared" ca="1" si="9"/>
        <v>108.66550834083198</v>
      </c>
      <c r="M33" s="39">
        <f t="shared" ca="1" si="9"/>
        <v>147.96036797426433</v>
      </c>
      <c r="N33" s="39">
        <f t="shared" ca="1" si="9"/>
        <v>199.09631340955039</v>
      </c>
      <c r="O33" s="39">
        <f t="shared" ca="1" si="9"/>
        <v>255.28762134175381</v>
      </c>
      <c r="P33" s="39">
        <f t="shared" ca="1" si="9"/>
        <v>309.55945301521058</v>
      </c>
      <c r="Q33" s="39">
        <f t="shared" ca="1" si="9"/>
        <v>357.61728361335537</v>
      </c>
      <c r="R33" s="39">
        <f t="shared" ca="1" si="9"/>
        <v>411.07532764008801</v>
      </c>
      <c r="S33" s="39">
        <f t="shared" ca="1" si="9"/>
        <v>463.09240388250743</v>
      </c>
      <c r="T33" s="39">
        <f t="shared" ca="1" si="9"/>
        <v>499.39184855414391</v>
      </c>
      <c r="U33" s="39">
        <f t="shared" ca="1" si="9"/>
        <v>510.53367334000018</v>
      </c>
      <c r="V33" s="39">
        <f t="shared" ca="1" si="9"/>
        <v>528.44075663023182</v>
      </c>
      <c r="W33" s="39">
        <f t="shared" ca="1" si="9"/>
        <v>541.31841891196314</v>
      </c>
      <c r="X33" s="39">
        <f t="shared" ca="1" si="9"/>
        <v>550.56466139750239</v>
      </c>
      <c r="Y33" s="39"/>
      <c r="AA33" s="39">
        <f t="shared" ref="AA33:AA36" ca="1" si="10">SUM(E33:Y33)</f>
        <v>5083.6856219100573</v>
      </c>
    </row>
    <row r="34" spans="1:80">
      <c r="C34" s="9" t="str">
        <f>C24</f>
        <v>Multifamily - Low Rise</v>
      </c>
      <c r="E34" s="39">
        <f t="shared" ref="E34:T36" ca="1" si="11">E24*E$32*$AA$32</f>
        <v>0</v>
      </c>
      <c r="F34" s="39">
        <f t="shared" ca="1" si="11"/>
        <v>0</v>
      </c>
      <c r="G34" s="39">
        <f t="shared" ca="1" si="11"/>
        <v>0</v>
      </c>
      <c r="H34" s="39">
        <f t="shared" ca="1" si="11"/>
        <v>0</v>
      </c>
      <c r="I34" s="39">
        <f t="shared" ca="1" si="11"/>
        <v>0</v>
      </c>
      <c r="J34" s="39">
        <f t="shared" ca="1" si="11"/>
        <v>0</v>
      </c>
      <c r="K34" s="39">
        <f t="shared" ca="1" si="11"/>
        <v>0</v>
      </c>
      <c r="L34" s="39">
        <f t="shared" ca="1" si="11"/>
        <v>0</v>
      </c>
      <c r="M34" s="39">
        <f t="shared" ca="1" si="11"/>
        <v>0</v>
      </c>
      <c r="N34" s="39">
        <f t="shared" ca="1" si="11"/>
        <v>0</v>
      </c>
      <c r="O34" s="39">
        <f t="shared" ca="1" si="11"/>
        <v>0</v>
      </c>
      <c r="P34" s="39">
        <f t="shared" ca="1" si="11"/>
        <v>0</v>
      </c>
      <c r="Q34" s="39">
        <f t="shared" ca="1" si="11"/>
        <v>0</v>
      </c>
      <c r="R34" s="39">
        <f t="shared" ca="1" si="11"/>
        <v>0</v>
      </c>
      <c r="S34" s="39">
        <f t="shared" ca="1" si="11"/>
        <v>0</v>
      </c>
      <c r="T34" s="39">
        <f t="shared" ca="1" si="11"/>
        <v>0</v>
      </c>
      <c r="U34" s="39">
        <f t="shared" ca="1" si="9"/>
        <v>0</v>
      </c>
      <c r="V34" s="39">
        <f t="shared" ca="1" si="9"/>
        <v>0</v>
      </c>
      <c r="W34" s="39">
        <f t="shared" ca="1" si="9"/>
        <v>0</v>
      </c>
      <c r="X34" s="39">
        <f t="shared" ca="1" si="9"/>
        <v>0</v>
      </c>
      <c r="Y34" s="39"/>
      <c r="AA34" s="39">
        <f t="shared" ca="1" si="10"/>
        <v>0</v>
      </c>
    </row>
    <row r="35" spans="1:80">
      <c r="C35" s="9" t="s">
        <v>50</v>
      </c>
      <c r="E35" s="39">
        <f t="shared" ca="1" si="11"/>
        <v>0</v>
      </c>
      <c r="F35" s="39">
        <f t="shared" ca="1" si="9"/>
        <v>0</v>
      </c>
      <c r="G35" s="39">
        <f t="shared" ca="1" si="9"/>
        <v>0</v>
      </c>
      <c r="H35" s="39">
        <f t="shared" ca="1" si="9"/>
        <v>0</v>
      </c>
      <c r="I35" s="39">
        <f t="shared" ca="1" si="9"/>
        <v>0</v>
      </c>
      <c r="J35" s="39">
        <f t="shared" ca="1" si="9"/>
        <v>0</v>
      </c>
      <c r="K35" s="39">
        <f t="shared" ca="1" si="9"/>
        <v>0</v>
      </c>
      <c r="L35" s="39">
        <f t="shared" ca="1" si="9"/>
        <v>0</v>
      </c>
      <c r="M35" s="39">
        <f t="shared" ca="1" si="9"/>
        <v>0</v>
      </c>
      <c r="N35" s="39">
        <f t="shared" ca="1" si="9"/>
        <v>0</v>
      </c>
      <c r="O35" s="39">
        <f t="shared" ca="1" si="9"/>
        <v>0</v>
      </c>
      <c r="P35" s="39">
        <f t="shared" ca="1" si="9"/>
        <v>0</v>
      </c>
      <c r="Q35" s="39">
        <f t="shared" ca="1" si="9"/>
        <v>0</v>
      </c>
      <c r="R35" s="39">
        <f t="shared" ca="1" si="9"/>
        <v>0</v>
      </c>
      <c r="S35" s="39">
        <f t="shared" ca="1" si="9"/>
        <v>0</v>
      </c>
      <c r="T35" s="39">
        <f t="shared" ca="1" si="9"/>
        <v>0</v>
      </c>
      <c r="U35" s="39">
        <f t="shared" ca="1" si="9"/>
        <v>0</v>
      </c>
      <c r="V35" s="39">
        <f t="shared" ca="1" si="9"/>
        <v>0</v>
      </c>
      <c r="W35" s="39">
        <f t="shared" ca="1" si="9"/>
        <v>0</v>
      </c>
      <c r="X35" s="39">
        <f t="shared" ca="1" si="9"/>
        <v>0</v>
      </c>
      <c r="Y35" s="39"/>
      <c r="AA35" s="39">
        <f t="shared" ca="1" si="10"/>
        <v>0</v>
      </c>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row>
    <row r="36" spans="1:80">
      <c r="C36" s="9" t="str">
        <f>C26</f>
        <v>Manufactured</v>
      </c>
      <c r="E36" s="39">
        <f t="shared" ca="1" si="11"/>
        <v>0</v>
      </c>
      <c r="F36" s="39">
        <f t="shared" ca="1" si="9"/>
        <v>0</v>
      </c>
      <c r="G36" s="39">
        <f t="shared" ca="1" si="9"/>
        <v>0</v>
      </c>
      <c r="H36" s="39">
        <f t="shared" ca="1" si="9"/>
        <v>0</v>
      </c>
      <c r="I36" s="39">
        <f t="shared" ca="1" si="9"/>
        <v>0</v>
      </c>
      <c r="J36" s="39">
        <f t="shared" ca="1" si="9"/>
        <v>0</v>
      </c>
      <c r="K36" s="39">
        <f t="shared" ca="1" si="9"/>
        <v>0</v>
      </c>
      <c r="L36" s="39">
        <f t="shared" ca="1" si="9"/>
        <v>0</v>
      </c>
      <c r="M36" s="39">
        <f t="shared" ca="1" si="9"/>
        <v>0</v>
      </c>
      <c r="N36" s="39">
        <f t="shared" ca="1" si="9"/>
        <v>0</v>
      </c>
      <c r="O36" s="39">
        <f t="shared" ca="1" si="9"/>
        <v>0</v>
      </c>
      <c r="P36" s="39">
        <f t="shared" ca="1" si="9"/>
        <v>0</v>
      </c>
      <c r="Q36" s="39">
        <f t="shared" ca="1" si="9"/>
        <v>0</v>
      </c>
      <c r="R36" s="39">
        <f t="shared" ca="1" si="9"/>
        <v>0</v>
      </c>
      <c r="S36" s="39">
        <f t="shared" ca="1" si="9"/>
        <v>0</v>
      </c>
      <c r="T36" s="39">
        <f t="shared" ca="1" si="9"/>
        <v>0</v>
      </c>
      <c r="U36" s="39">
        <f t="shared" ca="1" si="9"/>
        <v>0</v>
      </c>
      <c r="V36" s="39">
        <f t="shared" ca="1" si="9"/>
        <v>0</v>
      </c>
      <c r="W36" s="39">
        <f t="shared" ca="1" si="9"/>
        <v>0</v>
      </c>
      <c r="X36" s="39">
        <f t="shared" ca="1" si="9"/>
        <v>0</v>
      </c>
      <c r="Y36" s="39"/>
      <c r="AA36" s="39">
        <f t="shared" ca="1" si="10"/>
        <v>0</v>
      </c>
    </row>
    <row r="37" spans="1:80">
      <c r="E37" s="39"/>
      <c r="F37" s="39"/>
      <c r="G37" s="39"/>
      <c r="H37" s="39"/>
      <c r="I37" s="39"/>
      <c r="J37" s="39"/>
      <c r="K37" s="39"/>
      <c r="L37" s="39"/>
      <c r="M37" s="39"/>
      <c r="N37" s="39"/>
      <c r="O37" s="39"/>
      <c r="P37" s="39"/>
      <c r="Q37" s="39"/>
      <c r="R37" s="39"/>
      <c r="S37" s="39"/>
      <c r="T37" s="39"/>
      <c r="U37" s="39"/>
      <c r="V37" s="39"/>
      <c r="W37" s="39"/>
      <c r="X37" s="39"/>
      <c r="Y37" s="39"/>
    </row>
    <row r="38" spans="1:80">
      <c r="E38" s="39">
        <f t="shared" ref="E38:X38" ca="1" si="12">SUM(E33:E36)</f>
        <v>1.895990371878429</v>
      </c>
      <c r="F38" s="39">
        <f t="shared" ca="1" si="12"/>
        <v>5.4388706447287349</v>
      </c>
      <c r="G38" s="39">
        <f t="shared" ca="1" si="12"/>
        <v>11.256232200776942</v>
      </c>
      <c r="H38" s="39">
        <f t="shared" ca="1" si="12"/>
        <v>20.491451770724368</v>
      </c>
      <c r="I38" s="39">
        <f t="shared" ca="1" si="12"/>
        <v>34.122648288575007</v>
      </c>
      <c r="J38" s="39">
        <f t="shared" ca="1" si="12"/>
        <v>51.864999867453108</v>
      </c>
      <c r="K38" s="39">
        <f t="shared" ca="1" si="12"/>
        <v>76.01179071451763</v>
      </c>
      <c r="L38" s="39">
        <f t="shared" ca="1" si="12"/>
        <v>108.66550834083198</v>
      </c>
      <c r="M38" s="39">
        <f t="shared" ca="1" si="12"/>
        <v>147.96036797426433</v>
      </c>
      <c r="N38" s="39">
        <f t="shared" ca="1" si="12"/>
        <v>199.09631340955039</v>
      </c>
      <c r="O38" s="39">
        <f t="shared" ca="1" si="12"/>
        <v>255.28762134175381</v>
      </c>
      <c r="P38" s="39">
        <f t="shared" ca="1" si="12"/>
        <v>309.55945301521058</v>
      </c>
      <c r="Q38" s="39">
        <f t="shared" ca="1" si="12"/>
        <v>357.61728361335537</v>
      </c>
      <c r="R38" s="39">
        <f t="shared" ca="1" si="12"/>
        <v>411.07532764008801</v>
      </c>
      <c r="S38" s="39">
        <f t="shared" ca="1" si="12"/>
        <v>463.09240388250743</v>
      </c>
      <c r="T38" s="39">
        <f t="shared" ca="1" si="12"/>
        <v>499.39184855414391</v>
      </c>
      <c r="U38" s="39">
        <f t="shared" ca="1" si="12"/>
        <v>510.53367334000018</v>
      </c>
      <c r="V38" s="39">
        <f t="shared" ca="1" si="12"/>
        <v>528.44075663023182</v>
      </c>
      <c r="W38" s="39">
        <f t="shared" ca="1" si="12"/>
        <v>541.31841891196314</v>
      </c>
      <c r="X38" s="39">
        <f t="shared" ca="1" si="12"/>
        <v>550.56466139750239</v>
      </c>
      <c r="Y38" s="39"/>
      <c r="AA38" s="39">
        <f ca="1">SUM(E38:Y38)</f>
        <v>5083.6856219100573</v>
      </c>
    </row>
    <row r="40" spans="1:80">
      <c r="AA40"/>
      <c r="AB40"/>
      <c r="AC40"/>
      <c r="AD40"/>
    </row>
    <row r="41" spans="1:80" ht="15">
      <c r="A41" s="55" t="s">
        <v>61</v>
      </c>
      <c r="C41" s="64" t="str">
        <f>C8</f>
        <v>GSHP</v>
      </c>
      <c r="D41" s="64"/>
      <c r="E41" s="9" t="s">
        <v>167</v>
      </c>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row>
    <row r="42" spans="1:80" ht="15">
      <c r="A42" s="64" t="s">
        <v>62</v>
      </c>
      <c r="B42" s="64" t="s">
        <v>170</v>
      </c>
      <c r="C42" s="64">
        <v>1</v>
      </c>
      <c r="D42" s="64"/>
      <c r="E42" s="58">
        <f t="shared" ref="E42:X42" si="13">E11</f>
        <v>2016</v>
      </c>
      <c r="F42" s="59">
        <f t="shared" si="13"/>
        <v>2017</v>
      </c>
      <c r="G42" s="59">
        <f t="shared" si="13"/>
        <v>2018</v>
      </c>
      <c r="H42" s="59">
        <f t="shared" si="13"/>
        <v>2019</v>
      </c>
      <c r="I42" s="59">
        <f t="shared" si="13"/>
        <v>2020</v>
      </c>
      <c r="J42" s="59">
        <f t="shared" si="13"/>
        <v>2021</v>
      </c>
      <c r="K42" s="59">
        <f t="shared" si="13"/>
        <v>2022</v>
      </c>
      <c r="L42" s="59">
        <f t="shared" si="13"/>
        <v>2023</v>
      </c>
      <c r="M42" s="59">
        <f t="shared" si="13"/>
        <v>2024</v>
      </c>
      <c r="N42" s="59">
        <f t="shared" si="13"/>
        <v>2025</v>
      </c>
      <c r="O42" s="59">
        <f t="shared" si="13"/>
        <v>2026</v>
      </c>
      <c r="P42" s="59">
        <f t="shared" si="13"/>
        <v>2027</v>
      </c>
      <c r="Q42" s="59">
        <f t="shared" si="13"/>
        <v>2028</v>
      </c>
      <c r="R42" s="59">
        <f t="shared" si="13"/>
        <v>2029</v>
      </c>
      <c r="S42" s="59">
        <f t="shared" si="13"/>
        <v>2030</v>
      </c>
      <c r="T42" s="59">
        <f t="shared" si="13"/>
        <v>2031</v>
      </c>
      <c r="U42" s="59">
        <f t="shared" si="13"/>
        <v>2032</v>
      </c>
      <c r="V42" s="59">
        <f t="shared" si="13"/>
        <v>2033</v>
      </c>
      <c r="W42" s="59">
        <f t="shared" si="13"/>
        <v>2034</v>
      </c>
      <c r="X42" s="59">
        <f t="shared" si="13"/>
        <v>2035</v>
      </c>
      <c r="Y42" s="60" t="s">
        <v>59</v>
      </c>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row>
    <row r="43" spans="1:80" ht="15">
      <c r="A43" s="64" t="str">
        <f>M_Input_Out!C3</f>
        <v>Busbar Savings</v>
      </c>
      <c r="B43" s="64" t="s">
        <v>63</v>
      </c>
      <c r="C43" s="64" t="s">
        <v>64</v>
      </c>
      <c r="D43" s="64" t="s">
        <v>65</v>
      </c>
      <c r="E43" s="61" t="str">
        <f>CONCATENATE("aMW_",E$11)</f>
        <v>aMW_2016</v>
      </c>
      <c r="F43" s="62" t="str">
        <f t="shared" ref="F43:X43" si="14">CONCATENATE("aMW_",F$11)</f>
        <v>aMW_2017</v>
      </c>
      <c r="G43" s="62" t="str">
        <f t="shared" si="14"/>
        <v>aMW_2018</v>
      </c>
      <c r="H43" s="62" t="str">
        <f t="shared" si="14"/>
        <v>aMW_2019</v>
      </c>
      <c r="I43" s="62" t="str">
        <f t="shared" si="14"/>
        <v>aMW_2020</v>
      </c>
      <c r="J43" s="62" t="str">
        <f t="shared" si="14"/>
        <v>aMW_2021</v>
      </c>
      <c r="K43" s="62" t="str">
        <f t="shared" si="14"/>
        <v>aMW_2022</v>
      </c>
      <c r="L43" s="62" t="str">
        <f t="shared" si="14"/>
        <v>aMW_2023</v>
      </c>
      <c r="M43" s="62" t="str">
        <f t="shared" si="14"/>
        <v>aMW_2024</v>
      </c>
      <c r="N43" s="62" t="str">
        <f t="shared" si="14"/>
        <v>aMW_2025</v>
      </c>
      <c r="O43" s="62" t="str">
        <f t="shared" si="14"/>
        <v>aMW_2026</v>
      </c>
      <c r="P43" s="62" t="str">
        <f t="shared" si="14"/>
        <v>aMW_2027</v>
      </c>
      <c r="Q43" s="62" t="str">
        <f t="shared" si="14"/>
        <v>aMW_2028</v>
      </c>
      <c r="R43" s="62" t="str">
        <f t="shared" si="14"/>
        <v>aMW_2029</v>
      </c>
      <c r="S43" s="62" t="str">
        <f t="shared" si="14"/>
        <v>aMW_2030</v>
      </c>
      <c r="T43" s="62" t="str">
        <f t="shared" si="14"/>
        <v>aMW_2031</v>
      </c>
      <c r="U43" s="62" t="str">
        <f t="shared" si="14"/>
        <v>aMW_2032</v>
      </c>
      <c r="V43" s="62" t="str">
        <f t="shared" si="14"/>
        <v>aMW_2033</v>
      </c>
      <c r="W43" s="62" t="str">
        <f t="shared" si="14"/>
        <v>aMW_2034</v>
      </c>
      <c r="X43" s="62" t="str">
        <f t="shared" si="14"/>
        <v>aMW_2035</v>
      </c>
      <c r="Y43" s="63" t="s">
        <v>59</v>
      </c>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row>
    <row r="44" spans="1:80">
      <c r="A44" s="57">
        <f t="shared" ref="A44:A47" si="15">VLOOKUP($D44,MeasureOutput,3,FALSE)</f>
        <v>3822.4043943278657</v>
      </c>
      <c r="B44" s="57">
        <f t="shared" ref="B44:B47" si="16">VLOOKUP($D44,MeasureOutput,11,FALSE)</f>
        <v>157.31156480020979</v>
      </c>
      <c r="C44" s="9" t="str">
        <f>C13</f>
        <v>Single Family</v>
      </c>
      <c r="D44" s="9" t="s">
        <v>1174</v>
      </c>
      <c r="E44" s="34">
        <f ca="1">VLOOKUP($C44,$C$33:$Y$36,E$31,FALSE)*$C$42*$A44/8760/1000*VLOOKUP(RIGHT($D44,7),Weighting!$B$14:$C$15,2,FALSE)</f>
        <v>1.4095127074913531E-5</v>
      </c>
      <c r="F44" s="34">
        <f ca="1">VLOOKUP($C44,$C$33:$Y$36,F$31,FALSE)*$C$42*$A44/8760/1000*VLOOKUP(RIGHT($D44,7),Weighting!$B$14:$C$15,2,FALSE)</f>
        <v>4.0433524356728086E-5</v>
      </c>
      <c r="G44" s="34">
        <f ca="1">VLOOKUP($C44,$C$33:$Y$36,G$31,FALSE)*$C$42*$A44/8760/1000*VLOOKUP(RIGHT($D44,7),Weighting!$B$14:$C$15,2,FALSE)</f>
        <v>8.3680816953461692E-5</v>
      </c>
      <c r="H44" s="34">
        <f ca="1">VLOOKUP($C44,$C$33:$Y$36,H$31,FALSE)*$C$42*$A44/8760/1000*VLOOKUP(RIGHT($D44,7),Weighting!$B$14:$C$15,2,FALSE)</f>
        <v>1.5233706929200676E-4</v>
      </c>
      <c r="I44" s="34">
        <f ca="1">VLOOKUP($C44,$C$33:$Y$36,I$31,FALSE)*$C$42*$A44/8760/1000*VLOOKUP(RIGHT($D44,7),Weighting!$B$14:$C$15,2,FALSE)</f>
        <v>2.5367379016990325E-4</v>
      </c>
      <c r="J44" s="34">
        <f ca="1">VLOOKUP($C44,$C$33:$Y$36,J$31,FALSE)*$C$42*$A44/8760/1000*VLOOKUP(RIGHT($D44,7),Weighting!$B$14:$C$15,2,FALSE)</f>
        <v>3.8557356340784176E-4</v>
      </c>
      <c r="K44" s="34">
        <f ca="1">VLOOKUP($C44,$C$33:$Y$36,K$31,FALSE)*$C$42*$A44/8760/1000*VLOOKUP(RIGHT($D44,7),Weighting!$B$14:$C$15,2,FALSE)</f>
        <v>5.6508506857626381E-4</v>
      </c>
      <c r="L44" s="34">
        <f ca="1">VLOOKUP($C44,$C$33:$Y$36,L$31,FALSE)*$C$42*$A44/8760/1000*VLOOKUP(RIGHT($D44,7),Weighting!$B$14:$C$15,2,FALSE)</f>
        <v>8.0783856893040839E-4</v>
      </c>
      <c r="M44" s="34">
        <f ca="1">VLOOKUP($C44,$C$33:$Y$36,M$31,FALSE)*$C$42*$A44/8760/1000*VLOOKUP(RIGHT($D44,7),Weighting!$B$14:$C$15,2,FALSE)</f>
        <v>1.0999634911552944E-3</v>
      </c>
      <c r="N44" s="34">
        <f ca="1">VLOOKUP($C44,$C$33:$Y$36,N$31,FALSE)*$C$42*$A44/8760/1000*VLOOKUP(RIGHT($D44,7),Weighting!$B$14:$C$15,2,FALSE)</f>
        <v>1.4801171352331968E-3</v>
      </c>
      <c r="O44" s="34">
        <f ca="1">VLOOKUP($C44,$C$33:$Y$36,O$31,FALSE)*$C$42*$A44/8760/1000*VLOOKUP(RIGHT($D44,7),Weighting!$B$14:$C$15,2,FALSE)</f>
        <v>1.8978532364061769E-3</v>
      </c>
      <c r="P44" s="34">
        <f ca="1">VLOOKUP($C44,$C$33:$Y$36,P$31,FALSE)*$C$42*$A44/8760/1000*VLOOKUP(RIGHT($D44,7),Weighting!$B$14:$C$15,2,FALSE)</f>
        <v>2.3013196122759062E-3</v>
      </c>
      <c r="Q44" s="34">
        <f ca="1">VLOOKUP($C44,$C$33:$Y$36,Q$31,FALSE)*$C$42*$A44/8760/1000*VLOOKUP(RIGHT($D44,7),Weighting!$B$14:$C$15,2,FALSE)</f>
        <v>2.6585900073541318E-3</v>
      </c>
      <c r="R44" s="34">
        <f ca="1">VLOOKUP($C44,$C$33:$Y$36,R$31,FALSE)*$C$42*$A44/8760/1000*VLOOKUP(RIGHT($D44,7),Weighting!$B$14:$C$15,2,FALSE)</f>
        <v>3.0560065422211313E-3</v>
      </c>
      <c r="S44" s="34">
        <f ca="1">VLOOKUP($C44,$C$33:$Y$36,S$31,FALSE)*$C$42*$A44/8760/1000*VLOOKUP(RIGHT($D44,7),Weighting!$B$14:$C$15,2,FALSE)</f>
        <v>3.4427106682426E-3</v>
      </c>
      <c r="T44" s="34">
        <f ca="1">VLOOKUP($C44,$C$33:$Y$36,T$31,FALSE)*$C$42*$A44/8760/1000*VLOOKUP(RIGHT($D44,7),Weighting!$B$14:$C$15,2,FALSE)</f>
        <v>3.7125671469380073E-3</v>
      </c>
      <c r="U44" s="34">
        <f ca="1">VLOOKUP($C44,$C$33:$Y$36,U$31,FALSE)*$C$42*$A44/8760/1000*VLOOKUP(RIGHT($D44,7),Weighting!$B$14:$C$15,2,FALSE)</f>
        <v>3.7953974389755532E-3</v>
      </c>
      <c r="V44" s="34">
        <f ca="1">VLOOKUP($C44,$C$33:$Y$36,V$31,FALSE)*$C$42*$A44/8760/1000*VLOOKUP(RIGHT($D44,7),Weighting!$B$14:$C$15,2,FALSE)</f>
        <v>3.9285218568315414E-3</v>
      </c>
      <c r="W44" s="34">
        <f ca="1">VLOOKUP($C44,$C$33:$Y$36,W$31,FALSE)*$C$42*$A44/8760/1000*VLOOKUP(RIGHT($D44,7),Weighting!$B$14:$C$15,2,FALSE)</f>
        <v>4.0242566711961277E-3</v>
      </c>
      <c r="X44" s="34">
        <f ca="1">VLOOKUP($C44,$C$33:$Y$36,X$31,FALSE)*$C$42*$A44/8760/1000*VLOOKUP(RIGHT($D44,7),Weighting!$B$14:$C$15,2,FALSE)</f>
        <v>4.0929948698347745E-3</v>
      </c>
      <c r="Y44" s="34">
        <f ca="1">SUM(E44:X44)</f>
        <v>3.7793016205425974E-2</v>
      </c>
      <c r="AA44" s="39">
        <f ca="1">SUM(E44:X44)</f>
        <v>3.7793016205425974E-2</v>
      </c>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row>
    <row r="45" spans="1:80">
      <c r="A45" s="57"/>
      <c r="B45" s="57"/>
      <c r="E45" s="34"/>
      <c r="F45" s="34"/>
      <c r="G45" s="34"/>
      <c r="H45" s="34"/>
      <c r="I45" s="34"/>
      <c r="J45" s="34"/>
      <c r="K45" s="34"/>
      <c r="L45" s="34"/>
      <c r="M45" s="34"/>
      <c r="N45" s="34"/>
      <c r="O45" s="34"/>
      <c r="P45" s="34"/>
      <c r="Q45" s="34"/>
      <c r="R45" s="34"/>
      <c r="S45" s="34"/>
      <c r="T45" s="34"/>
      <c r="U45" s="34"/>
      <c r="V45" s="34"/>
      <c r="W45" s="34"/>
      <c r="X45" s="34"/>
      <c r="Y45" s="34"/>
      <c r="AA45" s="39"/>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row>
    <row r="46" spans="1:80">
      <c r="A46" s="57"/>
      <c r="B46" s="57"/>
      <c r="E46" s="34"/>
      <c r="F46" s="34"/>
      <c r="G46" s="34"/>
      <c r="H46" s="34"/>
      <c r="I46" s="34"/>
      <c r="J46" s="34"/>
      <c r="K46" s="34"/>
      <c r="L46" s="34"/>
      <c r="M46" s="34"/>
      <c r="N46" s="34"/>
      <c r="O46" s="34"/>
      <c r="P46" s="34"/>
      <c r="Q46" s="34"/>
      <c r="R46" s="34"/>
      <c r="S46" s="34"/>
      <c r="T46" s="34"/>
      <c r="U46" s="34"/>
      <c r="V46" s="34"/>
      <c r="W46" s="34"/>
      <c r="X46" s="34"/>
      <c r="Y46" s="34"/>
      <c r="AA46" s="39"/>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row>
    <row r="47" spans="1:80">
      <c r="A47" s="57">
        <f t="shared" si="15"/>
        <v>2334.1470078520424</v>
      </c>
      <c r="B47" s="57">
        <f t="shared" si="16"/>
        <v>168.74734982295431</v>
      </c>
      <c r="C47" s="9" t="s">
        <v>48</v>
      </c>
      <c r="D47" s="9" t="s">
        <v>1177</v>
      </c>
      <c r="E47" s="34">
        <f ca="1">VLOOKUP($C47,$C$33:$Y$36,E$31,FALSE)*$C$42*$A47/8760/1000*VLOOKUP(RIGHT($D47,7),Weighting!$B$14:$C$15,2,FALSE)</f>
        <v>4.965892022333353E-4</v>
      </c>
      <c r="F47" s="34">
        <f ca="1">VLOOKUP($C47,$C$33:$Y$36,F$31,FALSE)*$C$42*$A47/8760/1000*VLOOKUP(RIGHT($D47,7),Weighting!$B$14:$C$15,2,FALSE)</f>
        <v>1.4245243407224059E-3</v>
      </c>
      <c r="G47" s="34">
        <f ca="1">VLOOKUP($C47,$C$33:$Y$36,G$31,FALSE)*$C$42*$A47/8760/1000*VLOOKUP(RIGHT($D47,7),Weighting!$B$14:$C$15,2,FALSE)</f>
        <v>2.9481813049499045E-3</v>
      </c>
      <c r="H47" s="34">
        <f ca="1">VLOOKUP($C47,$C$33:$Y$36,H$31,FALSE)*$C$42*$A47/8760/1000*VLOOKUP(RIGHT($D47,7),Weighting!$B$14:$C$15,2,FALSE)</f>
        <v>5.367028144423169E-3</v>
      </c>
      <c r="I47" s="34">
        <f ca="1">VLOOKUP($C47,$C$33:$Y$36,I$31,FALSE)*$C$42*$A47/8760/1000*VLOOKUP(RIGHT($D47,7),Weighting!$B$14:$C$15,2,FALSE)</f>
        <v>8.9372493357780906E-3</v>
      </c>
      <c r="J47" s="34">
        <f ca="1">VLOOKUP($C47,$C$33:$Y$36,J$31,FALSE)*$C$42*$A47/8760/1000*VLOOKUP(RIGHT($D47,7),Weighting!$B$14:$C$15,2,FALSE)</f>
        <v>1.3584245621718815E-2</v>
      </c>
      <c r="K47" s="34">
        <f ca="1">VLOOKUP($C47,$C$33:$Y$36,K$31,FALSE)*$C$42*$A47/8760/1000*VLOOKUP(RIGHT($D47,7),Weighting!$B$14:$C$15,2,FALSE)</f>
        <v>1.9908663604579668E-2</v>
      </c>
      <c r="L47" s="34">
        <f ca="1">VLOOKUP($C47,$C$33:$Y$36,L$31,FALSE)*$C$42*$A47/8760/1000*VLOOKUP(RIGHT($D47,7),Weighting!$B$14:$C$15,2,FALSE)</f>
        <v>2.8461177281080437E-2</v>
      </c>
      <c r="M47" s="34">
        <f ca="1">VLOOKUP($C47,$C$33:$Y$36,M$31,FALSE)*$C$42*$A47/8760/1000*VLOOKUP(RIGHT($D47,7),Weighting!$B$14:$C$15,2,FALSE)</f>
        <v>3.8753108762728417E-2</v>
      </c>
      <c r="N47" s="34">
        <f ca="1">VLOOKUP($C47,$C$33:$Y$36,N$31,FALSE)*$C$42*$A47/8760/1000*VLOOKUP(RIGHT($D47,7),Weighting!$B$14:$C$15,2,FALSE)</f>
        <v>5.21464037529333E-2</v>
      </c>
      <c r="O47" s="34">
        <f ca="1">VLOOKUP($C47,$C$33:$Y$36,O$31,FALSE)*$C$42*$A47/8760/1000*VLOOKUP(RIGHT($D47,7),Weighting!$B$14:$C$15,2,FALSE)</f>
        <v>6.6863776368520506E-2</v>
      </c>
      <c r="P47" s="34">
        <f ca="1">VLOOKUP($C47,$C$33:$Y$36,P$31,FALSE)*$C$42*$A47/8760/1000*VLOOKUP(RIGHT($D47,7),Weighting!$B$14:$C$15,2,FALSE)</f>
        <v>8.1078408464865262E-2</v>
      </c>
      <c r="Q47" s="34">
        <f ca="1">VLOOKUP($C47,$C$33:$Y$36,Q$31,FALSE)*$C$42*$A47/8760/1000*VLOOKUP(RIGHT($D47,7),Weighting!$B$14:$C$15,2,FALSE)</f>
        <v>9.3665497572366141E-2</v>
      </c>
      <c r="R47" s="34">
        <f ca="1">VLOOKUP($C47,$C$33:$Y$36,R$31,FALSE)*$C$42*$A47/8760/1000*VLOOKUP(RIGHT($D47,7),Weighting!$B$14:$C$15,2,FALSE)</f>
        <v>0.1076669860978004</v>
      </c>
      <c r="S47" s="34">
        <f ca="1">VLOOKUP($C47,$C$33:$Y$36,S$31,FALSE)*$C$42*$A47/8760/1000*VLOOKUP(RIGHT($D47,7),Weighting!$B$14:$C$15,2,FALSE)</f>
        <v>0.12129106287417231</v>
      </c>
      <c r="T47" s="34">
        <f ca="1">VLOOKUP($C47,$C$33:$Y$36,T$31,FALSE)*$C$42*$A47/8760/1000*VLOOKUP(RIGHT($D47,7),Weighting!$B$14:$C$15,2,FALSE)</f>
        <v>0.13079844884952516</v>
      </c>
      <c r="U47" s="34">
        <f ca="1">VLOOKUP($C47,$C$33:$Y$36,U$31,FALSE)*$C$42*$A47/8760/1000*VLOOKUP(RIGHT($D47,7),Weighting!$B$14:$C$15,2,FALSE)</f>
        <v>0.13371666508305505</v>
      </c>
      <c r="V47" s="34">
        <f ca="1">VLOOKUP($C47,$C$33:$Y$36,V$31,FALSE)*$C$42*$A47/8760/1000*VLOOKUP(RIGHT($D47,7),Weighting!$B$14:$C$15,2,FALSE)</f>
        <v>0.13840680715197912</v>
      </c>
      <c r="W47" s="34">
        <f ca="1">VLOOKUP($C47,$C$33:$Y$36,W$31,FALSE)*$C$42*$A47/8760/1000*VLOOKUP(RIGHT($D47,7),Weighting!$B$14:$C$15,2,FALSE)</f>
        <v>0.14177966607255452</v>
      </c>
      <c r="X47" s="34">
        <f ca="1">VLOOKUP($C47,$C$33:$Y$36,X$31,FALSE)*$C$42*$A47/8760/1000*VLOOKUP(RIGHT($D47,7),Weighting!$B$14:$C$15,2,FALSE)</f>
        <v>0.14420139998410436</v>
      </c>
      <c r="Y47" s="34">
        <f t="shared" ref="Y47" ca="1" si="17">SUM(E47:X47)</f>
        <v>1.3314958898700904</v>
      </c>
      <c r="AA47" s="39">
        <f ca="1">SUM(E47:X47)</f>
        <v>1.3314958898700904</v>
      </c>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row>
    <row r="48" spans="1:80">
      <c r="A48" s="57"/>
      <c r="B48" s="57"/>
      <c r="D48"/>
      <c r="E48" s="34"/>
      <c r="F48" s="34"/>
      <c r="G48" s="34"/>
      <c r="H48" s="34"/>
      <c r="I48" s="34"/>
      <c r="J48" s="34"/>
      <c r="K48" s="34"/>
      <c r="L48" s="34"/>
      <c r="M48" s="34"/>
      <c r="N48" s="34"/>
      <c r="O48" s="34"/>
      <c r="P48" s="34"/>
      <c r="Q48" s="34"/>
      <c r="R48" s="34"/>
      <c r="S48" s="34"/>
      <c r="T48" s="34"/>
      <c r="U48" s="34"/>
      <c r="V48" s="34"/>
      <c r="W48" s="34"/>
      <c r="X48" s="34"/>
      <c r="Y48" s="34"/>
      <c r="AA48" s="39"/>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row>
    <row r="49" spans="1:80">
      <c r="AA49" s="3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row>
    <row r="50" spans="1:80">
      <c r="B50" s="67">
        <f ca="1">SUMPRODUCT(B44:B47,AA44:AA47)/SUM(AA44:AA47)</f>
        <v>168.43171679126266</v>
      </c>
      <c r="E50" s="34">
        <f t="shared" ref="E50:Y50" ca="1" si="18">SUM(E44:E48)</f>
        <v>5.1068432930824882E-4</v>
      </c>
      <c r="F50" s="34">
        <f t="shared" ca="1" si="18"/>
        <v>1.464957865079134E-3</v>
      </c>
      <c r="G50" s="34">
        <f t="shared" ca="1" si="18"/>
        <v>3.0318621219033661E-3</v>
      </c>
      <c r="H50" s="34">
        <f t="shared" ca="1" si="18"/>
        <v>5.5193652137151758E-3</v>
      </c>
      <c r="I50" s="34">
        <f t="shared" ca="1" si="18"/>
        <v>9.1909231259479935E-3</v>
      </c>
      <c r="J50" s="34">
        <f t="shared" ca="1" si="18"/>
        <v>1.3969819185126657E-2</v>
      </c>
      <c r="K50" s="34">
        <f t="shared" ca="1" si="18"/>
        <v>2.047374867315593E-2</v>
      </c>
      <c r="L50" s="34">
        <f t="shared" ca="1" si="18"/>
        <v>2.9269015850010845E-2</v>
      </c>
      <c r="M50" s="34">
        <f t="shared" ca="1" si="18"/>
        <v>3.9853072253883709E-2</v>
      </c>
      <c r="N50" s="34">
        <f t="shared" ca="1" si="18"/>
        <v>5.3626520888166496E-2</v>
      </c>
      <c r="O50" s="34">
        <f t="shared" ca="1" si="18"/>
        <v>6.8761629604926683E-2</v>
      </c>
      <c r="P50" s="34">
        <f t="shared" ca="1" si="18"/>
        <v>8.3379728077141169E-2</v>
      </c>
      <c r="Q50" s="34">
        <f t="shared" ca="1" si="18"/>
        <v>9.6324087579720274E-2</v>
      </c>
      <c r="R50" s="34">
        <f t="shared" ca="1" si="18"/>
        <v>0.11072299264002153</v>
      </c>
      <c r="S50" s="34">
        <f t="shared" ca="1" si="18"/>
        <v>0.12473377354241491</v>
      </c>
      <c r="T50" s="34">
        <f t="shared" ca="1" si="18"/>
        <v>0.13451101599646317</v>
      </c>
      <c r="U50" s="34">
        <f t="shared" ca="1" si="18"/>
        <v>0.1375120625220306</v>
      </c>
      <c r="V50" s="34">
        <f t="shared" ca="1" si="18"/>
        <v>0.14233532900881066</v>
      </c>
      <c r="W50" s="34">
        <f t="shared" ca="1" si="18"/>
        <v>0.14580392274375065</v>
      </c>
      <c r="X50" s="34">
        <f t="shared" ca="1" si="18"/>
        <v>0.14829439485393914</v>
      </c>
      <c r="Y50" s="34">
        <f t="shared" ca="1" si="18"/>
        <v>1.3692889060755165</v>
      </c>
      <c r="AA50" s="39">
        <f ca="1">SUM(E50:X50)</f>
        <v>1.3692889060755165</v>
      </c>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row>
    <row r="51" spans="1:80">
      <c r="E51" s="34">
        <f ca="1">E50</f>
        <v>5.1068432930824882E-4</v>
      </c>
      <c r="F51" s="34">
        <f ca="1">F50+E51</f>
        <v>1.9756421943873826E-3</v>
      </c>
      <c r="G51" s="34">
        <f t="shared" ref="G51:X51" ca="1" si="19">G50+F51</f>
        <v>5.0075043162907482E-3</v>
      </c>
      <c r="H51" s="34">
        <f t="shared" ca="1" si="19"/>
        <v>1.0526869530005924E-2</v>
      </c>
      <c r="I51" s="34">
        <f t="shared" ca="1" si="19"/>
        <v>1.9717792655953918E-2</v>
      </c>
      <c r="J51" s="34">
        <f t="shared" ca="1" si="19"/>
        <v>3.3687611841080572E-2</v>
      </c>
      <c r="K51" s="34">
        <f t="shared" ca="1" si="19"/>
        <v>5.4161360514236506E-2</v>
      </c>
      <c r="L51" s="34">
        <f t="shared" ca="1" si="19"/>
        <v>8.3430376364247355E-2</v>
      </c>
      <c r="M51" s="34">
        <f t="shared" ca="1" si="19"/>
        <v>0.12328344861813106</v>
      </c>
      <c r="N51" s="34">
        <f t="shared" ca="1" si="19"/>
        <v>0.17690996950629756</v>
      </c>
      <c r="O51" s="34">
        <f t="shared" ca="1" si="19"/>
        <v>0.24567159911122424</v>
      </c>
      <c r="P51" s="34">
        <f t="shared" ca="1" si="19"/>
        <v>0.32905132718836538</v>
      </c>
      <c r="Q51" s="34">
        <f t="shared" ca="1" si="19"/>
        <v>0.42537541476808566</v>
      </c>
      <c r="R51" s="34">
        <f t="shared" ca="1" si="19"/>
        <v>0.53609840740810721</v>
      </c>
      <c r="S51" s="34">
        <f t="shared" ca="1" si="19"/>
        <v>0.6608321809505221</v>
      </c>
      <c r="T51" s="34">
        <f t="shared" ca="1" si="19"/>
        <v>0.7953431969469853</v>
      </c>
      <c r="U51" s="34">
        <f t="shared" ca="1" si="19"/>
        <v>0.93285525946901593</v>
      </c>
      <c r="V51" s="34">
        <f t="shared" ca="1" si="19"/>
        <v>1.0751905884778266</v>
      </c>
      <c r="W51" s="34">
        <f t="shared" ca="1" si="19"/>
        <v>1.2209945112215772</v>
      </c>
      <c r="X51" s="34">
        <f t="shared" ca="1" si="19"/>
        <v>1.3692889060755165</v>
      </c>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row>
    <row r="52" spans="1:80">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row>
    <row r="53" spans="1:80" ht="15">
      <c r="A53" s="55" t="s">
        <v>66</v>
      </c>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row>
    <row r="54" spans="1:80" ht="15">
      <c r="E54" s="58">
        <f t="shared" ref="E54:X54" si="20">E11</f>
        <v>2016</v>
      </c>
      <c r="F54" s="59">
        <f t="shared" si="20"/>
        <v>2017</v>
      </c>
      <c r="G54" s="59">
        <f t="shared" si="20"/>
        <v>2018</v>
      </c>
      <c r="H54" s="59">
        <f t="shared" si="20"/>
        <v>2019</v>
      </c>
      <c r="I54" s="59">
        <f t="shared" si="20"/>
        <v>2020</v>
      </c>
      <c r="J54" s="59">
        <f t="shared" si="20"/>
        <v>2021</v>
      </c>
      <c r="K54" s="59">
        <f t="shared" si="20"/>
        <v>2022</v>
      </c>
      <c r="L54" s="59">
        <f t="shared" si="20"/>
        <v>2023</v>
      </c>
      <c r="M54" s="59">
        <f t="shared" si="20"/>
        <v>2024</v>
      </c>
      <c r="N54" s="59">
        <f t="shared" si="20"/>
        <v>2025</v>
      </c>
      <c r="O54" s="59">
        <f t="shared" si="20"/>
        <v>2026</v>
      </c>
      <c r="P54" s="59">
        <f t="shared" si="20"/>
        <v>2027</v>
      </c>
      <c r="Q54" s="59">
        <f t="shared" si="20"/>
        <v>2028</v>
      </c>
      <c r="R54" s="59">
        <f t="shared" si="20"/>
        <v>2029</v>
      </c>
      <c r="S54" s="59">
        <f t="shared" si="20"/>
        <v>2030</v>
      </c>
      <c r="T54" s="59">
        <f t="shared" si="20"/>
        <v>2031</v>
      </c>
      <c r="U54" s="59">
        <f t="shared" si="20"/>
        <v>2032</v>
      </c>
      <c r="V54" s="59">
        <f t="shared" si="20"/>
        <v>2033</v>
      </c>
      <c r="W54" s="59">
        <f t="shared" si="20"/>
        <v>2034</v>
      </c>
      <c r="X54" s="59">
        <f t="shared" si="20"/>
        <v>2035</v>
      </c>
      <c r="Y54" s="60" t="s">
        <v>59</v>
      </c>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row>
    <row r="55" spans="1:80" ht="15">
      <c r="C55" s="49" t="s">
        <v>63</v>
      </c>
      <c r="D55" s="49" t="s">
        <v>63</v>
      </c>
      <c r="E55" s="61" t="str">
        <f>CONCATENATE("aMW_",E$11)</f>
        <v>aMW_2016</v>
      </c>
      <c r="F55" s="62" t="str">
        <f t="shared" ref="F55:X55" si="21">CONCATENATE("aMW_",F$11)</f>
        <v>aMW_2017</v>
      </c>
      <c r="G55" s="62" t="str">
        <f t="shared" si="21"/>
        <v>aMW_2018</v>
      </c>
      <c r="H55" s="62" t="str">
        <f t="shared" si="21"/>
        <v>aMW_2019</v>
      </c>
      <c r="I55" s="62" t="str">
        <f t="shared" si="21"/>
        <v>aMW_2020</v>
      </c>
      <c r="J55" s="62" t="str">
        <f t="shared" si="21"/>
        <v>aMW_2021</v>
      </c>
      <c r="K55" s="62" t="str">
        <f t="shared" si="21"/>
        <v>aMW_2022</v>
      </c>
      <c r="L55" s="62" t="str">
        <f t="shared" si="21"/>
        <v>aMW_2023</v>
      </c>
      <c r="M55" s="62" t="str">
        <f t="shared" si="21"/>
        <v>aMW_2024</v>
      </c>
      <c r="N55" s="62" t="str">
        <f t="shared" si="21"/>
        <v>aMW_2025</v>
      </c>
      <c r="O55" s="62" t="str">
        <f t="shared" si="21"/>
        <v>aMW_2026</v>
      </c>
      <c r="P55" s="62" t="str">
        <f t="shared" si="21"/>
        <v>aMW_2027</v>
      </c>
      <c r="Q55" s="62" t="str">
        <f t="shared" si="21"/>
        <v>aMW_2028</v>
      </c>
      <c r="R55" s="62" t="str">
        <f t="shared" si="21"/>
        <v>aMW_2029</v>
      </c>
      <c r="S55" s="62" t="str">
        <f t="shared" si="21"/>
        <v>aMW_2030</v>
      </c>
      <c r="T55" s="62" t="str">
        <f t="shared" si="21"/>
        <v>aMW_2031</v>
      </c>
      <c r="U55" s="62" t="str">
        <f t="shared" si="21"/>
        <v>aMW_2032</v>
      </c>
      <c r="V55" s="62" t="str">
        <f t="shared" si="21"/>
        <v>aMW_2033</v>
      </c>
      <c r="W55" s="62" t="str">
        <f t="shared" si="21"/>
        <v>aMW_2034</v>
      </c>
      <c r="X55" s="62" t="str">
        <f t="shared" si="21"/>
        <v>aMW_2035</v>
      </c>
      <c r="Y55" s="63" t="s">
        <v>59</v>
      </c>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row>
    <row r="56" spans="1:80">
      <c r="B56" s="9" t="s">
        <v>67</v>
      </c>
      <c r="C56" s="50" t="s">
        <v>68</v>
      </c>
      <c r="D56" s="50" t="s">
        <v>69</v>
      </c>
      <c r="E56" s="34">
        <f>DSUM($B$43:$Y$48,E$43,$C$55:$D56)</f>
        <v>0</v>
      </c>
      <c r="F56" s="34">
        <f>DSUM($B$43:$Y$48,F$43,$C$55:$D56)</f>
        <v>0</v>
      </c>
      <c r="G56" s="34">
        <f>DSUM($B$43:$Y$48,G$43,$C$55:$D56)</f>
        <v>0</v>
      </c>
      <c r="H56" s="34">
        <f>DSUM($B$43:$Y$48,H$43,$C$55:$D56)</f>
        <v>0</v>
      </c>
      <c r="I56" s="34">
        <f>DSUM($B$43:$Y$48,I$43,$C$55:$D56)</f>
        <v>0</v>
      </c>
      <c r="J56" s="34">
        <f>DSUM($B$43:$Y$48,J$43,$C$55:$D56)</f>
        <v>0</v>
      </c>
      <c r="K56" s="34">
        <f>DSUM($B$43:$Y$48,K$43,$C$55:$D56)</f>
        <v>0</v>
      </c>
      <c r="L56" s="34">
        <f>DSUM($B$43:$Y$48,L$43,$C$55:$D56)</f>
        <v>0</v>
      </c>
      <c r="M56" s="34">
        <f>DSUM($B$43:$Y$48,M$43,$C$55:$D56)</f>
        <v>0</v>
      </c>
      <c r="N56" s="34">
        <f>DSUM($B$43:$Y$48,N$43,$C$55:$D56)</f>
        <v>0</v>
      </c>
      <c r="O56" s="34">
        <f>DSUM($B$43:$Y$48,O$43,$C$55:$D56)</f>
        <v>0</v>
      </c>
      <c r="P56" s="34">
        <f>DSUM($B$43:$Y$48,P$43,$C$55:$D56)</f>
        <v>0</v>
      </c>
      <c r="Q56" s="34">
        <f>DSUM($B$43:$Y$48,Q$43,$C$55:$D56)</f>
        <v>0</v>
      </c>
      <c r="R56" s="34">
        <f>DSUM($B$43:$Y$48,R$43,$C$55:$D56)</f>
        <v>0</v>
      </c>
      <c r="S56" s="34">
        <f>DSUM($B$43:$Y$48,S$43,$C$55:$D56)</f>
        <v>0</v>
      </c>
      <c r="T56" s="34">
        <f>DSUM($B$43:$Y$48,T$43,$C$55:$D56)</f>
        <v>0</v>
      </c>
      <c r="U56" s="34">
        <f>DSUM($B$43:$Y$48,U$43,$C$55:$D56)</f>
        <v>0</v>
      </c>
      <c r="V56" s="34">
        <f>DSUM($B$43:$Y$48,V$43,$C$55:$D56)</f>
        <v>0</v>
      </c>
      <c r="W56" s="34">
        <f>DSUM($B$43:$Y$48,W$43,$C$55:$D56)</f>
        <v>0</v>
      </c>
      <c r="X56" s="34">
        <f>DSUM($B$43:$Y$48,X$43,$C$55:$D56)</f>
        <v>0</v>
      </c>
      <c r="Y56" s="34">
        <f>DSUM($B$43:$Y$48,Y$43,$C$55:$D56)</f>
        <v>0</v>
      </c>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row>
    <row r="57" spans="1:80">
      <c r="B57" s="9" t="s">
        <v>205</v>
      </c>
      <c r="C57" s="50" t="s">
        <v>70</v>
      </c>
      <c r="D57" s="50" t="s">
        <v>71</v>
      </c>
      <c r="E57" s="34">
        <f>DSUM($B$43:$Y$48,E$43,$C$55:$D57)</f>
        <v>0</v>
      </c>
      <c r="F57" s="34">
        <f>DSUM($B$43:$Y$48,F$43,$C$55:$D57)</f>
        <v>0</v>
      </c>
      <c r="G57" s="34">
        <f>DSUM($B$43:$Y$48,G$43,$C$55:$D57)</f>
        <v>0</v>
      </c>
      <c r="H57" s="34">
        <f>DSUM($B$43:$Y$48,H$43,$C$55:$D57)</f>
        <v>0</v>
      </c>
      <c r="I57" s="34">
        <f>DSUM($B$43:$Y$48,I$43,$C$55:$D57)</f>
        <v>0</v>
      </c>
      <c r="J57" s="34">
        <f>DSUM($B$43:$Y$48,J$43,$C$55:$D57)</f>
        <v>0</v>
      </c>
      <c r="K57" s="34">
        <f>DSUM($B$43:$Y$48,K$43,$C$55:$D57)</f>
        <v>0</v>
      </c>
      <c r="L57" s="34">
        <f>DSUM($B$43:$Y$48,L$43,$C$55:$D57)</f>
        <v>0</v>
      </c>
      <c r="M57" s="34">
        <f>DSUM($B$43:$Y$48,M$43,$C$55:$D57)</f>
        <v>0</v>
      </c>
      <c r="N57" s="34">
        <f>DSUM($B$43:$Y$48,N$43,$C$55:$D57)</f>
        <v>0</v>
      </c>
      <c r="O57" s="34">
        <f>DSUM($B$43:$Y$48,O$43,$C$55:$D57)</f>
        <v>0</v>
      </c>
      <c r="P57" s="34">
        <f>DSUM($B$43:$Y$48,P$43,$C$55:$D57)</f>
        <v>0</v>
      </c>
      <c r="Q57" s="34">
        <f>DSUM($B$43:$Y$48,Q$43,$C$55:$D57)</f>
        <v>0</v>
      </c>
      <c r="R57" s="34">
        <f>DSUM($B$43:$Y$48,R$43,$C$55:$D57)</f>
        <v>0</v>
      </c>
      <c r="S57" s="34">
        <f>DSUM($B$43:$Y$48,S$43,$C$55:$D57)</f>
        <v>0</v>
      </c>
      <c r="T57" s="34">
        <f>DSUM($B$43:$Y$48,T$43,$C$55:$D57)</f>
        <v>0</v>
      </c>
      <c r="U57" s="34">
        <f>DSUM($B$43:$Y$48,U$43,$C$55:$D57)</f>
        <v>0</v>
      </c>
      <c r="V57" s="34">
        <f>DSUM($B$43:$Y$48,V$43,$C$55:$D57)</f>
        <v>0</v>
      </c>
      <c r="W57" s="34">
        <f>DSUM($B$43:$Y$48,W$43,$C$55:$D57)</f>
        <v>0</v>
      </c>
      <c r="X57" s="34">
        <f>DSUM($B$43:$Y$48,X$43,$C$55:$D57)</f>
        <v>0</v>
      </c>
      <c r="Y57" s="34">
        <f>DSUM($B$43:$Y$48,Y$43,$C$55:$D57)</f>
        <v>0</v>
      </c>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row>
    <row r="58" spans="1:80">
      <c r="B58" s="9" t="s">
        <v>72</v>
      </c>
      <c r="C58" s="50" t="s">
        <v>73</v>
      </c>
      <c r="D58" s="50" t="s">
        <v>74</v>
      </c>
      <c r="E58" s="34">
        <f>DSUM($B$43:$Y$48,E$43,$C$55:$D58)</f>
        <v>0</v>
      </c>
      <c r="F58" s="34">
        <f>DSUM($B$43:$Y$48,F$43,$C$55:$D58)</f>
        <v>0</v>
      </c>
      <c r="G58" s="34">
        <f>DSUM($B$43:$Y$48,G$43,$C$55:$D58)</f>
        <v>0</v>
      </c>
      <c r="H58" s="34">
        <f>DSUM($B$43:$Y$48,H$43,$C$55:$D58)</f>
        <v>0</v>
      </c>
      <c r="I58" s="34">
        <f>DSUM($B$43:$Y$48,I$43,$C$55:$D58)</f>
        <v>0</v>
      </c>
      <c r="J58" s="34">
        <f>DSUM($B$43:$Y$48,J$43,$C$55:$D58)</f>
        <v>0</v>
      </c>
      <c r="K58" s="34">
        <f>DSUM($B$43:$Y$48,K$43,$C$55:$D58)</f>
        <v>0</v>
      </c>
      <c r="L58" s="34">
        <f>DSUM($B$43:$Y$48,L$43,$C$55:$D58)</f>
        <v>0</v>
      </c>
      <c r="M58" s="34">
        <f>DSUM($B$43:$Y$48,M$43,$C$55:$D58)</f>
        <v>0</v>
      </c>
      <c r="N58" s="34">
        <f>DSUM($B$43:$Y$48,N$43,$C$55:$D58)</f>
        <v>0</v>
      </c>
      <c r="O58" s="34">
        <f>DSUM($B$43:$Y$48,O$43,$C$55:$D58)</f>
        <v>0</v>
      </c>
      <c r="P58" s="34">
        <f>DSUM($B$43:$Y$48,P$43,$C$55:$D58)</f>
        <v>0</v>
      </c>
      <c r="Q58" s="34">
        <f>DSUM($B$43:$Y$48,Q$43,$C$55:$D58)</f>
        <v>0</v>
      </c>
      <c r="R58" s="34">
        <f>DSUM($B$43:$Y$48,R$43,$C$55:$D58)</f>
        <v>0</v>
      </c>
      <c r="S58" s="34">
        <f>DSUM($B$43:$Y$48,S$43,$C$55:$D58)</f>
        <v>0</v>
      </c>
      <c r="T58" s="34">
        <f>DSUM($B$43:$Y$48,T$43,$C$55:$D58)</f>
        <v>0</v>
      </c>
      <c r="U58" s="34">
        <f>DSUM($B$43:$Y$48,U$43,$C$55:$D58)</f>
        <v>0</v>
      </c>
      <c r="V58" s="34">
        <f>DSUM($B$43:$Y$48,V$43,$C$55:$D58)</f>
        <v>0</v>
      </c>
      <c r="W58" s="34">
        <f>DSUM($B$43:$Y$48,W$43,$C$55:$D58)</f>
        <v>0</v>
      </c>
      <c r="X58" s="34">
        <f>DSUM($B$43:$Y$48,X$43,$C$55:$D58)</f>
        <v>0</v>
      </c>
      <c r="Y58" s="34">
        <f>DSUM($B$43:$Y$48,Y$43,$C$55:$D58)</f>
        <v>0</v>
      </c>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row>
    <row r="59" spans="1:80">
      <c r="B59" s="9" t="s">
        <v>75</v>
      </c>
      <c r="C59" s="50" t="s">
        <v>76</v>
      </c>
      <c r="D59" s="50" t="s">
        <v>77</v>
      </c>
      <c r="E59" s="34">
        <f>DSUM($B$43:$Y$48,E$43,$C$55:$D59)</f>
        <v>0</v>
      </c>
      <c r="F59" s="34">
        <f>DSUM($B$43:$Y$48,F$43,$C$55:$D59)</f>
        <v>0</v>
      </c>
      <c r="G59" s="34">
        <f>DSUM($B$43:$Y$48,G$43,$C$55:$D59)</f>
        <v>0</v>
      </c>
      <c r="H59" s="34">
        <f>DSUM($B$43:$Y$48,H$43,$C$55:$D59)</f>
        <v>0</v>
      </c>
      <c r="I59" s="34">
        <f>DSUM($B$43:$Y$48,I$43,$C$55:$D59)</f>
        <v>0</v>
      </c>
      <c r="J59" s="34">
        <f>DSUM($B$43:$Y$48,J$43,$C$55:$D59)</f>
        <v>0</v>
      </c>
      <c r="K59" s="34">
        <f>DSUM($B$43:$Y$48,K$43,$C$55:$D59)</f>
        <v>0</v>
      </c>
      <c r="L59" s="34">
        <f>DSUM($B$43:$Y$48,L$43,$C$55:$D59)</f>
        <v>0</v>
      </c>
      <c r="M59" s="34">
        <f>DSUM($B$43:$Y$48,M$43,$C$55:$D59)</f>
        <v>0</v>
      </c>
      <c r="N59" s="34">
        <f>DSUM($B$43:$Y$48,N$43,$C$55:$D59)</f>
        <v>0</v>
      </c>
      <c r="O59" s="34">
        <f>DSUM($B$43:$Y$48,O$43,$C$55:$D59)</f>
        <v>0</v>
      </c>
      <c r="P59" s="34">
        <f>DSUM($B$43:$Y$48,P$43,$C$55:$D59)</f>
        <v>0</v>
      </c>
      <c r="Q59" s="34">
        <f>DSUM($B$43:$Y$48,Q$43,$C$55:$D59)</f>
        <v>0</v>
      </c>
      <c r="R59" s="34">
        <f>DSUM($B$43:$Y$48,R$43,$C$55:$D59)</f>
        <v>0</v>
      </c>
      <c r="S59" s="34">
        <f>DSUM($B$43:$Y$48,S$43,$C$55:$D59)</f>
        <v>0</v>
      </c>
      <c r="T59" s="34">
        <f>DSUM($B$43:$Y$48,T$43,$C$55:$D59)</f>
        <v>0</v>
      </c>
      <c r="U59" s="34">
        <f>DSUM($B$43:$Y$48,U$43,$C$55:$D59)</f>
        <v>0</v>
      </c>
      <c r="V59" s="34">
        <f>DSUM($B$43:$Y$48,V$43,$C$55:$D59)</f>
        <v>0</v>
      </c>
      <c r="W59" s="34">
        <f>DSUM($B$43:$Y$48,W$43,$C$55:$D59)</f>
        <v>0</v>
      </c>
      <c r="X59" s="34">
        <f>DSUM($B$43:$Y$48,X$43,$C$55:$D59)</f>
        <v>0</v>
      </c>
      <c r="Y59" s="34">
        <f>DSUM($B$43:$Y$48,Y$43,$C$55:$D59)</f>
        <v>0</v>
      </c>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row>
    <row r="60" spans="1:80">
      <c r="B60" s="9" t="s">
        <v>78</v>
      </c>
      <c r="C60" s="50" t="s">
        <v>79</v>
      </c>
      <c r="D60" s="50" t="s">
        <v>80</v>
      </c>
      <c r="E60" s="34">
        <f>DSUM($B$43:$Y$48,E$43,$C$55:$D60)</f>
        <v>0</v>
      </c>
      <c r="F60" s="34">
        <f>DSUM($B$43:$Y$48,F$43,$C$55:$D60)</f>
        <v>0</v>
      </c>
      <c r="G60" s="34">
        <f>DSUM($B$43:$Y$48,G$43,$C$55:$D60)</f>
        <v>0</v>
      </c>
      <c r="H60" s="34">
        <f>DSUM($B$43:$Y$48,H$43,$C$55:$D60)</f>
        <v>0</v>
      </c>
      <c r="I60" s="34">
        <f>DSUM($B$43:$Y$48,I$43,$C$55:$D60)</f>
        <v>0</v>
      </c>
      <c r="J60" s="34">
        <f>DSUM($B$43:$Y$48,J$43,$C$55:$D60)</f>
        <v>0</v>
      </c>
      <c r="K60" s="34">
        <f>DSUM($B$43:$Y$48,K$43,$C$55:$D60)</f>
        <v>0</v>
      </c>
      <c r="L60" s="34">
        <f>DSUM($B$43:$Y$48,L$43,$C$55:$D60)</f>
        <v>0</v>
      </c>
      <c r="M60" s="34">
        <f>DSUM($B$43:$Y$48,M$43,$C$55:$D60)</f>
        <v>0</v>
      </c>
      <c r="N60" s="34">
        <f>DSUM($B$43:$Y$48,N$43,$C$55:$D60)</f>
        <v>0</v>
      </c>
      <c r="O60" s="34">
        <f>DSUM($B$43:$Y$48,O$43,$C$55:$D60)</f>
        <v>0</v>
      </c>
      <c r="P60" s="34">
        <f>DSUM($B$43:$Y$48,P$43,$C$55:$D60)</f>
        <v>0</v>
      </c>
      <c r="Q60" s="34">
        <f>DSUM($B$43:$Y$48,Q$43,$C$55:$D60)</f>
        <v>0</v>
      </c>
      <c r="R60" s="34">
        <f>DSUM($B$43:$Y$48,R$43,$C$55:$D60)</f>
        <v>0</v>
      </c>
      <c r="S60" s="34">
        <f>DSUM($B$43:$Y$48,S$43,$C$55:$D60)</f>
        <v>0</v>
      </c>
      <c r="T60" s="34">
        <f>DSUM($B$43:$Y$48,T$43,$C$55:$D60)</f>
        <v>0</v>
      </c>
      <c r="U60" s="34">
        <f>DSUM($B$43:$Y$48,U$43,$C$55:$D60)</f>
        <v>0</v>
      </c>
      <c r="V60" s="34">
        <f>DSUM($B$43:$Y$48,V$43,$C$55:$D60)</f>
        <v>0</v>
      </c>
      <c r="W60" s="34">
        <f>DSUM($B$43:$Y$48,W$43,$C$55:$D60)</f>
        <v>0</v>
      </c>
      <c r="X60" s="34">
        <f>DSUM($B$43:$Y$48,X$43,$C$55:$D60)</f>
        <v>0</v>
      </c>
      <c r="Y60" s="34">
        <f>DSUM($B$43:$Y$48,Y$43,$C$55:$D60)</f>
        <v>0</v>
      </c>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row>
    <row r="61" spans="1:80">
      <c r="B61" s="9" t="s">
        <v>81</v>
      </c>
      <c r="C61" s="50" t="s">
        <v>82</v>
      </c>
      <c r="D61" s="50" t="s">
        <v>83</v>
      </c>
      <c r="E61" s="34">
        <f>DSUM($B$43:$Y$48,E$43,$C$55:$D61)</f>
        <v>0</v>
      </c>
      <c r="F61" s="34">
        <f>DSUM($B$43:$Y$48,F$43,$C$55:$D61)</f>
        <v>0</v>
      </c>
      <c r="G61" s="34">
        <f>DSUM($B$43:$Y$48,G$43,$C$55:$D61)</f>
        <v>0</v>
      </c>
      <c r="H61" s="34">
        <f>DSUM($B$43:$Y$48,H$43,$C$55:$D61)</f>
        <v>0</v>
      </c>
      <c r="I61" s="34">
        <f>DSUM($B$43:$Y$48,I$43,$C$55:$D61)</f>
        <v>0</v>
      </c>
      <c r="J61" s="34">
        <f>DSUM($B$43:$Y$48,J$43,$C$55:$D61)</f>
        <v>0</v>
      </c>
      <c r="K61" s="34">
        <f>DSUM($B$43:$Y$48,K$43,$C$55:$D61)</f>
        <v>0</v>
      </c>
      <c r="L61" s="34">
        <f>DSUM($B$43:$Y$48,L$43,$C$55:$D61)</f>
        <v>0</v>
      </c>
      <c r="M61" s="34">
        <f>DSUM($B$43:$Y$48,M$43,$C$55:$D61)</f>
        <v>0</v>
      </c>
      <c r="N61" s="34">
        <f>DSUM($B$43:$Y$48,N$43,$C$55:$D61)</f>
        <v>0</v>
      </c>
      <c r="O61" s="34">
        <f>DSUM($B$43:$Y$48,O$43,$C$55:$D61)</f>
        <v>0</v>
      </c>
      <c r="P61" s="34">
        <f>DSUM($B$43:$Y$48,P$43,$C$55:$D61)</f>
        <v>0</v>
      </c>
      <c r="Q61" s="34">
        <f>DSUM($B$43:$Y$48,Q$43,$C$55:$D61)</f>
        <v>0</v>
      </c>
      <c r="R61" s="34">
        <f>DSUM($B$43:$Y$48,R$43,$C$55:$D61)</f>
        <v>0</v>
      </c>
      <c r="S61" s="34">
        <f>DSUM($B$43:$Y$48,S$43,$C$55:$D61)</f>
        <v>0</v>
      </c>
      <c r="T61" s="34">
        <f>DSUM($B$43:$Y$48,T$43,$C$55:$D61)</f>
        <v>0</v>
      </c>
      <c r="U61" s="34">
        <f>DSUM($B$43:$Y$48,U$43,$C$55:$D61)</f>
        <v>0</v>
      </c>
      <c r="V61" s="34">
        <f>DSUM($B$43:$Y$48,V$43,$C$55:$D61)</f>
        <v>0</v>
      </c>
      <c r="W61" s="34">
        <f>DSUM($B$43:$Y$48,W$43,$C$55:$D61)</f>
        <v>0</v>
      </c>
      <c r="X61" s="34">
        <f>DSUM($B$43:$Y$48,X$43,$C$55:$D61)</f>
        <v>0</v>
      </c>
      <c r="Y61" s="34">
        <f>DSUM($B$43:$Y$48,Y$43,$C$55:$D61)</f>
        <v>0</v>
      </c>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row>
    <row r="62" spans="1:80">
      <c r="B62" s="9" t="s">
        <v>84</v>
      </c>
      <c r="C62" s="50" t="s">
        <v>85</v>
      </c>
      <c r="D62" s="50" t="s">
        <v>86</v>
      </c>
      <c r="E62" s="34">
        <f>DSUM($B$43:$Y$48,E$43,$C$55:$D62)</f>
        <v>0</v>
      </c>
      <c r="F62" s="34">
        <f>DSUM($B$43:$Y$48,F$43,$C$55:$D62)</f>
        <v>0</v>
      </c>
      <c r="G62" s="34">
        <f>DSUM($B$43:$Y$48,G$43,$C$55:$D62)</f>
        <v>0</v>
      </c>
      <c r="H62" s="34">
        <f>DSUM($B$43:$Y$48,H$43,$C$55:$D62)</f>
        <v>0</v>
      </c>
      <c r="I62" s="34">
        <f>DSUM($B$43:$Y$48,I$43,$C$55:$D62)</f>
        <v>0</v>
      </c>
      <c r="J62" s="34">
        <f>DSUM($B$43:$Y$48,J$43,$C$55:$D62)</f>
        <v>0</v>
      </c>
      <c r="K62" s="34">
        <f>DSUM($B$43:$Y$48,K$43,$C$55:$D62)</f>
        <v>0</v>
      </c>
      <c r="L62" s="34">
        <f>DSUM($B$43:$Y$48,L$43,$C$55:$D62)</f>
        <v>0</v>
      </c>
      <c r="M62" s="34">
        <f>DSUM($B$43:$Y$48,M$43,$C$55:$D62)</f>
        <v>0</v>
      </c>
      <c r="N62" s="34">
        <f>DSUM($B$43:$Y$48,N$43,$C$55:$D62)</f>
        <v>0</v>
      </c>
      <c r="O62" s="34">
        <f>DSUM($B$43:$Y$48,O$43,$C$55:$D62)</f>
        <v>0</v>
      </c>
      <c r="P62" s="34">
        <f>DSUM($B$43:$Y$48,P$43,$C$55:$D62)</f>
        <v>0</v>
      </c>
      <c r="Q62" s="34">
        <f>DSUM($B$43:$Y$48,Q$43,$C$55:$D62)</f>
        <v>0</v>
      </c>
      <c r="R62" s="34">
        <f>DSUM($B$43:$Y$48,R$43,$C$55:$D62)</f>
        <v>0</v>
      </c>
      <c r="S62" s="34">
        <f>DSUM($B$43:$Y$48,S$43,$C$55:$D62)</f>
        <v>0</v>
      </c>
      <c r="T62" s="34">
        <f>DSUM($B$43:$Y$48,T$43,$C$55:$D62)</f>
        <v>0</v>
      </c>
      <c r="U62" s="34">
        <f>DSUM($B$43:$Y$48,U$43,$C$55:$D62)</f>
        <v>0</v>
      </c>
      <c r="V62" s="34">
        <f>DSUM($B$43:$Y$48,V$43,$C$55:$D62)</f>
        <v>0</v>
      </c>
      <c r="W62" s="34">
        <f>DSUM($B$43:$Y$48,W$43,$C$55:$D62)</f>
        <v>0</v>
      </c>
      <c r="X62" s="34">
        <f>DSUM($B$43:$Y$48,X$43,$C$55:$D62)</f>
        <v>0</v>
      </c>
      <c r="Y62" s="34">
        <f>DSUM($B$43:$Y$48,Y$43,$C$55:$D62)</f>
        <v>0</v>
      </c>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row>
    <row r="63" spans="1:80">
      <c r="B63" s="9" t="s">
        <v>87</v>
      </c>
      <c r="C63" s="50" t="s">
        <v>88</v>
      </c>
      <c r="D63" s="50" t="s">
        <v>89</v>
      </c>
      <c r="E63" s="34">
        <f>DSUM($B$43:$Y$48,E$43,$C$55:$D63)</f>
        <v>0</v>
      </c>
      <c r="F63" s="34">
        <f>DSUM($B$43:$Y$48,F$43,$C$55:$D63)</f>
        <v>0</v>
      </c>
      <c r="G63" s="34">
        <f>DSUM($B$43:$Y$48,G$43,$C$55:$D63)</f>
        <v>0</v>
      </c>
      <c r="H63" s="34">
        <f>DSUM($B$43:$Y$48,H$43,$C$55:$D63)</f>
        <v>0</v>
      </c>
      <c r="I63" s="34">
        <f>DSUM($B$43:$Y$48,I$43,$C$55:$D63)</f>
        <v>0</v>
      </c>
      <c r="J63" s="34">
        <f>DSUM($B$43:$Y$48,J$43,$C$55:$D63)</f>
        <v>0</v>
      </c>
      <c r="K63" s="34">
        <f>DSUM($B$43:$Y$48,K$43,$C$55:$D63)</f>
        <v>0</v>
      </c>
      <c r="L63" s="34">
        <f>DSUM($B$43:$Y$48,L$43,$C$55:$D63)</f>
        <v>0</v>
      </c>
      <c r="M63" s="34">
        <f>DSUM($B$43:$Y$48,M$43,$C$55:$D63)</f>
        <v>0</v>
      </c>
      <c r="N63" s="34">
        <f>DSUM($B$43:$Y$48,N$43,$C$55:$D63)</f>
        <v>0</v>
      </c>
      <c r="O63" s="34">
        <f>DSUM($B$43:$Y$48,O$43,$C$55:$D63)</f>
        <v>0</v>
      </c>
      <c r="P63" s="34">
        <f>DSUM($B$43:$Y$48,P$43,$C$55:$D63)</f>
        <v>0</v>
      </c>
      <c r="Q63" s="34">
        <f>DSUM($B$43:$Y$48,Q$43,$C$55:$D63)</f>
        <v>0</v>
      </c>
      <c r="R63" s="34">
        <f>DSUM($B$43:$Y$48,R$43,$C$55:$D63)</f>
        <v>0</v>
      </c>
      <c r="S63" s="34">
        <f>DSUM($B$43:$Y$48,S$43,$C$55:$D63)</f>
        <v>0</v>
      </c>
      <c r="T63" s="34">
        <f>DSUM($B$43:$Y$48,T$43,$C$55:$D63)</f>
        <v>0</v>
      </c>
      <c r="U63" s="34">
        <f>DSUM($B$43:$Y$48,U$43,$C$55:$D63)</f>
        <v>0</v>
      </c>
      <c r="V63" s="34">
        <f>DSUM($B$43:$Y$48,V$43,$C$55:$D63)</f>
        <v>0</v>
      </c>
      <c r="W63" s="34">
        <f>DSUM($B$43:$Y$48,W$43,$C$55:$D63)</f>
        <v>0</v>
      </c>
      <c r="X63" s="34">
        <f>DSUM($B$43:$Y$48,X$43,$C$55:$D63)</f>
        <v>0</v>
      </c>
      <c r="Y63" s="34">
        <f>DSUM($B$43:$Y$48,Y$43,$C$55:$D63)</f>
        <v>0</v>
      </c>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row>
    <row r="64" spans="1:80">
      <c r="B64" s="9" t="s">
        <v>90</v>
      </c>
      <c r="C64" s="50" t="s">
        <v>91</v>
      </c>
      <c r="D64" s="50" t="s">
        <v>92</v>
      </c>
      <c r="E64" s="34">
        <f>DSUM($B$43:$Y$48,E$43,$C$55:$D64)</f>
        <v>0</v>
      </c>
      <c r="F64" s="34">
        <f>DSUM($B$43:$Y$48,F$43,$C$55:$D64)</f>
        <v>0</v>
      </c>
      <c r="G64" s="34">
        <f>DSUM($B$43:$Y$48,G$43,$C$55:$D64)</f>
        <v>0</v>
      </c>
      <c r="H64" s="34">
        <f>DSUM($B$43:$Y$48,H$43,$C$55:$D64)</f>
        <v>0</v>
      </c>
      <c r="I64" s="34">
        <f>DSUM($B$43:$Y$48,I$43,$C$55:$D64)</f>
        <v>0</v>
      </c>
      <c r="J64" s="34">
        <f>DSUM($B$43:$Y$48,J$43,$C$55:$D64)</f>
        <v>0</v>
      </c>
      <c r="K64" s="34">
        <f>DSUM($B$43:$Y$48,K$43,$C$55:$D64)</f>
        <v>0</v>
      </c>
      <c r="L64" s="34">
        <f>DSUM($B$43:$Y$48,L$43,$C$55:$D64)</f>
        <v>0</v>
      </c>
      <c r="M64" s="34">
        <f>DSUM($B$43:$Y$48,M$43,$C$55:$D64)</f>
        <v>0</v>
      </c>
      <c r="N64" s="34">
        <f>DSUM($B$43:$Y$48,N$43,$C$55:$D64)</f>
        <v>0</v>
      </c>
      <c r="O64" s="34">
        <f>DSUM($B$43:$Y$48,O$43,$C$55:$D64)</f>
        <v>0</v>
      </c>
      <c r="P64" s="34">
        <f>DSUM($B$43:$Y$48,P$43,$C$55:$D64)</f>
        <v>0</v>
      </c>
      <c r="Q64" s="34">
        <f>DSUM($B$43:$Y$48,Q$43,$C$55:$D64)</f>
        <v>0</v>
      </c>
      <c r="R64" s="34">
        <f>DSUM($B$43:$Y$48,R$43,$C$55:$D64)</f>
        <v>0</v>
      </c>
      <c r="S64" s="34">
        <f>DSUM($B$43:$Y$48,S$43,$C$55:$D64)</f>
        <v>0</v>
      </c>
      <c r="T64" s="34">
        <f>DSUM($B$43:$Y$48,T$43,$C$55:$D64)</f>
        <v>0</v>
      </c>
      <c r="U64" s="34">
        <f>DSUM($B$43:$Y$48,U$43,$C$55:$D64)</f>
        <v>0</v>
      </c>
      <c r="V64" s="34">
        <f>DSUM($B$43:$Y$48,V$43,$C$55:$D64)</f>
        <v>0</v>
      </c>
      <c r="W64" s="34">
        <f>DSUM($B$43:$Y$48,W$43,$C$55:$D64)</f>
        <v>0</v>
      </c>
      <c r="X64" s="34">
        <f>DSUM($B$43:$Y$48,X$43,$C$55:$D64)</f>
        <v>0</v>
      </c>
      <c r="Y64" s="34">
        <f>DSUM($B$43:$Y$48,Y$43,$C$55:$D64)</f>
        <v>0</v>
      </c>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row>
    <row r="65" spans="2:80">
      <c r="B65" s="9" t="s">
        <v>93</v>
      </c>
      <c r="C65" s="50" t="s">
        <v>94</v>
      </c>
      <c r="D65" s="50" t="s">
        <v>95</v>
      </c>
      <c r="E65" s="34">
        <f>DSUM($B$43:$Y$48,E$43,$C$55:$D65)</f>
        <v>0</v>
      </c>
      <c r="F65" s="34">
        <f>DSUM($B$43:$Y$48,F$43,$C$55:$D65)</f>
        <v>0</v>
      </c>
      <c r="G65" s="34">
        <f>DSUM($B$43:$Y$48,G$43,$C$55:$D65)</f>
        <v>0</v>
      </c>
      <c r="H65" s="34">
        <f>DSUM($B$43:$Y$48,H$43,$C$55:$D65)</f>
        <v>0</v>
      </c>
      <c r="I65" s="34">
        <f>DSUM($B$43:$Y$48,I$43,$C$55:$D65)</f>
        <v>0</v>
      </c>
      <c r="J65" s="34">
        <f>DSUM($B$43:$Y$48,J$43,$C$55:$D65)</f>
        <v>0</v>
      </c>
      <c r="K65" s="34">
        <f>DSUM($B$43:$Y$48,K$43,$C$55:$D65)</f>
        <v>0</v>
      </c>
      <c r="L65" s="34">
        <f>DSUM($B$43:$Y$48,L$43,$C$55:$D65)</f>
        <v>0</v>
      </c>
      <c r="M65" s="34">
        <f>DSUM($B$43:$Y$48,M$43,$C$55:$D65)</f>
        <v>0</v>
      </c>
      <c r="N65" s="34">
        <f>DSUM($B$43:$Y$48,N$43,$C$55:$D65)</f>
        <v>0</v>
      </c>
      <c r="O65" s="34">
        <f>DSUM($B$43:$Y$48,O$43,$C$55:$D65)</f>
        <v>0</v>
      </c>
      <c r="P65" s="34">
        <f>DSUM($B$43:$Y$48,P$43,$C$55:$D65)</f>
        <v>0</v>
      </c>
      <c r="Q65" s="34">
        <f>DSUM($B$43:$Y$48,Q$43,$C$55:$D65)</f>
        <v>0</v>
      </c>
      <c r="R65" s="34">
        <f>DSUM($B$43:$Y$48,R$43,$C$55:$D65)</f>
        <v>0</v>
      </c>
      <c r="S65" s="34">
        <f>DSUM($B$43:$Y$48,S$43,$C$55:$D65)</f>
        <v>0</v>
      </c>
      <c r="T65" s="34">
        <f>DSUM($B$43:$Y$48,T$43,$C$55:$D65)</f>
        <v>0</v>
      </c>
      <c r="U65" s="34">
        <f>DSUM($B$43:$Y$48,U$43,$C$55:$D65)</f>
        <v>0</v>
      </c>
      <c r="V65" s="34">
        <f>DSUM($B$43:$Y$48,V$43,$C$55:$D65)</f>
        <v>0</v>
      </c>
      <c r="W65" s="34">
        <f>DSUM($B$43:$Y$48,W$43,$C$55:$D65)</f>
        <v>0</v>
      </c>
      <c r="X65" s="34">
        <f>DSUM($B$43:$Y$48,X$43,$C$55:$D65)</f>
        <v>0</v>
      </c>
      <c r="Y65" s="34">
        <f>DSUM($B$43:$Y$48,Y$43,$C$55:$D65)</f>
        <v>0</v>
      </c>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row>
    <row r="66" spans="2:80">
      <c r="B66" s="9" t="s">
        <v>96</v>
      </c>
      <c r="C66" s="50" t="s">
        <v>97</v>
      </c>
      <c r="D66" s="50" t="s">
        <v>98</v>
      </c>
      <c r="E66" s="34">
        <f>DSUM($B$43:$Y$48,E$43,$C$55:$D66)</f>
        <v>0</v>
      </c>
      <c r="F66" s="34">
        <f>DSUM($B$43:$Y$48,F$43,$C$55:$D66)</f>
        <v>0</v>
      </c>
      <c r="G66" s="34">
        <f>DSUM($B$43:$Y$48,G$43,$C$55:$D66)</f>
        <v>0</v>
      </c>
      <c r="H66" s="34">
        <f>DSUM($B$43:$Y$48,H$43,$C$55:$D66)</f>
        <v>0</v>
      </c>
      <c r="I66" s="34">
        <f>DSUM($B$43:$Y$48,I$43,$C$55:$D66)</f>
        <v>0</v>
      </c>
      <c r="J66" s="34">
        <f>DSUM($B$43:$Y$48,J$43,$C$55:$D66)</f>
        <v>0</v>
      </c>
      <c r="K66" s="34">
        <f>DSUM($B$43:$Y$48,K$43,$C$55:$D66)</f>
        <v>0</v>
      </c>
      <c r="L66" s="34">
        <f>DSUM($B$43:$Y$48,L$43,$C$55:$D66)</f>
        <v>0</v>
      </c>
      <c r="M66" s="34">
        <f>DSUM($B$43:$Y$48,M$43,$C$55:$D66)</f>
        <v>0</v>
      </c>
      <c r="N66" s="34">
        <f>DSUM($B$43:$Y$48,N$43,$C$55:$D66)</f>
        <v>0</v>
      </c>
      <c r="O66" s="34">
        <f>DSUM($B$43:$Y$48,O$43,$C$55:$D66)</f>
        <v>0</v>
      </c>
      <c r="P66" s="34">
        <f>DSUM($B$43:$Y$48,P$43,$C$55:$D66)</f>
        <v>0</v>
      </c>
      <c r="Q66" s="34">
        <f>DSUM($B$43:$Y$48,Q$43,$C$55:$D66)</f>
        <v>0</v>
      </c>
      <c r="R66" s="34">
        <f>DSUM($B$43:$Y$48,R$43,$C$55:$D66)</f>
        <v>0</v>
      </c>
      <c r="S66" s="34">
        <f>DSUM($B$43:$Y$48,S$43,$C$55:$D66)</f>
        <v>0</v>
      </c>
      <c r="T66" s="34">
        <f>DSUM($B$43:$Y$48,T$43,$C$55:$D66)</f>
        <v>0</v>
      </c>
      <c r="U66" s="34">
        <f>DSUM($B$43:$Y$48,U$43,$C$55:$D66)</f>
        <v>0</v>
      </c>
      <c r="V66" s="34">
        <f>DSUM($B$43:$Y$48,V$43,$C$55:$D66)</f>
        <v>0</v>
      </c>
      <c r="W66" s="34">
        <f>DSUM($B$43:$Y$48,W$43,$C$55:$D66)</f>
        <v>0</v>
      </c>
      <c r="X66" s="34">
        <f>DSUM($B$43:$Y$48,X$43,$C$55:$D66)</f>
        <v>0</v>
      </c>
      <c r="Y66" s="34">
        <f>DSUM($B$43:$Y$48,Y$43,$C$55:$D66)</f>
        <v>0</v>
      </c>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row>
    <row r="67" spans="2:80">
      <c r="B67" s="9" t="s">
        <v>99</v>
      </c>
      <c r="C67" s="50" t="s">
        <v>100</v>
      </c>
      <c r="D67" s="50" t="s">
        <v>101</v>
      </c>
      <c r="E67" s="34">
        <f>DSUM($B$43:$Y$48,E$43,$C$55:$D67)</f>
        <v>0</v>
      </c>
      <c r="F67" s="34">
        <f>DSUM($B$43:$Y$48,F$43,$C$55:$D67)</f>
        <v>0</v>
      </c>
      <c r="G67" s="34">
        <f>DSUM($B$43:$Y$48,G$43,$C$55:$D67)</f>
        <v>0</v>
      </c>
      <c r="H67" s="34">
        <f>DSUM($B$43:$Y$48,H$43,$C$55:$D67)</f>
        <v>0</v>
      </c>
      <c r="I67" s="34">
        <f>DSUM($B$43:$Y$48,I$43,$C$55:$D67)</f>
        <v>0</v>
      </c>
      <c r="J67" s="34">
        <f>DSUM($B$43:$Y$48,J$43,$C$55:$D67)</f>
        <v>0</v>
      </c>
      <c r="K67" s="34">
        <f>DSUM($B$43:$Y$48,K$43,$C$55:$D67)</f>
        <v>0</v>
      </c>
      <c r="L67" s="34">
        <f>DSUM($B$43:$Y$48,L$43,$C$55:$D67)</f>
        <v>0</v>
      </c>
      <c r="M67" s="34">
        <f>DSUM($B$43:$Y$48,M$43,$C$55:$D67)</f>
        <v>0</v>
      </c>
      <c r="N67" s="34">
        <f>DSUM($B$43:$Y$48,N$43,$C$55:$D67)</f>
        <v>0</v>
      </c>
      <c r="O67" s="34">
        <f>DSUM($B$43:$Y$48,O$43,$C$55:$D67)</f>
        <v>0</v>
      </c>
      <c r="P67" s="34">
        <f>DSUM($B$43:$Y$48,P$43,$C$55:$D67)</f>
        <v>0</v>
      </c>
      <c r="Q67" s="34">
        <f>DSUM($B$43:$Y$48,Q$43,$C$55:$D67)</f>
        <v>0</v>
      </c>
      <c r="R67" s="34">
        <f>DSUM($B$43:$Y$48,R$43,$C$55:$D67)</f>
        <v>0</v>
      </c>
      <c r="S67" s="34">
        <f>DSUM($B$43:$Y$48,S$43,$C$55:$D67)</f>
        <v>0</v>
      </c>
      <c r="T67" s="34">
        <f>DSUM($B$43:$Y$48,T$43,$C$55:$D67)</f>
        <v>0</v>
      </c>
      <c r="U67" s="34">
        <f>DSUM($B$43:$Y$48,U$43,$C$55:$D67)</f>
        <v>0</v>
      </c>
      <c r="V67" s="34">
        <f>DSUM($B$43:$Y$48,V$43,$C$55:$D67)</f>
        <v>0</v>
      </c>
      <c r="W67" s="34">
        <f>DSUM($B$43:$Y$48,W$43,$C$55:$D67)</f>
        <v>0</v>
      </c>
      <c r="X67" s="34">
        <f>DSUM($B$43:$Y$48,X$43,$C$55:$D67)</f>
        <v>0</v>
      </c>
      <c r="Y67" s="34">
        <f>DSUM($B$43:$Y$48,Y$43,$C$55:$D67)</f>
        <v>0</v>
      </c>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row>
    <row r="68" spans="2:80">
      <c r="B68" s="9" t="s">
        <v>102</v>
      </c>
      <c r="C68" s="50" t="s">
        <v>103</v>
      </c>
      <c r="D68" s="50" t="s">
        <v>104</v>
      </c>
      <c r="E68" s="34">
        <f>DSUM($B$43:$Y$48,E$43,$C$55:$D68)</f>
        <v>0</v>
      </c>
      <c r="F68" s="34">
        <f>DSUM($B$43:$Y$48,F$43,$C$55:$D68)</f>
        <v>0</v>
      </c>
      <c r="G68" s="34">
        <f>DSUM($B$43:$Y$48,G$43,$C$55:$D68)</f>
        <v>0</v>
      </c>
      <c r="H68" s="34">
        <f>DSUM($B$43:$Y$48,H$43,$C$55:$D68)</f>
        <v>0</v>
      </c>
      <c r="I68" s="34">
        <f>DSUM($B$43:$Y$48,I$43,$C$55:$D68)</f>
        <v>0</v>
      </c>
      <c r="J68" s="34">
        <f>DSUM($B$43:$Y$48,J$43,$C$55:$D68)</f>
        <v>0</v>
      </c>
      <c r="K68" s="34">
        <f>DSUM($B$43:$Y$48,K$43,$C$55:$D68)</f>
        <v>0</v>
      </c>
      <c r="L68" s="34">
        <f>DSUM($B$43:$Y$48,L$43,$C$55:$D68)</f>
        <v>0</v>
      </c>
      <c r="M68" s="34">
        <f>DSUM($B$43:$Y$48,M$43,$C$55:$D68)</f>
        <v>0</v>
      </c>
      <c r="N68" s="34">
        <f>DSUM($B$43:$Y$48,N$43,$C$55:$D68)</f>
        <v>0</v>
      </c>
      <c r="O68" s="34">
        <f>DSUM($B$43:$Y$48,O$43,$C$55:$D68)</f>
        <v>0</v>
      </c>
      <c r="P68" s="34">
        <f>DSUM($B$43:$Y$48,P$43,$C$55:$D68)</f>
        <v>0</v>
      </c>
      <c r="Q68" s="34">
        <f>DSUM($B$43:$Y$48,Q$43,$C$55:$D68)</f>
        <v>0</v>
      </c>
      <c r="R68" s="34">
        <f>DSUM($B$43:$Y$48,R$43,$C$55:$D68)</f>
        <v>0</v>
      </c>
      <c r="S68" s="34">
        <f>DSUM($B$43:$Y$48,S$43,$C$55:$D68)</f>
        <v>0</v>
      </c>
      <c r="T68" s="34">
        <f>DSUM($B$43:$Y$48,T$43,$C$55:$D68)</f>
        <v>0</v>
      </c>
      <c r="U68" s="34">
        <f>DSUM($B$43:$Y$48,U$43,$C$55:$D68)</f>
        <v>0</v>
      </c>
      <c r="V68" s="34">
        <f>DSUM($B$43:$Y$48,V$43,$C$55:$D68)</f>
        <v>0</v>
      </c>
      <c r="W68" s="34">
        <f>DSUM($B$43:$Y$48,W$43,$C$55:$D68)</f>
        <v>0</v>
      </c>
      <c r="X68" s="34">
        <f>DSUM($B$43:$Y$48,X$43,$C$55:$D68)</f>
        <v>0</v>
      </c>
      <c r="Y68" s="34">
        <f>DSUM($B$43:$Y$48,Y$43,$C$55:$D68)</f>
        <v>0</v>
      </c>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row>
    <row r="69" spans="2:80">
      <c r="B69" s="9" t="s">
        <v>105</v>
      </c>
      <c r="C69" s="50" t="s">
        <v>106</v>
      </c>
      <c r="D69" s="50" t="s">
        <v>107</v>
      </c>
      <c r="E69" s="34">
        <f>DSUM($B$43:$Y$48,E$43,$C$55:$D69)</f>
        <v>0</v>
      </c>
      <c r="F69" s="34">
        <f>DSUM($B$43:$Y$48,F$43,$C$55:$D69)</f>
        <v>0</v>
      </c>
      <c r="G69" s="34">
        <f>DSUM($B$43:$Y$48,G$43,$C$55:$D69)</f>
        <v>0</v>
      </c>
      <c r="H69" s="34">
        <f>DSUM($B$43:$Y$48,H$43,$C$55:$D69)</f>
        <v>0</v>
      </c>
      <c r="I69" s="34">
        <f>DSUM($B$43:$Y$48,I$43,$C$55:$D69)</f>
        <v>0</v>
      </c>
      <c r="J69" s="34">
        <f>DSUM($B$43:$Y$48,J$43,$C$55:$D69)</f>
        <v>0</v>
      </c>
      <c r="K69" s="34">
        <f>DSUM($B$43:$Y$48,K$43,$C$55:$D69)</f>
        <v>0</v>
      </c>
      <c r="L69" s="34">
        <f>DSUM($B$43:$Y$48,L$43,$C$55:$D69)</f>
        <v>0</v>
      </c>
      <c r="M69" s="34">
        <f>DSUM($B$43:$Y$48,M$43,$C$55:$D69)</f>
        <v>0</v>
      </c>
      <c r="N69" s="34">
        <f>DSUM($B$43:$Y$48,N$43,$C$55:$D69)</f>
        <v>0</v>
      </c>
      <c r="O69" s="34">
        <f>DSUM($B$43:$Y$48,O$43,$C$55:$D69)</f>
        <v>0</v>
      </c>
      <c r="P69" s="34">
        <f>DSUM($B$43:$Y$48,P$43,$C$55:$D69)</f>
        <v>0</v>
      </c>
      <c r="Q69" s="34">
        <f>DSUM($B$43:$Y$48,Q$43,$C$55:$D69)</f>
        <v>0</v>
      </c>
      <c r="R69" s="34">
        <f>DSUM($B$43:$Y$48,R$43,$C$55:$D69)</f>
        <v>0</v>
      </c>
      <c r="S69" s="34">
        <f>DSUM($B$43:$Y$48,S$43,$C$55:$D69)</f>
        <v>0</v>
      </c>
      <c r="T69" s="34">
        <f>DSUM($B$43:$Y$48,T$43,$C$55:$D69)</f>
        <v>0</v>
      </c>
      <c r="U69" s="34">
        <f>DSUM($B$43:$Y$48,U$43,$C$55:$D69)</f>
        <v>0</v>
      </c>
      <c r="V69" s="34">
        <f>DSUM($B$43:$Y$48,V$43,$C$55:$D69)</f>
        <v>0</v>
      </c>
      <c r="W69" s="34">
        <f>DSUM($B$43:$Y$48,W$43,$C$55:$D69)</f>
        <v>0</v>
      </c>
      <c r="X69" s="34">
        <f>DSUM($B$43:$Y$48,X$43,$C$55:$D69)</f>
        <v>0</v>
      </c>
      <c r="Y69" s="34">
        <f>DSUM($B$43:$Y$48,Y$43,$C$55:$D69)</f>
        <v>0</v>
      </c>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row>
    <row r="70" spans="2:80">
      <c r="B70" s="9" t="s">
        <v>108</v>
      </c>
      <c r="C70" s="50" t="s">
        <v>109</v>
      </c>
      <c r="D70" s="50" t="s">
        <v>110</v>
      </c>
      <c r="E70" s="34">
        <f>DSUM($B$43:$Y$48,E$43,$C$55:$D70)</f>
        <v>0</v>
      </c>
      <c r="F70" s="34">
        <f>DSUM($B$43:$Y$48,F$43,$C$55:$D70)</f>
        <v>0</v>
      </c>
      <c r="G70" s="34">
        <f>DSUM($B$43:$Y$48,G$43,$C$55:$D70)</f>
        <v>0</v>
      </c>
      <c r="H70" s="34">
        <f>DSUM($B$43:$Y$48,H$43,$C$55:$D70)</f>
        <v>0</v>
      </c>
      <c r="I70" s="34">
        <f>DSUM($B$43:$Y$48,I$43,$C$55:$D70)</f>
        <v>0</v>
      </c>
      <c r="J70" s="34">
        <f>DSUM($B$43:$Y$48,J$43,$C$55:$D70)</f>
        <v>0</v>
      </c>
      <c r="K70" s="34">
        <f>DSUM($B$43:$Y$48,K$43,$C$55:$D70)</f>
        <v>0</v>
      </c>
      <c r="L70" s="34">
        <f>DSUM($B$43:$Y$48,L$43,$C$55:$D70)</f>
        <v>0</v>
      </c>
      <c r="M70" s="34">
        <f>DSUM($B$43:$Y$48,M$43,$C$55:$D70)</f>
        <v>0</v>
      </c>
      <c r="N70" s="34">
        <f>DSUM($B$43:$Y$48,N$43,$C$55:$D70)</f>
        <v>0</v>
      </c>
      <c r="O70" s="34">
        <f>DSUM($B$43:$Y$48,O$43,$C$55:$D70)</f>
        <v>0</v>
      </c>
      <c r="P70" s="34">
        <f>DSUM($B$43:$Y$48,P$43,$C$55:$D70)</f>
        <v>0</v>
      </c>
      <c r="Q70" s="34">
        <f>DSUM($B$43:$Y$48,Q$43,$C$55:$D70)</f>
        <v>0</v>
      </c>
      <c r="R70" s="34">
        <f>DSUM($B$43:$Y$48,R$43,$C$55:$D70)</f>
        <v>0</v>
      </c>
      <c r="S70" s="34">
        <f>DSUM($B$43:$Y$48,S$43,$C$55:$D70)</f>
        <v>0</v>
      </c>
      <c r="T70" s="34">
        <f>DSUM($B$43:$Y$48,T$43,$C$55:$D70)</f>
        <v>0</v>
      </c>
      <c r="U70" s="34">
        <f>DSUM($B$43:$Y$48,U$43,$C$55:$D70)</f>
        <v>0</v>
      </c>
      <c r="V70" s="34">
        <f>DSUM($B$43:$Y$48,V$43,$C$55:$D70)</f>
        <v>0</v>
      </c>
      <c r="W70" s="34">
        <f>DSUM($B$43:$Y$48,W$43,$C$55:$D70)</f>
        <v>0</v>
      </c>
      <c r="X70" s="34">
        <f>DSUM($B$43:$Y$48,X$43,$C$55:$D70)</f>
        <v>0</v>
      </c>
      <c r="Y70" s="34">
        <f>DSUM($B$43:$Y$48,Y$43,$C$55:$D70)</f>
        <v>0</v>
      </c>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row>
    <row r="71" spans="2:80">
      <c r="B71" s="9" t="s">
        <v>111</v>
      </c>
      <c r="C71" s="50" t="s">
        <v>112</v>
      </c>
      <c r="D71" s="50" t="s">
        <v>113</v>
      </c>
      <c r="E71" s="34">
        <f>DSUM($B$43:$Y$48,E$43,$C$55:$D71)</f>
        <v>0</v>
      </c>
      <c r="F71" s="34">
        <f>DSUM($B$43:$Y$48,F$43,$C$55:$D71)</f>
        <v>0</v>
      </c>
      <c r="G71" s="34">
        <f>DSUM($B$43:$Y$48,G$43,$C$55:$D71)</f>
        <v>0</v>
      </c>
      <c r="H71" s="34">
        <f>DSUM($B$43:$Y$48,H$43,$C$55:$D71)</f>
        <v>0</v>
      </c>
      <c r="I71" s="34">
        <f>DSUM($B$43:$Y$48,I$43,$C$55:$D71)</f>
        <v>0</v>
      </c>
      <c r="J71" s="34">
        <f>DSUM($B$43:$Y$48,J$43,$C$55:$D71)</f>
        <v>0</v>
      </c>
      <c r="K71" s="34">
        <f>DSUM($B$43:$Y$48,K$43,$C$55:$D71)</f>
        <v>0</v>
      </c>
      <c r="L71" s="34">
        <f>DSUM($B$43:$Y$48,L$43,$C$55:$D71)</f>
        <v>0</v>
      </c>
      <c r="M71" s="34">
        <f>DSUM($B$43:$Y$48,M$43,$C$55:$D71)</f>
        <v>0</v>
      </c>
      <c r="N71" s="34">
        <f>DSUM($B$43:$Y$48,N$43,$C$55:$D71)</f>
        <v>0</v>
      </c>
      <c r="O71" s="34">
        <f>DSUM($B$43:$Y$48,O$43,$C$55:$D71)</f>
        <v>0</v>
      </c>
      <c r="P71" s="34">
        <f>DSUM($B$43:$Y$48,P$43,$C$55:$D71)</f>
        <v>0</v>
      </c>
      <c r="Q71" s="34">
        <f>DSUM($B$43:$Y$48,Q$43,$C$55:$D71)</f>
        <v>0</v>
      </c>
      <c r="R71" s="34">
        <f>DSUM($B$43:$Y$48,R$43,$C$55:$D71)</f>
        <v>0</v>
      </c>
      <c r="S71" s="34">
        <f>DSUM($B$43:$Y$48,S$43,$C$55:$D71)</f>
        <v>0</v>
      </c>
      <c r="T71" s="34">
        <f>DSUM($B$43:$Y$48,T$43,$C$55:$D71)</f>
        <v>0</v>
      </c>
      <c r="U71" s="34">
        <f>DSUM($B$43:$Y$48,U$43,$C$55:$D71)</f>
        <v>0</v>
      </c>
      <c r="V71" s="34">
        <f>DSUM($B$43:$Y$48,V$43,$C$55:$D71)</f>
        <v>0</v>
      </c>
      <c r="W71" s="34">
        <f>DSUM($B$43:$Y$48,W$43,$C$55:$D71)</f>
        <v>0</v>
      </c>
      <c r="X71" s="34">
        <f>DSUM($B$43:$Y$48,X$43,$C$55:$D71)</f>
        <v>0</v>
      </c>
      <c r="Y71" s="34">
        <f>DSUM($B$43:$Y$48,Y$43,$C$55:$D71)</f>
        <v>0</v>
      </c>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row>
    <row r="72" spans="2:80">
      <c r="B72" s="9" t="s">
        <v>114</v>
      </c>
      <c r="C72" s="50" t="s">
        <v>115</v>
      </c>
      <c r="D72" s="50" t="s">
        <v>116</v>
      </c>
      <c r="E72" s="34">
        <f ca="1">DSUM($B$43:$Y$48,E$43,$C$55:$D72)</f>
        <v>1.4095127074913531E-5</v>
      </c>
      <c r="F72" s="34">
        <f ca="1">DSUM($B$43:$Y$48,F$43,$C$55:$D72)</f>
        <v>4.0433524356728086E-5</v>
      </c>
      <c r="G72" s="34">
        <f ca="1">DSUM($B$43:$Y$48,G$43,$C$55:$D72)</f>
        <v>8.3680816953461692E-5</v>
      </c>
      <c r="H72" s="34">
        <f ca="1">DSUM($B$43:$Y$48,H$43,$C$55:$D72)</f>
        <v>1.5233706929200676E-4</v>
      </c>
      <c r="I72" s="34">
        <f ca="1">DSUM($B$43:$Y$48,I$43,$C$55:$D72)</f>
        <v>2.5367379016990325E-4</v>
      </c>
      <c r="J72" s="34">
        <f ca="1">DSUM($B$43:$Y$48,J$43,$C$55:$D72)</f>
        <v>3.8557356340784176E-4</v>
      </c>
      <c r="K72" s="34">
        <f ca="1">DSUM($B$43:$Y$48,K$43,$C$55:$D72)</f>
        <v>5.6508506857626381E-4</v>
      </c>
      <c r="L72" s="34">
        <f ca="1">DSUM($B$43:$Y$48,L$43,$C$55:$D72)</f>
        <v>8.0783856893040839E-4</v>
      </c>
      <c r="M72" s="34">
        <f ca="1">DSUM($B$43:$Y$48,M$43,$C$55:$D72)</f>
        <v>1.0999634911552944E-3</v>
      </c>
      <c r="N72" s="34">
        <f ca="1">DSUM($B$43:$Y$48,N$43,$C$55:$D72)</f>
        <v>1.4801171352331968E-3</v>
      </c>
      <c r="O72" s="34">
        <f ca="1">DSUM($B$43:$Y$48,O$43,$C$55:$D72)</f>
        <v>1.8978532364061769E-3</v>
      </c>
      <c r="P72" s="34">
        <f ca="1">DSUM($B$43:$Y$48,P$43,$C$55:$D72)</f>
        <v>2.3013196122759062E-3</v>
      </c>
      <c r="Q72" s="34">
        <f ca="1">DSUM($B$43:$Y$48,Q$43,$C$55:$D72)</f>
        <v>2.6585900073541318E-3</v>
      </c>
      <c r="R72" s="34">
        <f ca="1">DSUM($B$43:$Y$48,R$43,$C$55:$D72)</f>
        <v>3.0560065422211313E-3</v>
      </c>
      <c r="S72" s="34">
        <f ca="1">DSUM($B$43:$Y$48,S$43,$C$55:$D72)</f>
        <v>3.4427106682426E-3</v>
      </c>
      <c r="T72" s="34">
        <f ca="1">DSUM($B$43:$Y$48,T$43,$C$55:$D72)</f>
        <v>3.7125671469380073E-3</v>
      </c>
      <c r="U72" s="34">
        <f ca="1">DSUM($B$43:$Y$48,U$43,$C$55:$D72)</f>
        <v>3.7953974389755532E-3</v>
      </c>
      <c r="V72" s="34">
        <f ca="1">DSUM($B$43:$Y$48,V$43,$C$55:$D72)</f>
        <v>3.9285218568315414E-3</v>
      </c>
      <c r="W72" s="34">
        <f ca="1">DSUM($B$43:$Y$48,W$43,$C$55:$D72)</f>
        <v>4.0242566711961277E-3</v>
      </c>
      <c r="X72" s="34">
        <f ca="1">DSUM($B$43:$Y$48,X$43,$C$55:$D72)</f>
        <v>4.0929948698347745E-3</v>
      </c>
      <c r="Y72" s="34">
        <f ca="1">DSUM($B$43:$Y$48,Y$43,$C$55:$D72)</f>
        <v>3.7793016205425974E-2</v>
      </c>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row>
    <row r="73" spans="2:80">
      <c r="B73" s="9" t="s">
        <v>117</v>
      </c>
      <c r="C73" s="50" t="s">
        <v>118</v>
      </c>
      <c r="D73" s="50" t="s">
        <v>119</v>
      </c>
      <c r="E73" s="34">
        <f ca="1">DSUM($B$43:$Y$48,E$43,$C$55:$D73)</f>
        <v>5.1068432930824882E-4</v>
      </c>
      <c r="F73" s="34">
        <f ca="1">DSUM($B$43:$Y$48,F$43,$C$55:$D73)</f>
        <v>1.464957865079134E-3</v>
      </c>
      <c r="G73" s="34">
        <f ca="1">DSUM($B$43:$Y$48,G$43,$C$55:$D73)</f>
        <v>3.0318621219033661E-3</v>
      </c>
      <c r="H73" s="34">
        <f ca="1">DSUM($B$43:$Y$48,H$43,$C$55:$D73)</f>
        <v>5.5193652137151758E-3</v>
      </c>
      <c r="I73" s="34">
        <f ca="1">DSUM($B$43:$Y$48,I$43,$C$55:$D73)</f>
        <v>9.1909231259479935E-3</v>
      </c>
      <c r="J73" s="34">
        <f ca="1">DSUM($B$43:$Y$48,J$43,$C$55:$D73)</f>
        <v>1.3969819185126657E-2</v>
      </c>
      <c r="K73" s="34">
        <f ca="1">DSUM($B$43:$Y$48,K$43,$C$55:$D73)</f>
        <v>2.047374867315593E-2</v>
      </c>
      <c r="L73" s="34">
        <f ca="1">DSUM($B$43:$Y$48,L$43,$C$55:$D73)</f>
        <v>2.9269015850010845E-2</v>
      </c>
      <c r="M73" s="34">
        <f ca="1">DSUM($B$43:$Y$48,M$43,$C$55:$D73)</f>
        <v>3.9853072253883709E-2</v>
      </c>
      <c r="N73" s="34">
        <f ca="1">DSUM($B$43:$Y$48,N$43,$C$55:$D73)</f>
        <v>5.3626520888166496E-2</v>
      </c>
      <c r="O73" s="34">
        <f ca="1">DSUM($B$43:$Y$48,O$43,$C$55:$D73)</f>
        <v>6.8761629604926683E-2</v>
      </c>
      <c r="P73" s="34">
        <f ca="1">DSUM($B$43:$Y$48,P$43,$C$55:$D73)</f>
        <v>8.3379728077141169E-2</v>
      </c>
      <c r="Q73" s="34">
        <f ca="1">DSUM($B$43:$Y$48,Q$43,$C$55:$D73)</f>
        <v>9.6324087579720274E-2</v>
      </c>
      <c r="R73" s="34">
        <f ca="1">DSUM($B$43:$Y$48,R$43,$C$55:$D73)</f>
        <v>0.11072299264002153</v>
      </c>
      <c r="S73" s="34">
        <f ca="1">DSUM($B$43:$Y$48,S$43,$C$55:$D73)</f>
        <v>0.12473377354241491</v>
      </c>
      <c r="T73" s="34">
        <f ca="1">DSUM($B$43:$Y$48,T$43,$C$55:$D73)</f>
        <v>0.13451101599646317</v>
      </c>
      <c r="U73" s="34">
        <f ca="1">DSUM($B$43:$Y$48,U$43,$C$55:$D73)</f>
        <v>0.1375120625220306</v>
      </c>
      <c r="V73" s="34">
        <f ca="1">DSUM($B$43:$Y$48,V$43,$C$55:$D73)</f>
        <v>0.14233532900881066</v>
      </c>
      <c r="W73" s="34">
        <f ca="1">DSUM($B$43:$Y$48,W$43,$C$55:$D73)</f>
        <v>0.14580392274375065</v>
      </c>
      <c r="X73" s="34">
        <f ca="1">DSUM($B$43:$Y$48,X$43,$C$55:$D73)</f>
        <v>0.14829439485393914</v>
      </c>
      <c r="Y73" s="34">
        <f ca="1">DSUM($B$43:$Y$48,Y$43,$C$55:$D73)</f>
        <v>1.3692889060755165</v>
      </c>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row>
    <row r="74" spans="2:80">
      <c r="B74" s="9" t="s">
        <v>120</v>
      </c>
      <c r="C74" s="50" t="s">
        <v>121</v>
      </c>
      <c r="D74" s="50" t="s">
        <v>122</v>
      </c>
      <c r="E74" s="34">
        <f ca="1">DSUM($B$43:$Y$48,E$43,$C$55:$D74)</f>
        <v>5.1068432930824882E-4</v>
      </c>
      <c r="F74" s="34">
        <f ca="1">DSUM($B$43:$Y$48,F$43,$C$55:$D74)</f>
        <v>1.464957865079134E-3</v>
      </c>
      <c r="G74" s="34">
        <f ca="1">DSUM($B$43:$Y$48,G$43,$C$55:$D74)</f>
        <v>3.0318621219033661E-3</v>
      </c>
      <c r="H74" s="34">
        <f ca="1">DSUM($B$43:$Y$48,H$43,$C$55:$D74)</f>
        <v>5.5193652137151758E-3</v>
      </c>
      <c r="I74" s="34">
        <f ca="1">DSUM($B$43:$Y$48,I$43,$C$55:$D74)</f>
        <v>9.1909231259479935E-3</v>
      </c>
      <c r="J74" s="34">
        <f ca="1">DSUM($B$43:$Y$48,J$43,$C$55:$D74)</f>
        <v>1.3969819185126657E-2</v>
      </c>
      <c r="K74" s="34">
        <f ca="1">DSUM($B$43:$Y$48,K$43,$C$55:$D74)</f>
        <v>2.047374867315593E-2</v>
      </c>
      <c r="L74" s="34">
        <f ca="1">DSUM($B$43:$Y$48,L$43,$C$55:$D74)</f>
        <v>2.9269015850010845E-2</v>
      </c>
      <c r="M74" s="34">
        <f ca="1">DSUM($B$43:$Y$48,M$43,$C$55:$D74)</f>
        <v>3.9853072253883709E-2</v>
      </c>
      <c r="N74" s="34">
        <f ca="1">DSUM($B$43:$Y$48,N$43,$C$55:$D74)</f>
        <v>5.3626520888166496E-2</v>
      </c>
      <c r="O74" s="34">
        <f ca="1">DSUM($B$43:$Y$48,O$43,$C$55:$D74)</f>
        <v>6.8761629604926683E-2</v>
      </c>
      <c r="P74" s="34">
        <f ca="1">DSUM($B$43:$Y$48,P$43,$C$55:$D74)</f>
        <v>8.3379728077141169E-2</v>
      </c>
      <c r="Q74" s="34">
        <f ca="1">DSUM($B$43:$Y$48,Q$43,$C$55:$D74)</f>
        <v>9.6324087579720274E-2</v>
      </c>
      <c r="R74" s="34">
        <f ca="1">DSUM($B$43:$Y$48,R$43,$C$55:$D74)</f>
        <v>0.11072299264002153</v>
      </c>
      <c r="S74" s="34">
        <f ca="1">DSUM($B$43:$Y$48,S$43,$C$55:$D74)</f>
        <v>0.12473377354241491</v>
      </c>
      <c r="T74" s="34">
        <f ca="1">DSUM($B$43:$Y$48,T$43,$C$55:$D74)</f>
        <v>0.13451101599646317</v>
      </c>
      <c r="U74" s="34">
        <f ca="1">DSUM($B$43:$Y$48,U$43,$C$55:$D74)</f>
        <v>0.1375120625220306</v>
      </c>
      <c r="V74" s="34">
        <f ca="1">DSUM($B$43:$Y$48,V$43,$C$55:$D74)</f>
        <v>0.14233532900881066</v>
      </c>
      <c r="W74" s="34">
        <f ca="1">DSUM($B$43:$Y$48,W$43,$C$55:$D74)</f>
        <v>0.14580392274375065</v>
      </c>
      <c r="X74" s="34">
        <f ca="1">DSUM($B$43:$Y$48,X$43,$C$55:$D74)</f>
        <v>0.14829439485393914</v>
      </c>
      <c r="Y74" s="34">
        <f ca="1">DSUM($B$43:$Y$48,Y$43,$C$55:$D74)</f>
        <v>1.3692889060755165</v>
      </c>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row>
    <row r="75" spans="2:80">
      <c r="B75" s="9" t="s">
        <v>123</v>
      </c>
      <c r="C75" s="50" t="s">
        <v>124</v>
      </c>
      <c r="D75" s="50" t="s">
        <v>125</v>
      </c>
      <c r="E75" s="34">
        <f ca="1">DSUM($B$43:$Y$48,E$43,$C$55:$D75)</f>
        <v>5.1068432930824882E-4</v>
      </c>
      <c r="F75" s="34">
        <f ca="1">DSUM($B$43:$Y$48,F$43,$C$55:$D75)</f>
        <v>1.464957865079134E-3</v>
      </c>
      <c r="G75" s="34">
        <f ca="1">DSUM($B$43:$Y$48,G$43,$C$55:$D75)</f>
        <v>3.0318621219033661E-3</v>
      </c>
      <c r="H75" s="34">
        <f ca="1">DSUM($B$43:$Y$48,H$43,$C$55:$D75)</f>
        <v>5.5193652137151758E-3</v>
      </c>
      <c r="I75" s="34">
        <f ca="1">DSUM($B$43:$Y$48,I$43,$C$55:$D75)</f>
        <v>9.1909231259479935E-3</v>
      </c>
      <c r="J75" s="34">
        <f ca="1">DSUM($B$43:$Y$48,J$43,$C$55:$D75)</f>
        <v>1.3969819185126657E-2</v>
      </c>
      <c r="K75" s="34">
        <f ca="1">DSUM($B$43:$Y$48,K$43,$C$55:$D75)</f>
        <v>2.047374867315593E-2</v>
      </c>
      <c r="L75" s="34">
        <f ca="1">DSUM($B$43:$Y$48,L$43,$C$55:$D75)</f>
        <v>2.9269015850010845E-2</v>
      </c>
      <c r="M75" s="34">
        <f ca="1">DSUM($B$43:$Y$48,M$43,$C$55:$D75)</f>
        <v>3.9853072253883709E-2</v>
      </c>
      <c r="N75" s="34">
        <f ca="1">DSUM($B$43:$Y$48,N$43,$C$55:$D75)</f>
        <v>5.3626520888166496E-2</v>
      </c>
      <c r="O75" s="34">
        <f ca="1">DSUM($B$43:$Y$48,O$43,$C$55:$D75)</f>
        <v>6.8761629604926683E-2</v>
      </c>
      <c r="P75" s="34">
        <f ca="1">DSUM($B$43:$Y$48,P$43,$C$55:$D75)</f>
        <v>8.3379728077141169E-2</v>
      </c>
      <c r="Q75" s="34">
        <f ca="1">DSUM($B$43:$Y$48,Q$43,$C$55:$D75)</f>
        <v>9.6324087579720274E-2</v>
      </c>
      <c r="R75" s="34">
        <f ca="1">DSUM($B$43:$Y$48,R$43,$C$55:$D75)</f>
        <v>0.11072299264002153</v>
      </c>
      <c r="S75" s="34">
        <f ca="1">DSUM($B$43:$Y$48,S$43,$C$55:$D75)</f>
        <v>0.12473377354241491</v>
      </c>
      <c r="T75" s="34">
        <f ca="1">DSUM($B$43:$Y$48,T$43,$C$55:$D75)</f>
        <v>0.13451101599646317</v>
      </c>
      <c r="U75" s="34">
        <f ca="1">DSUM($B$43:$Y$48,U$43,$C$55:$D75)</f>
        <v>0.1375120625220306</v>
      </c>
      <c r="V75" s="34">
        <f ca="1">DSUM($B$43:$Y$48,V$43,$C$55:$D75)</f>
        <v>0.14233532900881066</v>
      </c>
      <c r="W75" s="34">
        <f ca="1">DSUM($B$43:$Y$48,W$43,$C$55:$D75)</f>
        <v>0.14580392274375065</v>
      </c>
      <c r="X75" s="34">
        <f ca="1">DSUM($B$43:$Y$48,X$43,$C$55:$D75)</f>
        <v>0.14829439485393914</v>
      </c>
      <c r="Y75" s="34">
        <f ca="1">DSUM($B$43:$Y$48,Y$43,$C$55:$D75)</f>
        <v>1.3692889060755165</v>
      </c>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row>
    <row r="76" spans="2:80">
      <c r="B76" s="9" t="s">
        <v>126</v>
      </c>
      <c r="C76" s="50" t="s">
        <v>127</v>
      </c>
      <c r="D76" s="50" t="s">
        <v>128</v>
      </c>
      <c r="E76" s="34">
        <f ca="1">DSUM($B$43:$Y$48,E$43,$C$55:$D76)</f>
        <v>5.1068432930824882E-4</v>
      </c>
      <c r="F76" s="34">
        <f ca="1">DSUM($B$43:$Y$48,F$43,$C$55:$D76)</f>
        <v>1.464957865079134E-3</v>
      </c>
      <c r="G76" s="34">
        <f ca="1">DSUM($B$43:$Y$48,G$43,$C$55:$D76)</f>
        <v>3.0318621219033661E-3</v>
      </c>
      <c r="H76" s="34">
        <f ca="1">DSUM($B$43:$Y$48,H$43,$C$55:$D76)</f>
        <v>5.5193652137151758E-3</v>
      </c>
      <c r="I76" s="34">
        <f ca="1">DSUM($B$43:$Y$48,I$43,$C$55:$D76)</f>
        <v>9.1909231259479935E-3</v>
      </c>
      <c r="J76" s="34">
        <f ca="1">DSUM($B$43:$Y$48,J$43,$C$55:$D76)</f>
        <v>1.3969819185126657E-2</v>
      </c>
      <c r="K76" s="34">
        <f ca="1">DSUM($B$43:$Y$48,K$43,$C$55:$D76)</f>
        <v>2.047374867315593E-2</v>
      </c>
      <c r="L76" s="34">
        <f ca="1">DSUM($B$43:$Y$48,L$43,$C$55:$D76)</f>
        <v>2.9269015850010845E-2</v>
      </c>
      <c r="M76" s="34">
        <f ca="1">DSUM($B$43:$Y$48,M$43,$C$55:$D76)</f>
        <v>3.9853072253883709E-2</v>
      </c>
      <c r="N76" s="34">
        <f ca="1">DSUM($B$43:$Y$48,N$43,$C$55:$D76)</f>
        <v>5.3626520888166496E-2</v>
      </c>
      <c r="O76" s="34">
        <f ca="1">DSUM($B$43:$Y$48,O$43,$C$55:$D76)</f>
        <v>6.8761629604926683E-2</v>
      </c>
      <c r="P76" s="34">
        <f ca="1">DSUM($B$43:$Y$48,P$43,$C$55:$D76)</f>
        <v>8.3379728077141169E-2</v>
      </c>
      <c r="Q76" s="34">
        <f ca="1">DSUM($B$43:$Y$48,Q$43,$C$55:$D76)</f>
        <v>9.6324087579720274E-2</v>
      </c>
      <c r="R76" s="34">
        <f ca="1">DSUM($B$43:$Y$48,R$43,$C$55:$D76)</f>
        <v>0.11072299264002153</v>
      </c>
      <c r="S76" s="34">
        <f ca="1">DSUM($B$43:$Y$48,S$43,$C$55:$D76)</f>
        <v>0.12473377354241491</v>
      </c>
      <c r="T76" s="34">
        <f ca="1">DSUM($B$43:$Y$48,T$43,$C$55:$D76)</f>
        <v>0.13451101599646317</v>
      </c>
      <c r="U76" s="34">
        <f ca="1">DSUM($B$43:$Y$48,U$43,$C$55:$D76)</f>
        <v>0.1375120625220306</v>
      </c>
      <c r="V76" s="34">
        <f ca="1">DSUM($B$43:$Y$48,V$43,$C$55:$D76)</f>
        <v>0.14233532900881066</v>
      </c>
      <c r="W76" s="34">
        <f ca="1">DSUM($B$43:$Y$48,W$43,$C$55:$D76)</f>
        <v>0.14580392274375065</v>
      </c>
      <c r="X76" s="34">
        <f ca="1">DSUM($B$43:$Y$48,X$43,$C$55:$D76)</f>
        <v>0.14829439485393914</v>
      </c>
      <c r="Y76" s="34">
        <f ca="1">DSUM($B$43:$Y$48,Y$43,$C$55:$D76)</f>
        <v>1.3692889060755165</v>
      </c>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row>
    <row r="77" spans="2:80">
      <c r="B77" s="9" t="s">
        <v>171</v>
      </c>
      <c r="C77" s="50" t="s">
        <v>129</v>
      </c>
      <c r="D77" s="50" t="s">
        <v>172</v>
      </c>
      <c r="E77" s="34">
        <f ca="1">DSUM($B$43:$Y$48,E$43,$C$55:$D77)</f>
        <v>5.1068432930824882E-4</v>
      </c>
      <c r="F77" s="34">
        <f ca="1">DSUM($B$43:$Y$48,F$43,$C$55:$D77)</f>
        <v>1.464957865079134E-3</v>
      </c>
      <c r="G77" s="34">
        <f ca="1">DSUM($B$43:$Y$48,G$43,$C$55:$D77)</f>
        <v>3.0318621219033661E-3</v>
      </c>
      <c r="H77" s="34">
        <f ca="1">DSUM($B$43:$Y$48,H$43,$C$55:$D77)</f>
        <v>5.5193652137151758E-3</v>
      </c>
      <c r="I77" s="34">
        <f ca="1">DSUM($B$43:$Y$48,I$43,$C$55:$D77)</f>
        <v>9.1909231259479935E-3</v>
      </c>
      <c r="J77" s="34">
        <f ca="1">DSUM($B$43:$Y$48,J$43,$C$55:$D77)</f>
        <v>1.3969819185126657E-2</v>
      </c>
      <c r="K77" s="34">
        <f ca="1">DSUM($B$43:$Y$48,K$43,$C$55:$D77)</f>
        <v>2.047374867315593E-2</v>
      </c>
      <c r="L77" s="34">
        <f ca="1">DSUM($B$43:$Y$48,L$43,$C$55:$D77)</f>
        <v>2.9269015850010845E-2</v>
      </c>
      <c r="M77" s="34">
        <f ca="1">DSUM($B$43:$Y$48,M$43,$C$55:$D77)</f>
        <v>3.9853072253883709E-2</v>
      </c>
      <c r="N77" s="34">
        <f ca="1">DSUM($B$43:$Y$48,N$43,$C$55:$D77)</f>
        <v>5.3626520888166496E-2</v>
      </c>
      <c r="O77" s="34">
        <f ca="1">DSUM($B$43:$Y$48,O$43,$C$55:$D77)</f>
        <v>6.8761629604926683E-2</v>
      </c>
      <c r="P77" s="34">
        <f ca="1">DSUM($B$43:$Y$48,P$43,$C$55:$D77)</f>
        <v>8.3379728077141169E-2</v>
      </c>
      <c r="Q77" s="34">
        <f ca="1">DSUM($B$43:$Y$48,Q$43,$C$55:$D77)</f>
        <v>9.6324087579720274E-2</v>
      </c>
      <c r="R77" s="34">
        <f ca="1">DSUM($B$43:$Y$48,R$43,$C$55:$D77)</f>
        <v>0.11072299264002153</v>
      </c>
      <c r="S77" s="34">
        <f ca="1">DSUM($B$43:$Y$48,S$43,$C$55:$D77)</f>
        <v>0.12473377354241491</v>
      </c>
      <c r="T77" s="34">
        <f ca="1">DSUM($B$43:$Y$48,T$43,$C$55:$D77)</f>
        <v>0.13451101599646317</v>
      </c>
      <c r="U77" s="34">
        <f ca="1">DSUM($B$43:$Y$48,U$43,$C$55:$D77)</f>
        <v>0.1375120625220306</v>
      </c>
      <c r="V77" s="34">
        <f ca="1">DSUM($B$43:$Y$48,V$43,$C$55:$D77)</f>
        <v>0.14233532900881066</v>
      </c>
      <c r="W77" s="34">
        <f ca="1">DSUM($B$43:$Y$48,W$43,$C$55:$D77)</f>
        <v>0.14580392274375065</v>
      </c>
      <c r="X77" s="34">
        <f ca="1">DSUM($B$43:$Y$48,X$43,$C$55:$D77)</f>
        <v>0.14829439485393914</v>
      </c>
      <c r="Y77" s="34">
        <f ca="1">DSUM($B$43:$Y$48,Y$43,$C$55:$D77)</f>
        <v>1.3692889060755165</v>
      </c>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row>
    <row r="78" spans="2:80">
      <c r="B78" s="9" t="s">
        <v>173</v>
      </c>
      <c r="C78" s="50" t="s">
        <v>174</v>
      </c>
      <c r="D78" s="50" t="s">
        <v>175</v>
      </c>
      <c r="E78" s="34">
        <f ca="1">DSUM($B$43:$Y$48,E$43,$C$55:$D78)</f>
        <v>5.1068432930824882E-4</v>
      </c>
      <c r="F78" s="34">
        <f ca="1">DSUM($B$43:$Y$48,F$43,$C$55:$D78)</f>
        <v>1.464957865079134E-3</v>
      </c>
      <c r="G78" s="34">
        <f ca="1">DSUM($B$43:$Y$48,G$43,$C$55:$D78)</f>
        <v>3.0318621219033661E-3</v>
      </c>
      <c r="H78" s="34">
        <f ca="1">DSUM($B$43:$Y$48,H$43,$C$55:$D78)</f>
        <v>5.5193652137151758E-3</v>
      </c>
      <c r="I78" s="34">
        <f ca="1">DSUM($B$43:$Y$48,I$43,$C$55:$D78)</f>
        <v>9.1909231259479935E-3</v>
      </c>
      <c r="J78" s="34">
        <f ca="1">DSUM($B$43:$Y$48,J$43,$C$55:$D78)</f>
        <v>1.3969819185126657E-2</v>
      </c>
      <c r="K78" s="34">
        <f ca="1">DSUM($B$43:$Y$48,K$43,$C$55:$D78)</f>
        <v>2.047374867315593E-2</v>
      </c>
      <c r="L78" s="34">
        <f ca="1">DSUM($B$43:$Y$48,L$43,$C$55:$D78)</f>
        <v>2.9269015850010845E-2</v>
      </c>
      <c r="M78" s="34">
        <f ca="1">DSUM($B$43:$Y$48,M$43,$C$55:$D78)</f>
        <v>3.9853072253883709E-2</v>
      </c>
      <c r="N78" s="34">
        <f ca="1">DSUM($B$43:$Y$48,N$43,$C$55:$D78)</f>
        <v>5.3626520888166496E-2</v>
      </c>
      <c r="O78" s="34">
        <f ca="1">DSUM($B$43:$Y$48,O$43,$C$55:$D78)</f>
        <v>6.8761629604926683E-2</v>
      </c>
      <c r="P78" s="34">
        <f ca="1">DSUM($B$43:$Y$48,P$43,$C$55:$D78)</f>
        <v>8.3379728077141169E-2</v>
      </c>
      <c r="Q78" s="34">
        <f ca="1">DSUM($B$43:$Y$48,Q$43,$C$55:$D78)</f>
        <v>9.6324087579720274E-2</v>
      </c>
      <c r="R78" s="34">
        <f ca="1">DSUM($B$43:$Y$48,R$43,$C$55:$D78)</f>
        <v>0.11072299264002153</v>
      </c>
      <c r="S78" s="34">
        <f ca="1">DSUM($B$43:$Y$48,S$43,$C$55:$D78)</f>
        <v>0.12473377354241491</v>
      </c>
      <c r="T78" s="34">
        <f ca="1">DSUM($B$43:$Y$48,T$43,$C$55:$D78)</f>
        <v>0.13451101599646317</v>
      </c>
      <c r="U78" s="34">
        <f ca="1">DSUM($B$43:$Y$48,U$43,$C$55:$D78)</f>
        <v>0.1375120625220306</v>
      </c>
      <c r="V78" s="34">
        <f ca="1">DSUM($B$43:$Y$48,V$43,$C$55:$D78)</f>
        <v>0.14233532900881066</v>
      </c>
      <c r="W78" s="34">
        <f ca="1">DSUM($B$43:$Y$48,W$43,$C$55:$D78)</f>
        <v>0.14580392274375065</v>
      </c>
      <c r="X78" s="34">
        <f ca="1">DSUM($B$43:$Y$48,X$43,$C$55:$D78)</f>
        <v>0.14829439485393914</v>
      </c>
      <c r="Y78" s="34">
        <f ca="1">DSUM($B$43:$Y$48,Y$43,$C$55:$D78)</f>
        <v>1.3692889060755165</v>
      </c>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row>
    <row r="79" spans="2:80">
      <c r="B79" s="9" t="s">
        <v>176</v>
      </c>
      <c r="C79" s="50" t="s">
        <v>177</v>
      </c>
      <c r="D79" s="50" t="s">
        <v>178</v>
      </c>
      <c r="E79" s="34">
        <f ca="1">DSUM($B$43:$Y$48,E$43,$C$55:$D79)</f>
        <v>5.1068432930824882E-4</v>
      </c>
      <c r="F79" s="34">
        <f ca="1">DSUM($B$43:$Y$48,F$43,$C$55:$D79)</f>
        <v>1.464957865079134E-3</v>
      </c>
      <c r="G79" s="34">
        <f ca="1">DSUM($B$43:$Y$48,G$43,$C$55:$D79)</f>
        <v>3.0318621219033661E-3</v>
      </c>
      <c r="H79" s="34">
        <f ca="1">DSUM($B$43:$Y$48,H$43,$C$55:$D79)</f>
        <v>5.5193652137151758E-3</v>
      </c>
      <c r="I79" s="34">
        <f ca="1">DSUM($B$43:$Y$48,I$43,$C$55:$D79)</f>
        <v>9.1909231259479935E-3</v>
      </c>
      <c r="J79" s="34">
        <f ca="1">DSUM($B$43:$Y$48,J$43,$C$55:$D79)</f>
        <v>1.3969819185126657E-2</v>
      </c>
      <c r="K79" s="34">
        <f ca="1">DSUM($B$43:$Y$48,K$43,$C$55:$D79)</f>
        <v>2.047374867315593E-2</v>
      </c>
      <c r="L79" s="34">
        <f ca="1">DSUM($B$43:$Y$48,L$43,$C$55:$D79)</f>
        <v>2.9269015850010845E-2</v>
      </c>
      <c r="M79" s="34">
        <f ca="1">DSUM($B$43:$Y$48,M$43,$C$55:$D79)</f>
        <v>3.9853072253883709E-2</v>
      </c>
      <c r="N79" s="34">
        <f ca="1">DSUM($B$43:$Y$48,N$43,$C$55:$D79)</f>
        <v>5.3626520888166496E-2</v>
      </c>
      <c r="O79" s="34">
        <f ca="1">DSUM($B$43:$Y$48,O$43,$C$55:$D79)</f>
        <v>6.8761629604926683E-2</v>
      </c>
      <c r="P79" s="34">
        <f ca="1">DSUM($B$43:$Y$48,P$43,$C$55:$D79)</f>
        <v>8.3379728077141169E-2</v>
      </c>
      <c r="Q79" s="34">
        <f ca="1">DSUM($B$43:$Y$48,Q$43,$C$55:$D79)</f>
        <v>9.6324087579720274E-2</v>
      </c>
      <c r="R79" s="34">
        <f ca="1">DSUM($B$43:$Y$48,R$43,$C$55:$D79)</f>
        <v>0.11072299264002153</v>
      </c>
      <c r="S79" s="34">
        <f ca="1">DSUM($B$43:$Y$48,S$43,$C$55:$D79)</f>
        <v>0.12473377354241491</v>
      </c>
      <c r="T79" s="34">
        <f ca="1">DSUM($B$43:$Y$48,T$43,$C$55:$D79)</f>
        <v>0.13451101599646317</v>
      </c>
      <c r="U79" s="34">
        <f ca="1">DSUM($B$43:$Y$48,U$43,$C$55:$D79)</f>
        <v>0.1375120625220306</v>
      </c>
      <c r="V79" s="34">
        <f ca="1">DSUM($B$43:$Y$48,V$43,$C$55:$D79)</f>
        <v>0.14233532900881066</v>
      </c>
      <c r="W79" s="34">
        <f ca="1">DSUM($B$43:$Y$48,W$43,$C$55:$D79)</f>
        <v>0.14580392274375065</v>
      </c>
      <c r="X79" s="34">
        <f ca="1">DSUM($B$43:$Y$48,X$43,$C$55:$D79)</f>
        <v>0.14829439485393914</v>
      </c>
      <c r="Y79" s="34">
        <f ca="1">DSUM($B$43:$Y$48,Y$43,$C$55:$D79)</f>
        <v>1.3692889060755165</v>
      </c>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row>
    <row r="80" spans="2:80">
      <c r="B80" s="9" t="s">
        <v>179</v>
      </c>
      <c r="C80" s="50" t="s">
        <v>180</v>
      </c>
      <c r="D80" s="50" t="s">
        <v>181</v>
      </c>
      <c r="E80" s="34">
        <f ca="1">DSUM($B$43:$Y$48,E$43,$C$55:$D80)</f>
        <v>5.1068432930824882E-4</v>
      </c>
      <c r="F80" s="34">
        <f ca="1">DSUM($B$43:$Y$48,F$43,$C$55:$D80)</f>
        <v>1.464957865079134E-3</v>
      </c>
      <c r="G80" s="34">
        <f ca="1">DSUM($B$43:$Y$48,G$43,$C$55:$D80)</f>
        <v>3.0318621219033661E-3</v>
      </c>
      <c r="H80" s="34">
        <f ca="1">DSUM($B$43:$Y$48,H$43,$C$55:$D80)</f>
        <v>5.5193652137151758E-3</v>
      </c>
      <c r="I80" s="34">
        <f ca="1">DSUM($B$43:$Y$48,I$43,$C$55:$D80)</f>
        <v>9.1909231259479935E-3</v>
      </c>
      <c r="J80" s="34">
        <f ca="1">DSUM($B$43:$Y$48,J$43,$C$55:$D80)</f>
        <v>1.3969819185126657E-2</v>
      </c>
      <c r="K80" s="34">
        <f ca="1">DSUM($B$43:$Y$48,K$43,$C$55:$D80)</f>
        <v>2.047374867315593E-2</v>
      </c>
      <c r="L80" s="34">
        <f ca="1">DSUM($B$43:$Y$48,L$43,$C$55:$D80)</f>
        <v>2.9269015850010845E-2</v>
      </c>
      <c r="M80" s="34">
        <f ca="1">DSUM($B$43:$Y$48,M$43,$C$55:$D80)</f>
        <v>3.9853072253883709E-2</v>
      </c>
      <c r="N80" s="34">
        <f ca="1">DSUM($B$43:$Y$48,N$43,$C$55:$D80)</f>
        <v>5.3626520888166496E-2</v>
      </c>
      <c r="O80" s="34">
        <f ca="1">DSUM($B$43:$Y$48,O$43,$C$55:$D80)</f>
        <v>6.8761629604926683E-2</v>
      </c>
      <c r="P80" s="34">
        <f ca="1">DSUM($B$43:$Y$48,P$43,$C$55:$D80)</f>
        <v>8.3379728077141169E-2</v>
      </c>
      <c r="Q80" s="34">
        <f ca="1">DSUM($B$43:$Y$48,Q$43,$C$55:$D80)</f>
        <v>9.6324087579720274E-2</v>
      </c>
      <c r="R80" s="34">
        <f ca="1">DSUM($B$43:$Y$48,R$43,$C$55:$D80)</f>
        <v>0.11072299264002153</v>
      </c>
      <c r="S80" s="34">
        <f ca="1">DSUM($B$43:$Y$48,S$43,$C$55:$D80)</f>
        <v>0.12473377354241491</v>
      </c>
      <c r="T80" s="34">
        <f ca="1">DSUM($B$43:$Y$48,T$43,$C$55:$D80)</f>
        <v>0.13451101599646317</v>
      </c>
      <c r="U80" s="34">
        <f ca="1">DSUM($B$43:$Y$48,U$43,$C$55:$D80)</f>
        <v>0.1375120625220306</v>
      </c>
      <c r="V80" s="34">
        <f ca="1">DSUM($B$43:$Y$48,V$43,$C$55:$D80)</f>
        <v>0.14233532900881066</v>
      </c>
      <c r="W80" s="34">
        <f ca="1">DSUM($B$43:$Y$48,W$43,$C$55:$D80)</f>
        <v>0.14580392274375065</v>
      </c>
      <c r="X80" s="34">
        <f ca="1">DSUM($B$43:$Y$48,X$43,$C$55:$D80)</f>
        <v>0.14829439485393914</v>
      </c>
      <c r="Y80" s="34">
        <f ca="1">DSUM($B$43:$Y$48,Y$43,$C$55:$D80)</f>
        <v>1.3692889060755165</v>
      </c>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row>
    <row r="81" spans="1:80">
      <c r="B81" s="9" t="s">
        <v>182</v>
      </c>
      <c r="C81" s="50" t="s">
        <v>183</v>
      </c>
      <c r="D81" s="50" t="s">
        <v>184</v>
      </c>
      <c r="E81" s="34">
        <f ca="1">DSUM($B$43:$Y$48,E$43,$C$55:$D81)</f>
        <v>5.1068432930824882E-4</v>
      </c>
      <c r="F81" s="34">
        <f ca="1">DSUM($B$43:$Y$48,F$43,$C$55:$D81)</f>
        <v>1.464957865079134E-3</v>
      </c>
      <c r="G81" s="34">
        <f ca="1">DSUM($B$43:$Y$48,G$43,$C$55:$D81)</f>
        <v>3.0318621219033661E-3</v>
      </c>
      <c r="H81" s="34">
        <f ca="1">DSUM($B$43:$Y$48,H$43,$C$55:$D81)</f>
        <v>5.5193652137151758E-3</v>
      </c>
      <c r="I81" s="34">
        <f ca="1">DSUM($B$43:$Y$48,I$43,$C$55:$D81)</f>
        <v>9.1909231259479935E-3</v>
      </c>
      <c r="J81" s="34">
        <f ca="1">DSUM($B$43:$Y$48,J$43,$C$55:$D81)</f>
        <v>1.3969819185126657E-2</v>
      </c>
      <c r="K81" s="34">
        <f ca="1">DSUM($B$43:$Y$48,K$43,$C$55:$D81)</f>
        <v>2.047374867315593E-2</v>
      </c>
      <c r="L81" s="34">
        <f ca="1">DSUM($B$43:$Y$48,L$43,$C$55:$D81)</f>
        <v>2.9269015850010845E-2</v>
      </c>
      <c r="M81" s="34">
        <f ca="1">DSUM($B$43:$Y$48,M$43,$C$55:$D81)</f>
        <v>3.9853072253883709E-2</v>
      </c>
      <c r="N81" s="34">
        <f ca="1">DSUM($B$43:$Y$48,N$43,$C$55:$D81)</f>
        <v>5.3626520888166496E-2</v>
      </c>
      <c r="O81" s="34">
        <f ca="1">DSUM($B$43:$Y$48,O$43,$C$55:$D81)</f>
        <v>6.8761629604926683E-2</v>
      </c>
      <c r="P81" s="34">
        <f ca="1">DSUM($B$43:$Y$48,P$43,$C$55:$D81)</f>
        <v>8.3379728077141169E-2</v>
      </c>
      <c r="Q81" s="34">
        <f ca="1">DSUM($B$43:$Y$48,Q$43,$C$55:$D81)</f>
        <v>9.6324087579720274E-2</v>
      </c>
      <c r="R81" s="34">
        <f ca="1">DSUM($B$43:$Y$48,R$43,$C$55:$D81)</f>
        <v>0.11072299264002153</v>
      </c>
      <c r="S81" s="34">
        <f ca="1">DSUM($B$43:$Y$48,S$43,$C$55:$D81)</f>
        <v>0.12473377354241491</v>
      </c>
      <c r="T81" s="34">
        <f ca="1">DSUM($B$43:$Y$48,T$43,$C$55:$D81)</f>
        <v>0.13451101599646317</v>
      </c>
      <c r="U81" s="34">
        <f ca="1">DSUM($B$43:$Y$48,U$43,$C$55:$D81)</f>
        <v>0.1375120625220306</v>
      </c>
      <c r="V81" s="34">
        <f ca="1">DSUM($B$43:$Y$48,V$43,$C$55:$D81)</f>
        <v>0.14233532900881066</v>
      </c>
      <c r="W81" s="34">
        <f ca="1">DSUM($B$43:$Y$48,W$43,$C$55:$D81)</f>
        <v>0.14580392274375065</v>
      </c>
      <c r="X81" s="34">
        <f ca="1">DSUM($B$43:$Y$48,X$43,$C$55:$D81)</f>
        <v>0.14829439485393914</v>
      </c>
      <c r="Y81" s="34">
        <f ca="1">DSUM($B$43:$Y$48,Y$43,$C$55:$D81)</f>
        <v>1.3692889060755165</v>
      </c>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row>
    <row r="82" spans="1:80">
      <c r="B82" s="9" t="s">
        <v>185</v>
      </c>
      <c r="C82" s="50" t="s">
        <v>186</v>
      </c>
      <c r="D82" s="50" t="s">
        <v>187</v>
      </c>
      <c r="E82" s="34">
        <f ca="1">DSUM($B$43:$Y$48,E$43,$C$55:$D82)</f>
        <v>5.1068432930824882E-4</v>
      </c>
      <c r="F82" s="34">
        <f ca="1">DSUM($B$43:$Y$48,F$43,$C$55:$D82)</f>
        <v>1.464957865079134E-3</v>
      </c>
      <c r="G82" s="34">
        <f ca="1">DSUM($B$43:$Y$48,G$43,$C$55:$D82)</f>
        <v>3.0318621219033661E-3</v>
      </c>
      <c r="H82" s="34">
        <f ca="1">DSUM($B$43:$Y$48,H$43,$C$55:$D82)</f>
        <v>5.5193652137151758E-3</v>
      </c>
      <c r="I82" s="34">
        <f ca="1">DSUM($B$43:$Y$48,I$43,$C$55:$D82)</f>
        <v>9.1909231259479935E-3</v>
      </c>
      <c r="J82" s="34">
        <f ca="1">DSUM($B$43:$Y$48,J$43,$C$55:$D82)</f>
        <v>1.3969819185126657E-2</v>
      </c>
      <c r="K82" s="34">
        <f ca="1">DSUM($B$43:$Y$48,K$43,$C$55:$D82)</f>
        <v>2.047374867315593E-2</v>
      </c>
      <c r="L82" s="34">
        <f ca="1">DSUM($B$43:$Y$48,L$43,$C$55:$D82)</f>
        <v>2.9269015850010845E-2</v>
      </c>
      <c r="M82" s="34">
        <f ca="1">DSUM($B$43:$Y$48,M$43,$C$55:$D82)</f>
        <v>3.9853072253883709E-2</v>
      </c>
      <c r="N82" s="34">
        <f ca="1">DSUM($B$43:$Y$48,N$43,$C$55:$D82)</f>
        <v>5.3626520888166496E-2</v>
      </c>
      <c r="O82" s="34">
        <f ca="1">DSUM($B$43:$Y$48,O$43,$C$55:$D82)</f>
        <v>6.8761629604926683E-2</v>
      </c>
      <c r="P82" s="34">
        <f ca="1">DSUM($B$43:$Y$48,P$43,$C$55:$D82)</f>
        <v>8.3379728077141169E-2</v>
      </c>
      <c r="Q82" s="34">
        <f ca="1">DSUM($B$43:$Y$48,Q$43,$C$55:$D82)</f>
        <v>9.6324087579720274E-2</v>
      </c>
      <c r="R82" s="34">
        <f ca="1">DSUM($B$43:$Y$48,R$43,$C$55:$D82)</f>
        <v>0.11072299264002153</v>
      </c>
      <c r="S82" s="34">
        <f ca="1">DSUM($B$43:$Y$48,S$43,$C$55:$D82)</f>
        <v>0.12473377354241491</v>
      </c>
      <c r="T82" s="34">
        <f ca="1">DSUM($B$43:$Y$48,T$43,$C$55:$D82)</f>
        <v>0.13451101599646317</v>
      </c>
      <c r="U82" s="34">
        <f ca="1">DSUM($B$43:$Y$48,U$43,$C$55:$D82)</f>
        <v>0.1375120625220306</v>
      </c>
      <c r="V82" s="34">
        <f ca="1">DSUM($B$43:$Y$48,V$43,$C$55:$D82)</f>
        <v>0.14233532900881066</v>
      </c>
      <c r="W82" s="34">
        <f ca="1">DSUM($B$43:$Y$48,W$43,$C$55:$D82)</f>
        <v>0.14580392274375065</v>
      </c>
      <c r="X82" s="34">
        <f ca="1">DSUM($B$43:$Y$48,X$43,$C$55:$D82)</f>
        <v>0.14829439485393914</v>
      </c>
      <c r="Y82" s="34">
        <f ca="1">DSUM($B$43:$Y$48,Y$43,$C$55:$D82)</f>
        <v>1.3692889060755165</v>
      </c>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row>
    <row r="83" spans="1:80">
      <c r="B83" s="9" t="s">
        <v>188</v>
      </c>
      <c r="C83" s="50" t="s">
        <v>189</v>
      </c>
      <c r="D83" s="50" t="s">
        <v>190</v>
      </c>
      <c r="E83" s="34">
        <f ca="1">DSUM($B$43:$Y$48,E$43,$C$55:$D83)</f>
        <v>5.1068432930824882E-4</v>
      </c>
      <c r="F83" s="34">
        <f ca="1">DSUM($B$43:$Y$48,F$43,$C$55:$D83)</f>
        <v>1.464957865079134E-3</v>
      </c>
      <c r="G83" s="34">
        <f ca="1">DSUM($B$43:$Y$48,G$43,$C$55:$D83)</f>
        <v>3.0318621219033661E-3</v>
      </c>
      <c r="H83" s="34">
        <f ca="1">DSUM($B$43:$Y$48,H$43,$C$55:$D83)</f>
        <v>5.5193652137151758E-3</v>
      </c>
      <c r="I83" s="34">
        <f ca="1">DSUM($B$43:$Y$48,I$43,$C$55:$D83)</f>
        <v>9.1909231259479935E-3</v>
      </c>
      <c r="J83" s="34">
        <f ca="1">DSUM($B$43:$Y$48,J$43,$C$55:$D83)</f>
        <v>1.3969819185126657E-2</v>
      </c>
      <c r="K83" s="34">
        <f ca="1">DSUM($B$43:$Y$48,K$43,$C$55:$D83)</f>
        <v>2.047374867315593E-2</v>
      </c>
      <c r="L83" s="34">
        <f ca="1">DSUM($B$43:$Y$48,L$43,$C$55:$D83)</f>
        <v>2.9269015850010845E-2</v>
      </c>
      <c r="M83" s="34">
        <f ca="1">DSUM($B$43:$Y$48,M$43,$C$55:$D83)</f>
        <v>3.9853072253883709E-2</v>
      </c>
      <c r="N83" s="34">
        <f ca="1">DSUM($B$43:$Y$48,N$43,$C$55:$D83)</f>
        <v>5.3626520888166496E-2</v>
      </c>
      <c r="O83" s="34">
        <f ca="1">DSUM($B$43:$Y$48,O$43,$C$55:$D83)</f>
        <v>6.8761629604926683E-2</v>
      </c>
      <c r="P83" s="34">
        <f ca="1">DSUM($B$43:$Y$48,P$43,$C$55:$D83)</f>
        <v>8.3379728077141169E-2</v>
      </c>
      <c r="Q83" s="34">
        <f ca="1">DSUM($B$43:$Y$48,Q$43,$C$55:$D83)</f>
        <v>9.6324087579720274E-2</v>
      </c>
      <c r="R83" s="34">
        <f ca="1">DSUM($B$43:$Y$48,R$43,$C$55:$D83)</f>
        <v>0.11072299264002153</v>
      </c>
      <c r="S83" s="34">
        <f ca="1">DSUM($B$43:$Y$48,S$43,$C$55:$D83)</f>
        <v>0.12473377354241491</v>
      </c>
      <c r="T83" s="34">
        <f ca="1">DSUM($B$43:$Y$48,T$43,$C$55:$D83)</f>
        <v>0.13451101599646317</v>
      </c>
      <c r="U83" s="34">
        <f ca="1">DSUM($B$43:$Y$48,U$43,$C$55:$D83)</f>
        <v>0.1375120625220306</v>
      </c>
      <c r="V83" s="34">
        <f ca="1">DSUM($B$43:$Y$48,V$43,$C$55:$D83)</f>
        <v>0.14233532900881066</v>
      </c>
      <c r="W83" s="34">
        <f ca="1">DSUM($B$43:$Y$48,W$43,$C$55:$D83)</f>
        <v>0.14580392274375065</v>
      </c>
      <c r="X83" s="34">
        <f ca="1">DSUM($B$43:$Y$48,X$43,$C$55:$D83)</f>
        <v>0.14829439485393914</v>
      </c>
      <c r="Y83" s="34">
        <f ca="1">DSUM($B$43:$Y$48,Y$43,$C$55:$D83)</f>
        <v>1.3692889060755165</v>
      </c>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row>
    <row r="84" spans="1:80">
      <c r="B84" s="9" t="s">
        <v>191</v>
      </c>
      <c r="C84" s="50" t="s">
        <v>192</v>
      </c>
      <c r="D84" s="50" t="s">
        <v>193</v>
      </c>
      <c r="E84" s="34">
        <f ca="1">DSUM($B$43:$Y$48,E$43,$C$55:$D84)</f>
        <v>5.1068432930824882E-4</v>
      </c>
      <c r="F84" s="34">
        <f ca="1">DSUM($B$43:$Y$48,F$43,$C$55:$D84)</f>
        <v>1.464957865079134E-3</v>
      </c>
      <c r="G84" s="34">
        <f ca="1">DSUM($B$43:$Y$48,G$43,$C$55:$D84)</f>
        <v>3.0318621219033661E-3</v>
      </c>
      <c r="H84" s="34">
        <f ca="1">DSUM($B$43:$Y$48,H$43,$C$55:$D84)</f>
        <v>5.5193652137151758E-3</v>
      </c>
      <c r="I84" s="34">
        <f ca="1">DSUM($B$43:$Y$48,I$43,$C$55:$D84)</f>
        <v>9.1909231259479935E-3</v>
      </c>
      <c r="J84" s="34">
        <f ca="1">DSUM($B$43:$Y$48,J$43,$C$55:$D84)</f>
        <v>1.3969819185126657E-2</v>
      </c>
      <c r="K84" s="34">
        <f ca="1">DSUM($B$43:$Y$48,K$43,$C$55:$D84)</f>
        <v>2.047374867315593E-2</v>
      </c>
      <c r="L84" s="34">
        <f ca="1">DSUM($B$43:$Y$48,L$43,$C$55:$D84)</f>
        <v>2.9269015850010845E-2</v>
      </c>
      <c r="M84" s="34">
        <f ca="1">DSUM($B$43:$Y$48,M$43,$C$55:$D84)</f>
        <v>3.9853072253883709E-2</v>
      </c>
      <c r="N84" s="34">
        <f ca="1">DSUM($B$43:$Y$48,N$43,$C$55:$D84)</f>
        <v>5.3626520888166496E-2</v>
      </c>
      <c r="O84" s="34">
        <f ca="1">DSUM($B$43:$Y$48,O$43,$C$55:$D84)</f>
        <v>6.8761629604926683E-2</v>
      </c>
      <c r="P84" s="34">
        <f ca="1">DSUM($B$43:$Y$48,P$43,$C$55:$D84)</f>
        <v>8.3379728077141169E-2</v>
      </c>
      <c r="Q84" s="34">
        <f ca="1">DSUM($B$43:$Y$48,Q$43,$C$55:$D84)</f>
        <v>9.6324087579720274E-2</v>
      </c>
      <c r="R84" s="34">
        <f ca="1">DSUM($B$43:$Y$48,R$43,$C$55:$D84)</f>
        <v>0.11072299264002153</v>
      </c>
      <c r="S84" s="34">
        <f ca="1">DSUM($B$43:$Y$48,S$43,$C$55:$D84)</f>
        <v>0.12473377354241491</v>
      </c>
      <c r="T84" s="34">
        <f ca="1">DSUM($B$43:$Y$48,T$43,$C$55:$D84)</f>
        <v>0.13451101599646317</v>
      </c>
      <c r="U84" s="34">
        <f ca="1">DSUM($B$43:$Y$48,U$43,$C$55:$D84)</f>
        <v>0.1375120625220306</v>
      </c>
      <c r="V84" s="34">
        <f ca="1">DSUM($B$43:$Y$48,V$43,$C$55:$D84)</f>
        <v>0.14233532900881066</v>
      </c>
      <c r="W84" s="34">
        <f ca="1">DSUM($B$43:$Y$48,W$43,$C$55:$D84)</f>
        <v>0.14580392274375065</v>
      </c>
      <c r="X84" s="34">
        <f ca="1">DSUM($B$43:$Y$48,X$43,$C$55:$D84)</f>
        <v>0.14829439485393914</v>
      </c>
      <c r="Y84" s="34">
        <f ca="1">DSUM($B$43:$Y$48,Y$43,$C$55:$D84)</f>
        <v>1.3692889060755165</v>
      </c>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row>
    <row r="85" spans="1:80">
      <c r="B85" s="9" t="s">
        <v>194</v>
      </c>
      <c r="C85" s="50" t="s">
        <v>195</v>
      </c>
      <c r="D85" s="50" t="s">
        <v>196</v>
      </c>
      <c r="E85" s="34">
        <f ca="1">DSUM($B$43:$Y$48,E$43,$C$55:$D85)</f>
        <v>5.1068432930824882E-4</v>
      </c>
      <c r="F85" s="34">
        <f ca="1">DSUM($B$43:$Y$48,F$43,$C$55:$D85)</f>
        <v>1.464957865079134E-3</v>
      </c>
      <c r="G85" s="34">
        <f ca="1">DSUM($B$43:$Y$48,G$43,$C$55:$D85)</f>
        <v>3.0318621219033661E-3</v>
      </c>
      <c r="H85" s="34">
        <f ca="1">DSUM($B$43:$Y$48,H$43,$C$55:$D85)</f>
        <v>5.5193652137151758E-3</v>
      </c>
      <c r="I85" s="34">
        <f ca="1">DSUM($B$43:$Y$48,I$43,$C$55:$D85)</f>
        <v>9.1909231259479935E-3</v>
      </c>
      <c r="J85" s="34">
        <f ca="1">DSUM($B$43:$Y$48,J$43,$C$55:$D85)</f>
        <v>1.3969819185126657E-2</v>
      </c>
      <c r="K85" s="34">
        <f ca="1">DSUM($B$43:$Y$48,K$43,$C$55:$D85)</f>
        <v>2.047374867315593E-2</v>
      </c>
      <c r="L85" s="34">
        <f ca="1">DSUM($B$43:$Y$48,L$43,$C$55:$D85)</f>
        <v>2.9269015850010845E-2</v>
      </c>
      <c r="M85" s="34">
        <f ca="1">DSUM($B$43:$Y$48,M$43,$C$55:$D85)</f>
        <v>3.9853072253883709E-2</v>
      </c>
      <c r="N85" s="34">
        <f ca="1">DSUM($B$43:$Y$48,N$43,$C$55:$D85)</f>
        <v>5.3626520888166496E-2</v>
      </c>
      <c r="O85" s="34">
        <f ca="1">DSUM($B$43:$Y$48,O$43,$C$55:$D85)</f>
        <v>6.8761629604926683E-2</v>
      </c>
      <c r="P85" s="34">
        <f ca="1">DSUM($B$43:$Y$48,P$43,$C$55:$D85)</f>
        <v>8.3379728077141169E-2</v>
      </c>
      <c r="Q85" s="34">
        <f ca="1">DSUM($B$43:$Y$48,Q$43,$C$55:$D85)</f>
        <v>9.6324087579720274E-2</v>
      </c>
      <c r="R85" s="34">
        <f ca="1">DSUM($B$43:$Y$48,R$43,$C$55:$D85)</f>
        <v>0.11072299264002153</v>
      </c>
      <c r="S85" s="34">
        <f ca="1">DSUM($B$43:$Y$48,S$43,$C$55:$D85)</f>
        <v>0.12473377354241491</v>
      </c>
      <c r="T85" s="34">
        <f ca="1">DSUM($B$43:$Y$48,T$43,$C$55:$D85)</f>
        <v>0.13451101599646317</v>
      </c>
      <c r="U85" s="34">
        <f ca="1">DSUM($B$43:$Y$48,U$43,$C$55:$D85)</f>
        <v>0.1375120625220306</v>
      </c>
      <c r="V85" s="34">
        <f ca="1">DSUM($B$43:$Y$48,V$43,$C$55:$D85)</f>
        <v>0.14233532900881066</v>
      </c>
      <c r="W85" s="34">
        <f ca="1">DSUM($B$43:$Y$48,W$43,$C$55:$D85)</f>
        <v>0.14580392274375065</v>
      </c>
      <c r="X85" s="34">
        <f ca="1">DSUM($B$43:$Y$48,X$43,$C$55:$D85)</f>
        <v>0.14829439485393914</v>
      </c>
      <c r="Y85" s="34">
        <f ca="1">DSUM($B$43:$Y$48,Y$43,$C$55:$D85)</f>
        <v>1.3692889060755165</v>
      </c>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row>
    <row r="86" spans="1:80">
      <c r="B86" s="9" t="s">
        <v>197</v>
      </c>
      <c r="C86" s="50" t="s">
        <v>198</v>
      </c>
      <c r="D86" s="50" t="s">
        <v>199</v>
      </c>
      <c r="E86" s="34">
        <f ca="1">DSUM($B$43:$Y$48,E$43,$C$55:$D86)</f>
        <v>5.1068432930824882E-4</v>
      </c>
      <c r="F86" s="34">
        <f ca="1">DSUM($B$43:$Y$48,F$43,$C$55:$D86)</f>
        <v>1.464957865079134E-3</v>
      </c>
      <c r="G86" s="34">
        <f ca="1">DSUM($B$43:$Y$48,G$43,$C$55:$D86)</f>
        <v>3.0318621219033661E-3</v>
      </c>
      <c r="H86" s="34">
        <f ca="1">DSUM($B$43:$Y$48,H$43,$C$55:$D86)</f>
        <v>5.5193652137151758E-3</v>
      </c>
      <c r="I86" s="34">
        <f ca="1">DSUM($B$43:$Y$48,I$43,$C$55:$D86)</f>
        <v>9.1909231259479935E-3</v>
      </c>
      <c r="J86" s="34">
        <f ca="1">DSUM($B$43:$Y$48,J$43,$C$55:$D86)</f>
        <v>1.3969819185126657E-2</v>
      </c>
      <c r="K86" s="34">
        <f ca="1">DSUM($B$43:$Y$48,K$43,$C$55:$D86)</f>
        <v>2.047374867315593E-2</v>
      </c>
      <c r="L86" s="34">
        <f ca="1">DSUM($B$43:$Y$48,L$43,$C$55:$D86)</f>
        <v>2.9269015850010845E-2</v>
      </c>
      <c r="M86" s="34">
        <f ca="1">DSUM($B$43:$Y$48,M$43,$C$55:$D86)</f>
        <v>3.9853072253883709E-2</v>
      </c>
      <c r="N86" s="34">
        <f ca="1">DSUM($B$43:$Y$48,N$43,$C$55:$D86)</f>
        <v>5.3626520888166496E-2</v>
      </c>
      <c r="O86" s="34">
        <f ca="1">DSUM($B$43:$Y$48,O$43,$C$55:$D86)</f>
        <v>6.8761629604926683E-2</v>
      </c>
      <c r="P86" s="34">
        <f ca="1">DSUM($B$43:$Y$48,P$43,$C$55:$D86)</f>
        <v>8.3379728077141169E-2</v>
      </c>
      <c r="Q86" s="34">
        <f ca="1">DSUM($B$43:$Y$48,Q$43,$C$55:$D86)</f>
        <v>9.6324087579720274E-2</v>
      </c>
      <c r="R86" s="34">
        <f ca="1">DSUM($B$43:$Y$48,R$43,$C$55:$D86)</f>
        <v>0.11072299264002153</v>
      </c>
      <c r="S86" s="34">
        <f ca="1">DSUM($B$43:$Y$48,S$43,$C$55:$D86)</f>
        <v>0.12473377354241491</v>
      </c>
      <c r="T86" s="34">
        <f ca="1">DSUM($B$43:$Y$48,T$43,$C$55:$D86)</f>
        <v>0.13451101599646317</v>
      </c>
      <c r="U86" s="34">
        <f ca="1">DSUM($B$43:$Y$48,U$43,$C$55:$D86)</f>
        <v>0.1375120625220306</v>
      </c>
      <c r="V86" s="34">
        <f ca="1">DSUM($B$43:$Y$48,V$43,$C$55:$D86)</f>
        <v>0.14233532900881066</v>
      </c>
      <c r="W86" s="34">
        <f ca="1">DSUM($B$43:$Y$48,W$43,$C$55:$D86)</f>
        <v>0.14580392274375065</v>
      </c>
      <c r="X86" s="34">
        <f ca="1">DSUM($B$43:$Y$48,X$43,$C$55:$D86)</f>
        <v>0.14829439485393914</v>
      </c>
      <c r="Y86" s="34">
        <f ca="1">DSUM($B$43:$Y$48,Y$43,$C$55:$D86)</f>
        <v>1.3692889060755165</v>
      </c>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row>
    <row r="87" spans="1:80">
      <c r="B87" s="9" t="s">
        <v>200</v>
      </c>
      <c r="C87" s="50" t="s">
        <v>201</v>
      </c>
      <c r="D87" s="50" t="s">
        <v>130</v>
      </c>
      <c r="E87" s="34">
        <f ca="1">DSUM($B$43:$Y$48,E$43,$C$55:$D87)</f>
        <v>5.1068432930824882E-4</v>
      </c>
      <c r="F87" s="34">
        <f ca="1">DSUM($B$43:$Y$48,F$43,$C$55:$D87)</f>
        <v>1.464957865079134E-3</v>
      </c>
      <c r="G87" s="34">
        <f ca="1">DSUM($B$43:$Y$48,G$43,$C$55:$D87)</f>
        <v>3.0318621219033661E-3</v>
      </c>
      <c r="H87" s="34">
        <f ca="1">DSUM($B$43:$Y$48,H$43,$C$55:$D87)</f>
        <v>5.5193652137151758E-3</v>
      </c>
      <c r="I87" s="34">
        <f ca="1">DSUM($B$43:$Y$48,I$43,$C$55:$D87)</f>
        <v>9.1909231259479935E-3</v>
      </c>
      <c r="J87" s="34">
        <f ca="1">DSUM($B$43:$Y$48,J$43,$C$55:$D87)</f>
        <v>1.3969819185126657E-2</v>
      </c>
      <c r="K87" s="34">
        <f ca="1">DSUM($B$43:$Y$48,K$43,$C$55:$D87)</f>
        <v>2.047374867315593E-2</v>
      </c>
      <c r="L87" s="34">
        <f ca="1">DSUM($B$43:$Y$48,L$43,$C$55:$D87)</f>
        <v>2.9269015850010845E-2</v>
      </c>
      <c r="M87" s="34">
        <f ca="1">DSUM($B$43:$Y$48,M$43,$C$55:$D87)</f>
        <v>3.9853072253883709E-2</v>
      </c>
      <c r="N87" s="34">
        <f ca="1">DSUM($B$43:$Y$48,N$43,$C$55:$D87)</f>
        <v>5.3626520888166496E-2</v>
      </c>
      <c r="O87" s="34">
        <f ca="1">DSUM($B$43:$Y$48,O$43,$C$55:$D87)</f>
        <v>6.8761629604926683E-2</v>
      </c>
      <c r="P87" s="34">
        <f ca="1">DSUM($B$43:$Y$48,P$43,$C$55:$D87)</f>
        <v>8.3379728077141169E-2</v>
      </c>
      <c r="Q87" s="34">
        <f ca="1">DSUM($B$43:$Y$48,Q$43,$C$55:$D87)</f>
        <v>9.6324087579720274E-2</v>
      </c>
      <c r="R87" s="34">
        <f ca="1">DSUM($B$43:$Y$48,R$43,$C$55:$D87)</f>
        <v>0.11072299264002153</v>
      </c>
      <c r="S87" s="34">
        <f ca="1">DSUM($B$43:$Y$48,S$43,$C$55:$D87)</f>
        <v>0.12473377354241491</v>
      </c>
      <c r="T87" s="34">
        <f ca="1">DSUM($B$43:$Y$48,T$43,$C$55:$D87)</f>
        <v>0.13451101599646317</v>
      </c>
      <c r="U87" s="34">
        <f ca="1">DSUM($B$43:$Y$48,U$43,$C$55:$D87)</f>
        <v>0.1375120625220306</v>
      </c>
      <c r="V87" s="34">
        <f ca="1">DSUM($B$43:$Y$48,V$43,$C$55:$D87)</f>
        <v>0.14233532900881066</v>
      </c>
      <c r="W87" s="34">
        <f ca="1">DSUM($B$43:$Y$48,W$43,$C$55:$D87)</f>
        <v>0.14580392274375065</v>
      </c>
      <c r="X87" s="34">
        <f ca="1">DSUM($B$43:$Y$48,X$43,$C$55:$D87)</f>
        <v>0.14829439485393914</v>
      </c>
      <c r="Y87" s="34">
        <f ca="1">DSUM($B$43:$Y$48,Y$43,$C$55:$D87)</f>
        <v>1.3692889060755165</v>
      </c>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row>
    <row r="88" spans="1:80">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row>
    <row r="89" spans="1:80">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row>
    <row r="90" spans="1:80" ht="15">
      <c r="A90" s="55" t="s">
        <v>131</v>
      </c>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row>
    <row r="91" spans="1:80" ht="15">
      <c r="C91" s="64" t="s">
        <v>137</v>
      </c>
      <c r="D91" s="64"/>
      <c r="E91" s="58">
        <f t="shared" ref="E91:X91" si="22">E11</f>
        <v>2016</v>
      </c>
      <c r="F91" s="59">
        <f t="shared" si="22"/>
        <v>2017</v>
      </c>
      <c r="G91" s="59">
        <f t="shared" si="22"/>
        <v>2018</v>
      </c>
      <c r="H91" s="59">
        <f t="shared" si="22"/>
        <v>2019</v>
      </c>
      <c r="I91" s="59">
        <f t="shared" si="22"/>
        <v>2020</v>
      </c>
      <c r="J91" s="59">
        <f t="shared" si="22"/>
        <v>2021</v>
      </c>
      <c r="K91" s="59">
        <f t="shared" si="22"/>
        <v>2022</v>
      </c>
      <c r="L91" s="59">
        <f t="shared" si="22"/>
        <v>2023</v>
      </c>
      <c r="M91" s="59">
        <f t="shared" si="22"/>
        <v>2024</v>
      </c>
      <c r="N91" s="59">
        <f t="shared" si="22"/>
        <v>2025</v>
      </c>
      <c r="O91" s="59">
        <f t="shared" si="22"/>
        <v>2026</v>
      </c>
      <c r="P91" s="59">
        <f t="shared" si="22"/>
        <v>2027</v>
      </c>
      <c r="Q91" s="59">
        <f t="shared" si="22"/>
        <v>2028</v>
      </c>
      <c r="R91" s="59">
        <f t="shared" si="22"/>
        <v>2029</v>
      </c>
      <c r="S91" s="59">
        <f t="shared" si="22"/>
        <v>2030</v>
      </c>
      <c r="T91" s="59">
        <f t="shared" si="22"/>
        <v>2031</v>
      </c>
      <c r="U91" s="59">
        <f t="shared" si="22"/>
        <v>2032</v>
      </c>
      <c r="V91" s="59">
        <f t="shared" si="22"/>
        <v>2033</v>
      </c>
      <c r="W91" s="59">
        <f t="shared" si="22"/>
        <v>2034</v>
      </c>
      <c r="X91" s="59">
        <f t="shared" si="22"/>
        <v>2035</v>
      </c>
      <c r="Y91" s="60" t="s">
        <v>59</v>
      </c>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row>
    <row r="92" spans="1:80" ht="15">
      <c r="C92" s="64" t="str">
        <f>C8</f>
        <v>GSHP</v>
      </c>
      <c r="D92" s="64"/>
      <c r="E92" s="61" t="str">
        <f>CONCATENATE("aMW_",E$11)</f>
        <v>aMW_2016</v>
      </c>
      <c r="F92" s="62" t="str">
        <f t="shared" ref="F92:X92" si="23">CONCATENATE("aMW_",F$11)</f>
        <v>aMW_2017</v>
      </c>
      <c r="G92" s="62" t="str">
        <f t="shared" si="23"/>
        <v>aMW_2018</v>
      </c>
      <c r="H92" s="62" t="str">
        <f t="shared" si="23"/>
        <v>aMW_2019</v>
      </c>
      <c r="I92" s="62" t="str">
        <f t="shared" si="23"/>
        <v>aMW_2020</v>
      </c>
      <c r="J92" s="62" t="str">
        <f t="shared" si="23"/>
        <v>aMW_2021</v>
      </c>
      <c r="K92" s="62" t="str">
        <f t="shared" si="23"/>
        <v>aMW_2022</v>
      </c>
      <c r="L92" s="62" t="str">
        <f t="shared" si="23"/>
        <v>aMW_2023</v>
      </c>
      <c r="M92" s="62" t="str">
        <f t="shared" si="23"/>
        <v>aMW_2024</v>
      </c>
      <c r="N92" s="62" t="str">
        <f t="shared" si="23"/>
        <v>aMW_2025</v>
      </c>
      <c r="O92" s="62" t="str">
        <f t="shared" si="23"/>
        <v>aMW_2026</v>
      </c>
      <c r="P92" s="62" t="str">
        <f t="shared" si="23"/>
        <v>aMW_2027</v>
      </c>
      <c r="Q92" s="62" t="str">
        <f t="shared" si="23"/>
        <v>aMW_2028</v>
      </c>
      <c r="R92" s="62" t="str">
        <f t="shared" si="23"/>
        <v>aMW_2029</v>
      </c>
      <c r="S92" s="62" t="str">
        <f t="shared" si="23"/>
        <v>aMW_2030</v>
      </c>
      <c r="T92" s="62" t="str">
        <f t="shared" si="23"/>
        <v>aMW_2031</v>
      </c>
      <c r="U92" s="62" t="str">
        <f t="shared" si="23"/>
        <v>aMW_2032</v>
      </c>
      <c r="V92" s="62" t="str">
        <f t="shared" si="23"/>
        <v>aMW_2033</v>
      </c>
      <c r="W92" s="62" t="str">
        <f t="shared" si="23"/>
        <v>aMW_2034</v>
      </c>
      <c r="X92" s="62" t="str">
        <f t="shared" si="23"/>
        <v>aMW_2035</v>
      </c>
      <c r="Y92" s="63" t="s">
        <v>59</v>
      </c>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row>
    <row r="93" spans="1:80">
      <c r="C93" s="9" t="s">
        <v>67</v>
      </c>
      <c r="E93" s="34">
        <f t="shared" ref="E93:Y93" si="24">E56</f>
        <v>0</v>
      </c>
      <c r="F93" s="34">
        <f t="shared" si="24"/>
        <v>0</v>
      </c>
      <c r="G93" s="34">
        <f t="shared" si="24"/>
        <v>0</v>
      </c>
      <c r="H93" s="34">
        <f t="shared" si="24"/>
        <v>0</v>
      </c>
      <c r="I93" s="34">
        <f t="shared" si="24"/>
        <v>0</v>
      </c>
      <c r="J93" s="34">
        <f t="shared" si="24"/>
        <v>0</v>
      </c>
      <c r="K93" s="34">
        <f t="shared" si="24"/>
        <v>0</v>
      </c>
      <c r="L93" s="34">
        <f t="shared" si="24"/>
        <v>0</v>
      </c>
      <c r="M93" s="34">
        <f t="shared" si="24"/>
        <v>0</v>
      </c>
      <c r="N93" s="34">
        <f t="shared" si="24"/>
        <v>0</v>
      </c>
      <c r="O93" s="34">
        <f t="shared" si="24"/>
        <v>0</v>
      </c>
      <c r="P93" s="34">
        <f t="shared" si="24"/>
        <v>0</v>
      </c>
      <c r="Q93" s="34">
        <f t="shared" si="24"/>
        <v>0</v>
      </c>
      <c r="R93" s="34">
        <f t="shared" si="24"/>
        <v>0</v>
      </c>
      <c r="S93" s="34">
        <f t="shared" si="24"/>
        <v>0</v>
      </c>
      <c r="T93" s="34">
        <f t="shared" si="24"/>
        <v>0</v>
      </c>
      <c r="U93" s="34">
        <f t="shared" si="24"/>
        <v>0</v>
      </c>
      <c r="V93" s="34">
        <f t="shared" si="24"/>
        <v>0</v>
      </c>
      <c r="W93" s="34">
        <f t="shared" si="24"/>
        <v>0</v>
      </c>
      <c r="X93" s="34">
        <f t="shared" si="24"/>
        <v>0</v>
      </c>
      <c r="Y93" s="34">
        <f t="shared" si="24"/>
        <v>0</v>
      </c>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row>
    <row r="94" spans="1:80">
      <c r="C94" s="9" t="s">
        <v>205</v>
      </c>
      <c r="E94" s="34">
        <f t="shared" ref="E94:X106" si="25">E57-E56</f>
        <v>0</v>
      </c>
      <c r="F94" s="34">
        <f t="shared" si="25"/>
        <v>0</v>
      </c>
      <c r="G94" s="34">
        <f t="shared" si="25"/>
        <v>0</v>
      </c>
      <c r="H94" s="34">
        <f t="shared" si="25"/>
        <v>0</v>
      </c>
      <c r="I94" s="34">
        <f t="shared" si="25"/>
        <v>0</v>
      </c>
      <c r="J94" s="34">
        <f t="shared" si="25"/>
        <v>0</v>
      </c>
      <c r="K94" s="34">
        <f t="shared" si="25"/>
        <v>0</v>
      </c>
      <c r="L94" s="34">
        <f t="shared" si="25"/>
        <v>0</v>
      </c>
      <c r="M94" s="34">
        <f t="shared" si="25"/>
        <v>0</v>
      </c>
      <c r="N94" s="34">
        <f t="shared" si="25"/>
        <v>0</v>
      </c>
      <c r="O94" s="34">
        <f t="shared" si="25"/>
        <v>0</v>
      </c>
      <c r="P94" s="34">
        <f t="shared" si="25"/>
        <v>0</v>
      </c>
      <c r="Q94" s="34">
        <f t="shared" si="25"/>
        <v>0</v>
      </c>
      <c r="R94" s="34">
        <f t="shared" si="25"/>
        <v>0</v>
      </c>
      <c r="S94" s="34">
        <f t="shared" si="25"/>
        <v>0</v>
      </c>
      <c r="T94" s="34">
        <f t="shared" si="25"/>
        <v>0</v>
      </c>
      <c r="U94" s="34">
        <f t="shared" si="25"/>
        <v>0</v>
      </c>
      <c r="V94" s="34">
        <f t="shared" si="25"/>
        <v>0</v>
      </c>
      <c r="W94" s="34">
        <f t="shared" si="25"/>
        <v>0</v>
      </c>
      <c r="X94" s="34">
        <f t="shared" si="25"/>
        <v>0</v>
      </c>
      <c r="Y94" s="34">
        <f t="shared" ref="Y94" si="26">Y57-Y56</f>
        <v>0</v>
      </c>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row>
    <row r="95" spans="1:80">
      <c r="C95" s="9" t="s">
        <v>72</v>
      </c>
      <c r="E95" s="34">
        <f t="shared" si="25"/>
        <v>0</v>
      </c>
      <c r="F95" s="34">
        <f t="shared" si="25"/>
        <v>0</v>
      </c>
      <c r="G95" s="34">
        <f t="shared" si="25"/>
        <v>0</v>
      </c>
      <c r="H95" s="34">
        <f t="shared" si="25"/>
        <v>0</v>
      </c>
      <c r="I95" s="34">
        <f t="shared" si="25"/>
        <v>0</v>
      </c>
      <c r="J95" s="34">
        <f t="shared" si="25"/>
        <v>0</v>
      </c>
      <c r="K95" s="34">
        <f t="shared" si="25"/>
        <v>0</v>
      </c>
      <c r="L95" s="34">
        <f t="shared" si="25"/>
        <v>0</v>
      </c>
      <c r="M95" s="34">
        <f t="shared" si="25"/>
        <v>0</v>
      </c>
      <c r="N95" s="34">
        <f t="shared" si="25"/>
        <v>0</v>
      </c>
      <c r="O95" s="34">
        <f t="shared" si="25"/>
        <v>0</v>
      </c>
      <c r="P95" s="34">
        <f t="shared" si="25"/>
        <v>0</v>
      </c>
      <c r="Q95" s="34">
        <f t="shared" si="25"/>
        <v>0</v>
      </c>
      <c r="R95" s="34">
        <f t="shared" si="25"/>
        <v>0</v>
      </c>
      <c r="S95" s="34">
        <f t="shared" si="25"/>
        <v>0</v>
      </c>
      <c r="T95" s="34">
        <f t="shared" si="25"/>
        <v>0</v>
      </c>
      <c r="U95" s="34">
        <f t="shared" si="25"/>
        <v>0</v>
      </c>
      <c r="V95" s="34">
        <f t="shared" si="25"/>
        <v>0</v>
      </c>
      <c r="W95" s="34">
        <f t="shared" si="25"/>
        <v>0</v>
      </c>
      <c r="X95" s="34">
        <f t="shared" si="25"/>
        <v>0</v>
      </c>
      <c r="Y95" s="34">
        <f t="shared" ref="Y95" si="27">Y58-Y57</f>
        <v>0</v>
      </c>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row>
    <row r="96" spans="1:80">
      <c r="C96" s="9" t="s">
        <v>75</v>
      </c>
      <c r="E96" s="34">
        <f t="shared" si="25"/>
        <v>0</v>
      </c>
      <c r="F96" s="34">
        <f t="shared" si="25"/>
        <v>0</v>
      </c>
      <c r="G96" s="34">
        <f t="shared" si="25"/>
        <v>0</v>
      </c>
      <c r="H96" s="34">
        <f t="shared" si="25"/>
        <v>0</v>
      </c>
      <c r="I96" s="34">
        <f t="shared" si="25"/>
        <v>0</v>
      </c>
      <c r="J96" s="34">
        <f t="shared" si="25"/>
        <v>0</v>
      </c>
      <c r="K96" s="34">
        <f t="shared" si="25"/>
        <v>0</v>
      </c>
      <c r="L96" s="34">
        <f t="shared" si="25"/>
        <v>0</v>
      </c>
      <c r="M96" s="34">
        <f t="shared" si="25"/>
        <v>0</v>
      </c>
      <c r="N96" s="34">
        <f t="shared" si="25"/>
        <v>0</v>
      </c>
      <c r="O96" s="34">
        <f t="shared" si="25"/>
        <v>0</v>
      </c>
      <c r="P96" s="34">
        <f t="shared" si="25"/>
        <v>0</v>
      </c>
      <c r="Q96" s="34">
        <f t="shared" si="25"/>
        <v>0</v>
      </c>
      <c r="R96" s="34">
        <f t="shared" si="25"/>
        <v>0</v>
      </c>
      <c r="S96" s="34">
        <f t="shared" si="25"/>
        <v>0</v>
      </c>
      <c r="T96" s="34">
        <f t="shared" si="25"/>
        <v>0</v>
      </c>
      <c r="U96" s="34">
        <f t="shared" si="25"/>
        <v>0</v>
      </c>
      <c r="V96" s="34">
        <f t="shared" si="25"/>
        <v>0</v>
      </c>
      <c r="W96" s="34">
        <f t="shared" si="25"/>
        <v>0</v>
      </c>
      <c r="X96" s="34">
        <f t="shared" si="25"/>
        <v>0</v>
      </c>
      <c r="Y96" s="34">
        <f t="shared" ref="Y96" si="28">Y59-Y58</f>
        <v>0</v>
      </c>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row>
    <row r="97" spans="3:80">
      <c r="C97" s="9" t="s">
        <v>78</v>
      </c>
      <c r="E97" s="39">
        <f t="shared" si="25"/>
        <v>0</v>
      </c>
      <c r="F97" s="39">
        <f t="shared" si="25"/>
        <v>0</v>
      </c>
      <c r="G97" s="39">
        <f t="shared" si="25"/>
        <v>0</v>
      </c>
      <c r="H97" s="39">
        <f t="shared" si="25"/>
        <v>0</v>
      </c>
      <c r="I97" s="39">
        <f t="shared" si="25"/>
        <v>0</v>
      </c>
      <c r="J97" s="39">
        <f t="shared" si="25"/>
        <v>0</v>
      </c>
      <c r="K97" s="39">
        <f t="shared" si="25"/>
        <v>0</v>
      </c>
      <c r="L97" s="39">
        <f t="shared" si="25"/>
        <v>0</v>
      </c>
      <c r="M97" s="39">
        <f t="shared" si="25"/>
        <v>0</v>
      </c>
      <c r="N97" s="39">
        <f t="shared" si="25"/>
        <v>0</v>
      </c>
      <c r="O97" s="39">
        <f t="shared" si="25"/>
        <v>0</v>
      </c>
      <c r="P97" s="39">
        <f t="shared" si="25"/>
        <v>0</v>
      </c>
      <c r="Q97" s="39">
        <f t="shared" si="25"/>
        <v>0</v>
      </c>
      <c r="R97" s="39">
        <f t="shared" si="25"/>
        <v>0</v>
      </c>
      <c r="S97" s="39">
        <f t="shared" si="25"/>
        <v>0</v>
      </c>
      <c r="T97" s="39">
        <f t="shared" si="25"/>
        <v>0</v>
      </c>
      <c r="U97" s="39">
        <f t="shared" si="25"/>
        <v>0</v>
      </c>
      <c r="V97" s="39">
        <f t="shared" si="25"/>
        <v>0</v>
      </c>
      <c r="W97" s="39">
        <f t="shared" si="25"/>
        <v>0</v>
      </c>
      <c r="X97" s="39">
        <f t="shared" si="25"/>
        <v>0</v>
      </c>
      <c r="Y97" s="39">
        <f t="shared" ref="Y97" si="29">Y60-Y59</f>
        <v>0</v>
      </c>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row>
    <row r="98" spans="3:80">
      <c r="C98" s="9" t="s">
        <v>81</v>
      </c>
      <c r="E98" s="39">
        <f t="shared" si="25"/>
        <v>0</v>
      </c>
      <c r="F98" s="39">
        <f t="shared" si="25"/>
        <v>0</v>
      </c>
      <c r="G98" s="39">
        <f t="shared" si="25"/>
        <v>0</v>
      </c>
      <c r="H98" s="39">
        <f t="shared" si="25"/>
        <v>0</v>
      </c>
      <c r="I98" s="39">
        <f t="shared" si="25"/>
        <v>0</v>
      </c>
      <c r="J98" s="39">
        <f t="shared" si="25"/>
        <v>0</v>
      </c>
      <c r="K98" s="39">
        <f t="shared" si="25"/>
        <v>0</v>
      </c>
      <c r="L98" s="39">
        <f t="shared" si="25"/>
        <v>0</v>
      </c>
      <c r="M98" s="39">
        <f t="shared" si="25"/>
        <v>0</v>
      </c>
      <c r="N98" s="39">
        <f t="shared" si="25"/>
        <v>0</v>
      </c>
      <c r="O98" s="39">
        <f t="shared" si="25"/>
        <v>0</v>
      </c>
      <c r="P98" s="39">
        <f t="shared" si="25"/>
        <v>0</v>
      </c>
      <c r="Q98" s="39">
        <f t="shared" si="25"/>
        <v>0</v>
      </c>
      <c r="R98" s="39">
        <f t="shared" si="25"/>
        <v>0</v>
      </c>
      <c r="S98" s="39">
        <f t="shared" si="25"/>
        <v>0</v>
      </c>
      <c r="T98" s="39">
        <f t="shared" si="25"/>
        <v>0</v>
      </c>
      <c r="U98" s="39">
        <f t="shared" si="25"/>
        <v>0</v>
      </c>
      <c r="V98" s="39">
        <f t="shared" si="25"/>
        <v>0</v>
      </c>
      <c r="W98" s="39">
        <f t="shared" si="25"/>
        <v>0</v>
      </c>
      <c r="X98" s="39">
        <f t="shared" si="25"/>
        <v>0</v>
      </c>
      <c r="Y98" s="39">
        <f t="shared" ref="Y98" si="30">Y61-Y60</f>
        <v>0</v>
      </c>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row>
    <row r="99" spans="3:80">
      <c r="C99" s="9" t="s">
        <v>84</v>
      </c>
      <c r="E99" s="39">
        <f t="shared" si="25"/>
        <v>0</v>
      </c>
      <c r="F99" s="39">
        <f t="shared" si="25"/>
        <v>0</v>
      </c>
      <c r="G99" s="39">
        <f t="shared" si="25"/>
        <v>0</v>
      </c>
      <c r="H99" s="39">
        <f t="shared" si="25"/>
        <v>0</v>
      </c>
      <c r="I99" s="39">
        <f t="shared" si="25"/>
        <v>0</v>
      </c>
      <c r="J99" s="39">
        <f t="shared" si="25"/>
        <v>0</v>
      </c>
      <c r="K99" s="39">
        <f t="shared" si="25"/>
        <v>0</v>
      </c>
      <c r="L99" s="39">
        <f t="shared" si="25"/>
        <v>0</v>
      </c>
      <c r="M99" s="39">
        <f t="shared" si="25"/>
        <v>0</v>
      </c>
      <c r="N99" s="39">
        <f t="shared" si="25"/>
        <v>0</v>
      </c>
      <c r="O99" s="39">
        <f t="shared" si="25"/>
        <v>0</v>
      </c>
      <c r="P99" s="39">
        <f t="shared" si="25"/>
        <v>0</v>
      </c>
      <c r="Q99" s="39">
        <f t="shared" si="25"/>
        <v>0</v>
      </c>
      <c r="R99" s="39">
        <f t="shared" si="25"/>
        <v>0</v>
      </c>
      <c r="S99" s="39">
        <f t="shared" si="25"/>
        <v>0</v>
      </c>
      <c r="T99" s="39">
        <f t="shared" si="25"/>
        <v>0</v>
      </c>
      <c r="U99" s="39">
        <f t="shared" si="25"/>
        <v>0</v>
      </c>
      <c r="V99" s="39">
        <f t="shared" si="25"/>
        <v>0</v>
      </c>
      <c r="W99" s="39">
        <f t="shared" si="25"/>
        <v>0</v>
      </c>
      <c r="X99" s="39">
        <f t="shared" si="25"/>
        <v>0</v>
      </c>
      <c r="Y99" s="39">
        <f t="shared" ref="Y99" si="31">Y62-Y61</f>
        <v>0</v>
      </c>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row>
    <row r="100" spans="3:80">
      <c r="C100" s="9" t="s">
        <v>87</v>
      </c>
      <c r="E100" s="39">
        <f t="shared" si="25"/>
        <v>0</v>
      </c>
      <c r="F100" s="39">
        <f t="shared" si="25"/>
        <v>0</v>
      </c>
      <c r="G100" s="39">
        <f t="shared" si="25"/>
        <v>0</v>
      </c>
      <c r="H100" s="39">
        <f t="shared" si="25"/>
        <v>0</v>
      </c>
      <c r="I100" s="39">
        <f t="shared" si="25"/>
        <v>0</v>
      </c>
      <c r="J100" s="39">
        <f t="shared" si="25"/>
        <v>0</v>
      </c>
      <c r="K100" s="39">
        <f t="shared" si="25"/>
        <v>0</v>
      </c>
      <c r="L100" s="39">
        <f t="shared" si="25"/>
        <v>0</v>
      </c>
      <c r="M100" s="39">
        <f t="shared" si="25"/>
        <v>0</v>
      </c>
      <c r="N100" s="39">
        <f t="shared" si="25"/>
        <v>0</v>
      </c>
      <c r="O100" s="39">
        <f t="shared" si="25"/>
        <v>0</v>
      </c>
      <c r="P100" s="39">
        <f t="shared" si="25"/>
        <v>0</v>
      </c>
      <c r="Q100" s="39">
        <f t="shared" si="25"/>
        <v>0</v>
      </c>
      <c r="R100" s="39">
        <f t="shared" si="25"/>
        <v>0</v>
      </c>
      <c r="S100" s="39">
        <f t="shared" si="25"/>
        <v>0</v>
      </c>
      <c r="T100" s="39">
        <f t="shared" si="25"/>
        <v>0</v>
      </c>
      <c r="U100" s="39">
        <f t="shared" si="25"/>
        <v>0</v>
      </c>
      <c r="V100" s="39">
        <f t="shared" si="25"/>
        <v>0</v>
      </c>
      <c r="W100" s="39">
        <f t="shared" si="25"/>
        <v>0</v>
      </c>
      <c r="X100" s="39">
        <f t="shared" si="25"/>
        <v>0</v>
      </c>
      <c r="Y100" s="39">
        <f t="shared" ref="Y100" si="32">Y63-Y62</f>
        <v>0</v>
      </c>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row>
    <row r="101" spans="3:80">
      <c r="C101" s="9" t="s">
        <v>90</v>
      </c>
      <c r="E101" s="39">
        <f t="shared" si="25"/>
        <v>0</v>
      </c>
      <c r="F101" s="39">
        <f t="shared" si="25"/>
        <v>0</v>
      </c>
      <c r="G101" s="39">
        <f t="shared" si="25"/>
        <v>0</v>
      </c>
      <c r="H101" s="39">
        <f t="shared" si="25"/>
        <v>0</v>
      </c>
      <c r="I101" s="39">
        <f t="shared" si="25"/>
        <v>0</v>
      </c>
      <c r="J101" s="39">
        <f t="shared" si="25"/>
        <v>0</v>
      </c>
      <c r="K101" s="39">
        <f t="shared" si="25"/>
        <v>0</v>
      </c>
      <c r="L101" s="39">
        <f t="shared" si="25"/>
        <v>0</v>
      </c>
      <c r="M101" s="39">
        <f t="shared" si="25"/>
        <v>0</v>
      </c>
      <c r="N101" s="39">
        <f t="shared" si="25"/>
        <v>0</v>
      </c>
      <c r="O101" s="39">
        <f t="shared" si="25"/>
        <v>0</v>
      </c>
      <c r="P101" s="39">
        <f t="shared" si="25"/>
        <v>0</v>
      </c>
      <c r="Q101" s="39">
        <f t="shared" si="25"/>
        <v>0</v>
      </c>
      <c r="R101" s="39">
        <f t="shared" si="25"/>
        <v>0</v>
      </c>
      <c r="S101" s="39">
        <f t="shared" si="25"/>
        <v>0</v>
      </c>
      <c r="T101" s="39">
        <f t="shared" si="25"/>
        <v>0</v>
      </c>
      <c r="U101" s="39">
        <f t="shared" si="25"/>
        <v>0</v>
      </c>
      <c r="V101" s="39">
        <f t="shared" si="25"/>
        <v>0</v>
      </c>
      <c r="W101" s="39">
        <f t="shared" si="25"/>
        <v>0</v>
      </c>
      <c r="X101" s="39">
        <f t="shared" si="25"/>
        <v>0</v>
      </c>
      <c r="Y101" s="39">
        <f t="shared" ref="Y101" si="33">Y64-Y63</f>
        <v>0</v>
      </c>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row>
    <row r="102" spans="3:80">
      <c r="C102" s="9" t="s">
        <v>93</v>
      </c>
      <c r="E102" s="39">
        <f t="shared" si="25"/>
        <v>0</v>
      </c>
      <c r="F102" s="39">
        <f t="shared" si="25"/>
        <v>0</v>
      </c>
      <c r="G102" s="39">
        <f t="shared" si="25"/>
        <v>0</v>
      </c>
      <c r="H102" s="39">
        <f t="shared" si="25"/>
        <v>0</v>
      </c>
      <c r="I102" s="39">
        <f t="shared" si="25"/>
        <v>0</v>
      </c>
      <c r="J102" s="39">
        <f t="shared" si="25"/>
        <v>0</v>
      </c>
      <c r="K102" s="39">
        <f t="shared" si="25"/>
        <v>0</v>
      </c>
      <c r="L102" s="39">
        <f t="shared" si="25"/>
        <v>0</v>
      </c>
      <c r="M102" s="39">
        <f t="shared" si="25"/>
        <v>0</v>
      </c>
      <c r="N102" s="39">
        <f t="shared" si="25"/>
        <v>0</v>
      </c>
      <c r="O102" s="39">
        <f t="shared" si="25"/>
        <v>0</v>
      </c>
      <c r="P102" s="39">
        <f t="shared" si="25"/>
        <v>0</v>
      </c>
      <c r="Q102" s="39">
        <f t="shared" si="25"/>
        <v>0</v>
      </c>
      <c r="R102" s="39">
        <f t="shared" si="25"/>
        <v>0</v>
      </c>
      <c r="S102" s="39">
        <f t="shared" si="25"/>
        <v>0</v>
      </c>
      <c r="T102" s="39">
        <f t="shared" si="25"/>
        <v>0</v>
      </c>
      <c r="U102" s="39">
        <f t="shared" si="25"/>
        <v>0</v>
      </c>
      <c r="V102" s="39">
        <f t="shared" si="25"/>
        <v>0</v>
      </c>
      <c r="W102" s="39">
        <f t="shared" si="25"/>
        <v>0</v>
      </c>
      <c r="X102" s="39">
        <f t="shared" si="25"/>
        <v>0</v>
      </c>
      <c r="Y102" s="39">
        <f t="shared" ref="Y102" si="34">Y65-Y64</f>
        <v>0</v>
      </c>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row>
    <row r="103" spans="3:80">
      <c r="C103" s="9" t="s">
        <v>96</v>
      </c>
      <c r="E103" s="39">
        <f t="shared" si="25"/>
        <v>0</v>
      </c>
      <c r="F103" s="39">
        <f t="shared" si="25"/>
        <v>0</v>
      </c>
      <c r="G103" s="39">
        <f t="shared" si="25"/>
        <v>0</v>
      </c>
      <c r="H103" s="39">
        <f t="shared" si="25"/>
        <v>0</v>
      </c>
      <c r="I103" s="39">
        <f t="shared" si="25"/>
        <v>0</v>
      </c>
      <c r="J103" s="39">
        <f t="shared" si="25"/>
        <v>0</v>
      </c>
      <c r="K103" s="39">
        <f t="shared" si="25"/>
        <v>0</v>
      </c>
      <c r="L103" s="39">
        <f t="shared" si="25"/>
        <v>0</v>
      </c>
      <c r="M103" s="39">
        <f t="shared" si="25"/>
        <v>0</v>
      </c>
      <c r="N103" s="39">
        <f t="shared" si="25"/>
        <v>0</v>
      </c>
      <c r="O103" s="39">
        <f t="shared" si="25"/>
        <v>0</v>
      </c>
      <c r="P103" s="39">
        <f t="shared" si="25"/>
        <v>0</v>
      </c>
      <c r="Q103" s="39">
        <f t="shared" si="25"/>
        <v>0</v>
      </c>
      <c r="R103" s="39">
        <f t="shared" si="25"/>
        <v>0</v>
      </c>
      <c r="S103" s="39">
        <f t="shared" si="25"/>
        <v>0</v>
      </c>
      <c r="T103" s="39">
        <f t="shared" si="25"/>
        <v>0</v>
      </c>
      <c r="U103" s="39">
        <f t="shared" si="25"/>
        <v>0</v>
      </c>
      <c r="V103" s="39">
        <f t="shared" si="25"/>
        <v>0</v>
      </c>
      <c r="W103" s="39">
        <f t="shared" si="25"/>
        <v>0</v>
      </c>
      <c r="X103" s="39">
        <f t="shared" si="25"/>
        <v>0</v>
      </c>
      <c r="Y103" s="39">
        <f t="shared" ref="Y103" si="35">Y66-Y65</f>
        <v>0</v>
      </c>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row>
    <row r="104" spans="3:80">
      <c r="C104" s="9" t="s">
        <v>99</v>
      </c>
      <c r="E104" s="39">
        <f t="shared" si="25"/>
        <v>0</v>
      </c>
      <c r="F104" s="39">
        <f t="shared" si="25"/>
        <v>0</v>
      </c>
      <c r="G104" s="39">
        <f t="shared" si="25"/>
        <v>0</v>
      </c>
      <c r="H104" s="39">
        <f t="shared" si="25"/>
        <v>0</v>
      </c>
      <c r="I104" s="39">
        <f t="shared" si="25"/>
        <v>0</v>
      </c>
      <c r="J104" s="39">
        <f t="shared" si="25"/>
        <v>0</v>
      </c>
      <c r="K104" s="39">
        <f t="shared" si="25"/>
        <v>0</v>
      </c>
      <c r="L104" s="39">
        <f t="shared" si="25"/>
        <v>0</v>
      </c>
      <c r="M104" s="39">
        <f t="shared" si="25"/>
        <v>0</v>
      </c>
      <c r="N104" s="39">
        <f t="shared" si="25"/>
        <v>0</v>
      </c>
      <c r="O104" s="39">
        <f t="shared" si="25"/>
        <v>0</v>
      </c>
      <c r="P104" s="39">
        <f t="shared" si="25"/>
        <v>0</v>
      </c>
      <c r="Q104" s="39">
        <f t="shared" si="25"/>
        <v>0</v>
      </c>
      <c r="R104" s="39">
        <f t="shared" si="25"/>
        <v>0</v>
      </c>
      <c r="S104" s="39">
        <f t="shared" si="25"/>
        <v>0</v>
      </c>
      <c r="T104" s="39">
        <f t="shared" si="25"/>
        <v>0</v>
      </c>
      <c r="U104" s="39">
        <f t="shared" si="25"/>
        <v>0</v>
      </c>
      <c r="V104" s="39">
        <f t="shared" si="25"/>
        <v>0</v>
      </c>
      <c r="W104" s="39">
        <f t="shared" si="25"/>
        <v>0</v>
      </c>
      <c r="X104" s="39">
        <f t="shared" si="25"/>
        <v>0</v>
      </c>
      <c r="Y104" s="39">
        <f t="shared" ref="Y104" si="36">Y67-Y66</f>
        <v>0</v>
      </c>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row>
    <row r="105" spans="3:80">
      <c r="C105" s="9" t="s">
        <v>102</v>
      </c>
      <c r="E105" s="39">
        <f t="shared" si="25"/>
        <v>0</v>
      </c>
      <c r="F105" s="39">
        <f t="shared" si="25"/>
        <v>0</v>
      </c>
      <c r="G105" s="39">
        <f t="shared" si="25"/>
        <v>0</v>
      </c>
      <c r="H105" s="39">
        <f t="shared" si="25"/>
        <v>0</v>
      </c>
      <c r="I105" s="39">
        <f t="shared" si="25"/>
        <v>0</v>
      </c>
      <c r="J105" s="39">
        <f t="shared" si="25"/>
        <v>0</v>
      </c>
      <c r="K105" s="39">
        <f t="shared" si="25"/>
        <v>0</v>
      </c>
      <c r="L105" s="39">
        <f t="shared" si="25"/>
        <v>0</v>
      </c>
      <c r="M105" s="39">
        <f t="shared" si="25"/>
        <v>0</v>
      </c>
      <c r="N105" s="39">
        <f t="shared" si="25"/>
        <v>0</v>
      </c>
      <c r="O105" s="39">
        <f t="shared" si="25"/>
        <v>0</v>
      </c>
      <c r="P105" s="39">
        <f t="shared" si="25"/>
        <v>0</v>
      </c>
      <c r="Q105" s="39">
        <f t="shared" si="25"/>
        <v>0</v>
      </c>
      <c r="R105" s="39">
        <f t="shared" si="25"/>
        <v>0</v>
      </c>
      <c r="S105" s="39">
        <f t="shared" si="25"/>
        <v>0</v>
      </c>
      <c r="T105" s="39">
        <f t="shared" si="25"/>
        <v>0</v>
      </c>
      <c r="U105" s="39">
        <f t="shared" si="25"/>
        <v>0</v>
      </c>
      <c r="V105" s="39">
        <f t="shared" si="25"/>
        <v>0</v>
      </c>
      <c r="W105" s="39">
        <f t="shared" si="25"/>
        <v>0</v>
      </c>
      <c r="X105" s="39">
        <f t="shared" si="25"/>
        <v>0</v>
      </c>
      <c r="Y105" s="39">
        <f t="shared" ref="Y105" si="37">Y68-Y67</f>
        <v>0</v>
      </c>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row>
    <row r="106" spans="3:80">
      <c r="C106" s="9" t="s">
        <v>105</v>
      </c>
      <c r="E106" s="39">
        <f t="shared" si="25"/>
        <v>0</v>
      </c>
      <c r="F106" s="39">
        <f t="shared" si="25"/>
        <v>0</v>
      </c>
      <c r="G106" s="39">
        <f t="shared" si="25"/>
        <v>0</v>
      </c>
      <c r="H106" s="39">
        <f t="shared" ref="H106:X106" si="38">H69-H68</f>
        <v>0</v>
      </c>
      <c r="I106" s="39">
        <f t="shared" si="38"/>
        <v>0</v>
      </c>
      <c r="J106" s="39">
        <f t="shared" si="38"/>
        <v>0</v>
      </c>
      <c r="K106" s="39">
        <f t="shared" si="38"/>
        <v>0</v>
      </c>
      <c r="L106" s="39">
        <f t="shared" si="38"/>
        <v>0</v>
      </c>
      <c r="M106" s="39">
        <f t="shared" si="38"/>
        <v>0</v>
      </c>
      <c r="N106" s="39">
        <f t="shared" si="38"/>
        <v>0</v>
      </c>
      <c r="O106" s="39">
        <f t="shared" si="38"/>
        <v>0</v>
      </c>
      <c r="P106" s="39">
        <f t="shared" si="38"/>
        <v>0</v>
      </c>
      <c r="Q106" s="39">
        <f t="shared" si="38"/>
        <v>0</v>
      </c>
      <c r="R106" s="39">
        <f t="shared" si="38"/>
        <v>0</v>
      </c>
      <c r="S106" s="39">
        <f t="shared" si="38"/>
        <v>0</v>
      </c>
      <c r="T106" s="39">
        <f t="shared" si="38"/>
        <v>0</v>
      </c>
      <c r="U106" s="39">
        <f t="shared" si="38"/>
        <v>0</v>
      </c>
      <c r="V106" s="39">
        <f t="shared" si="38"/>
        <v>0</v>
      </c>
      <c r="W106" s="39">
        <f t="shared" si="38"/>
        <v>0</v>
      </c>
      <c r="X106" s="39">
        <f t="shared" si="38"/>
        <v>0</v>
      </c>
      <c r="Y106" s="39">
        <f t="shared" ref="Y106" si="39">Y69-Y68</f>
        <v>0</v>
      </c>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row>
    <row r="107" spans="3:80">
      <c r="C107" s="9" t="s">
        <v>108</v>
      </c>
      <c r="E107" s="39">
        <f t="shared" ref="E107:X107" si="40">E70-E69</f>
        <v>0</v>
      </c>
      <c r="F107" s="39">
        <f t="shared" si="40"/>
        <v>0</v>
      </c>
      <c r="G107" s="39">
        <f t="shared" si="40"/>
        <v>0</v>
      </c>
      <c r="H107" s="39">
        <f t="shared" si="40"/>
        <v>0</v>
      </c>
      <c r="I107" s="39">
        <f t="shared" si="40"/>
        <v>0</v>
      </c>
      <c r="J107" s="39">
        <f t="shared" si="40"/>
        <v>0</v>
      </c>
      <c r="K107" s="39">
        <f t="shared" si="40"/>
        <v>0</v>
      </c>
      <c r="L107" s="39">
        <f t="shared" si="40"/>
        <v>0</v>
      </c>
      <c r="M107" s="39">
        <f t="shared" si="40"/>
        <v>0</v>
      </c>
      <c r="N107" s="39">
        <f t="shared" si="40"/>
        <v>0</v>
      </c>
      <c r="O107" s="39">
        <f t="shared" si="40"/>
        <v>0</v>
      </c>
      <c r="P107" s="39">
        <f t="shared" si="40"/>
        <v>0</v>
      </c>
      <c r="Q107" s="39">
        <f t="shared" si="40"/>
        <v>0</v>
      </c>
      <c r="R107" s="39">
        <f t="shared" si="40"/>
        <v>0</v>
      </c>
      <c r="S107" s="39">
        <f t="shared" si="40"/>
        <v>0</v>
      </c>
      <c r="T107" s="39">
        <f t="shared" si="40"/>
        <v>0</v>
      </c>
      <c r="U107" s="39">
        <f t="shared" si="40"/>
        <v>0</v>
      </c>
      <c r="V107" s="39">
        <f t="shared" si="40"/>
        <v>0</v>
      </c>
      <c r="W107" s="39">
        <f t="shared" si="40"/>
        <v>0</v>
      </c>
      <c r="X107" s="39">
        <f t="shared" si="40"/>
        <v>0</v>
      </c>
      <c r="Y107" s="39">
        <f t="shared" ref="Y107" si="41">Y70-Y69</f>
        <v>0</v>
      </c>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row>
    <row r="108" spans="3:80">
      <c r="C108" s="9" t="s">
        <v>111</v>
      </c>
      <c r="E108" s="39">
        <f t="shared" ref="E108:X108" si="42">E71-E70</f>
        <v>0</v>
      </c>
      <c r="F108" s="39">
        <f t="shared" si="42"/>
        <v>0</v>
      </c>
      <c r="G108" s="39">
        <f t="shared" si="42"/>
        <v>0</v>
      </c>
      <c r="H108" s="39">
        <f t="shared" si="42"/>
        <v>0</v>
      </c>
      <c r="I108" s="39">
        <f t="shared" si="42"/>
        <v>0</v>
      </c>
      <c r="J108" s="39">
        <f t="shared" si="42"/>
        <v>0</v>
      </c>
      <c r="K108" s="39">
        <f t="shared" si="42"/>
        <v>0</v>
      </c>
      <c r="L108" s="39">
        <f t="shared" si="42"/>
        <v>0</v>
      </c>
      <c r="M108" s="39">
        <f t="shared" si="42"/>
        <v>0</v>
      </c>
      <c r="N108" s="39">
        <f t="shared" si="42"/>
        <v>0</v>
      </c>
      <c r="O108" s="39">
        <f t="shared" si="42"/>
        <v>0</v>
      </c>
      <c r="P108" s="39">
        <f t="shared" si="42"/>
        <v>0</v>
      </c>
      <c r="Q108" s="39">
        <f t="shared" si="42"/>
        <v>0</v>
      </c>
      <c r="R108" s="39">
        <f t="shared" si="42"/>
        <v>0</v>
      </c>
      <c r="S108" s="39">
        <f t="shared" si="42"/>
        <v>0</v>
      </c>
      <c r="T108" s="39">
        <f t="shared" si="42"/>
        <v>0</v>
      </c>
      <c r="U108" s="39">
        <f t="shared" si="42"/>
        <v>0</v>
      </c>
      <c r="V108" s="39">
        <f t="shared" si="42"/>
        <v>0</v>
      </c>
      <c r="W108" s="39">
        <f t="shared" si="42"/>
        <v>0</v>
      </c>
      <c r="X108" s="39">
        <f t="shared" si="42"/>
        <v>0</v>
      </c>
      <c r="Y108" s="39">
        <f t="shared" ref="Y108" si="43">Y71-Y70</f>
        <v>0</v>
      </c>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row>
    <row r="109" spans="3:80">
      <c r="C109" s="9" t="s">
        <v>114</v>
      </c>
      <c r="E109" s="39">
        <f t="shared" ref="E109:X109" ca="1" si="44">E72-E71</f>
        <v>1.4095127074913531E-5</v>
      </c>
      <c r="F109" s="39">
        <f t="shared" ca="1" si="44"/>
        <v>4.0433524356728086E-5</v>
      </c>
      <c r="G109" s="39">
        <f t="shared" ca="1" si="44"/>
        <v>8.3680816953461692E-5</v>
      </c>
      <c r="H109" s="39">
        <f t="shared" ca="1" si="44"/>
        <v>1.5233706929200676E-4</v>
      </c>
      <c r="I109" s="39">
        <f t="shared" ca="1" si="44"/>
        <v>2.5367379016990325E-4</v>
      </c>
      <c r="J109" s="39">
        <f t="shared" ca="1" si="44"/>
        <v>3.8557356340784176E-4</v>
      </c>
      <c r="K109" s="39">
        <f t="shared" ca="1" si="44"/>
        <v>5.6508506857626381E-4</v>
      </c>
      <c r="L109" s="39">
        <f t="shared" ca="1" si="44"/>
        <v>8.0783856893040839E-4</v>
      </c>
      <c r="M109" s="39">
        <f t="shared" ca="1" si="44"/>
        <v>1.0999634911552944E-3</v>
      </c>
      <c r="N109" s="39">
        <f t="shared" ca="1" si="44"/>
        <v>1.4801171352331968E-3</v>
      </c>
      <c r="O109" s="39">
        <f t="shared" ca="1" si="44"/>
        <v>1.8978532364061769E-3</v>
      </c>
      <c r="P109" s="39">
        <f t="shared" ca="1" si="44"/>
        <v>2.3013196122759062E-3</v>
      </c>
      <c r="Q109" s="39">
        <f t="shared" ca="1" si="44"/>
        <v>2.6585900073541318E-3</v>
      </c>
      <c r="R109" s="39">
        <f t="shared" ca="1" si="44"/>
        <v>3.0560065422211313E-3</v>
      </c>
      <c r="S109" s="39">
        <f t="shared" ca="1" si="44"/>
        <v>3.4427106682426E-3</v>
      </c>
      <c r="T109" s="39">
        <f t="shared" ca="1" si="44"/>
        <v>3.7125671469380073E-3</v>
      </c>
      <c r="U109" s="39">
        <f t="shared" ca="1" si="44"/>
        <v>3.7953974389755532E-3</v>
      </c>
      <c r="V109" s="39">
        <f t="shared" ca="1" si="44"/>
        <v>3.9285218568315414E-3</v>
      </c>
      <c r="W109" s="39">
        <f t="shared" ca="1" si="44"/>
        <v>4.0242566711961277E-3</v>
      </c>
      <c r="X109" s="39">
        <f t="shared" ca="1" si="44"/>
        <v>4.0929948698347745E-3</v>
      </c>
      <c r="Y109" s="39">
        <f t="shared" ref="Y109" ca="1" si="45">Y72-Y71</f>
        <v>3.7793016205425974E-2</v>
      </c>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row>
    <row r="110" spans="3:80">
      <c r="C110" s="9" t="s">
        <v>117</v>
      </c>
      <c r="E110" s="39">
        <f t="shared" ref="E110:X110" ca="1" si="46">E73-E72</f>
        <v>4.965892022333353E-4</v>
      </c>
      <c r="F110" s="39">
        <f t="shared" ca="1" si="46"/>
        <v>1.4245243407224059E-3</v>
      </c>
      <c r="G110" s="39">
        <f t="shared" ca="1" si="46"/>
        <v>2.9481813049499045E-3</v>
      </c>
      <c r="H110" s="39">
        <f t="shared" ca="1" si="46"/>
        <v>5.367028144423169E-3</v>
      </c>
      <c r="I110" s="39">
        <f t="shared" ca="1" si="46"/>
        <v>8.9372493357780906E-3</v>
      </c>
      <c r="J110" s="39">
        <f t="shared" ca="1" si="46"/>
        <v>1.3584245621718815E-2</v>
      </c>
      <c r="K110" s="39">
        <f t="shared" ca="1" si="46"/>
        <v>1.9908663604579668E-2</v>
      </c>
      <c r="L110" s="39">
        <f t="shared" ca="1" si="46"/>
        <v>2.8461177281080437E-2</v>
      </c>
      <c r="M110" s="39">
        <f t="shared" ca="1" si="46"/>
        <v>3.8753108762728417E-2</v>
      </c>
      <c r="N110" s="39">
        <f t="shared" ca="1" si="46"/>
        <v>5.21464037529333E-2</v>
      </c>
      <c r="O110" s="39">
        <f t="shared" ca="1" si="46"/>
        <v>6.6863776368520506E-2</v>
      </c>
      <c r="P110" s="39">
        <f t="shared" ca="1" si="46"/>
        <v>8.1078408464865262E-2</v>
      </c>
      <c r="Q110" s="39">
        <f t="shared" ca="1" si="46"/>
        <v>9.3665497572366141E-2</v>
      </c>
      <c r="R110" s="39">
        <f t="shared" ca="1" si="46"/>
        <v>0.1076669860978004</v>
      </c>
      <c r="S110" s="39">
        <f t="shared" ca="1" si="46"/>
        <v>0.12129106287417231</v>
      </c>
      <c r="T110" s="39">
        <f t="shared" ca="1" si="46"/>
        <v>0.13079844884952516</v>
      </c>
      <c r="U110" s="39">
        <f t="shared" ca="1" si="46"/>
        <v>0.13371666508305505</v>
      </c>
      <c r="V110" s="39">
        <f t="shared" ca="1" si="46"/>
        <v>0.13840680715197912</v>
      </c>
      <c r="W110" s="39">
        <f t="shared" ca="1" si="46"/>
        <v>0.14177966607255452</v>
      </c>
      <c r="X110" s="39">
        <f t="shared" ca="1" si="46"/>
        <v>0.14420139998410436</v>
      </c>
      <c r="Y110" s="39">
        <f t="shared" ref="Y110" ca="1" si="47">Y73-Y72</f>
        <v>1.3314958898700904</v>
      </c>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row>
    <row r="111" spans="3:80">
      <c r="C111" s="9" t="s">
        <v>120</v>
      </c>
      <c r="E111" s="39">
        <f t="shared" ref="E111:X111" ca="1" si="48">E74-E73</f>
        <v>0</v>
      </c>
      <c r="F111" s="39">
        <f t="shared" ca="1" si="48"/>
        <v>0</v>
      </c>
      <c r="G111" s="39">
        <f t="shared" ca="1" si="48"/>
        <v>0</v>
      </c>
      <c r="H111" s="39">
        <f t="shared" ca="1" si="48"/>
        <v>0</v>
      </c>
      <c r="I111" s="39">
        <f t="shared" ca="1" si="48"/>
        <v>0</v>
      </c>
      <c r="J111" s="39">
        <f t="shared" ca="1" si="48"/>
        <v>0</v>
      </c>
      <c r="K111" s="39">
        <f t="shared" ca="1" si="48"/>
        <v>0</v>
      </c>
      <c r="L111" s="39">
        <f t="shared" ca="1" si="48"/>
        <v>0</v>
      </c>
      <c r="M111" s="39">
        <f t="shared" ca="1" si="48"/>
        <v>0</v>
      </c>
      <c r="N111" s="39">
        <f t="shared" ca="1" si="48"/>
        <v>0</v>
      </c>
      <c r="O111" s="39">
        <f t="shared" ca="1" si="48"/>
        <v>0</v>
      </c>
      <c r="P111" s="39">
        <f t="shared" ca="1" si="48"/>
        <v>0</v>
      </c>
      <c r="Q111" s="39">
        <f t="shared" ca="1" si="48"/>
        <v>0</v>
      </c>
      <c r="R111" s="39">
        <f t="shared" ca="1" si="48"/>
        <v>0</v>
      </c>
      <c r="S111" s="39">
        <f t="shared" ca="1" si="48"/>
        <v>0</v>
      </c>
      <c r="T111" s="39">
        <f t="shared" ca="1" si="48"/>
        <v>0</v>
      </c>
      <c r="U111" s="39">
        <f t="shared" ca="1" si="48"/>
        <v>0</v>
      </c>
      <c r="V111" s="39">
        <f t="shared" ca="1" si="48"/>
        <v>0</v>
      </c>
      <c r="W111" s="39">
        <f t="shared" ca="1" si="48"/>
        <v>0</v>
      </c>
      <c r="X111" s="39">
        <f t="shared" ca="1" si="48"/>
        <v>0</v>
      </c>
      <c r="Y111" s="39">
        <f t="shared" ref="Y111" ca="1" si="49">Y74-Y73</f>
        <v>0</v>
      </c>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row>
    <row r="112" spans="3:80">
      <c r="C112" s="9" t="s">
        <v>123</v>
      </c>
      <c r="E112" s="39">
        <f t="shared" ref="E112:X112" ca="1" si="50">E75-E74</f>
        <v>0</v>
      </c>
      <c r="F112" s="39">
        <f t="shared" ca="1" si="50"/>
        <v>0</v>
      </c>
      <c r="G112" s="39">
        <f t="shared" ca="1" si="50"/>
        <v>0</v>
      </c>
      <c r="H112" s="39">
        <f t="shared" ca="1" si="50"/>
        <v>0</v>
      </c>
      <c r="I112" s="39">
        <f t="shared" ca="1" si="50"/>
        <v>0</v>
      </c>
      <c r="J112" s="39">
        <f t="shared" ca="1" si="50"/>
        <v>0</v>
      </c>
      <c r="K112" s="39">
        <f t="shared" ca="1" si="50"/>
        <v>0</v>
      </c>
      <c r="L112" s="39">
        <f t="shared" ca="1" si="50"/>
        <v>0</v>
      </c>
      <c r="M112" s="39">
        <f t="shared" ca="1" si="50"/>
        <v>0</v>
      </c>
      <c r="N112" s="39">
        <f t="shared" ca="1" si="50"/>
        <v>0</v>
      </c>
      <c r="O112" s="39">
        <f t="shared" ca="1" si="50"/>
        <v>0</v>
      </c>
      <c r="P112" s="39">
        <f t="shared" ca="1" si="50"/>
        <v>0</v>
      </c>
      <c r="Q112" s="39">
        <f t="shared" ca="1" si="50"/>
        <v>0</v>
      </c>
      <c r="R112" s="39">
        <f t="shared" ca="1" si="50"/>
        <v>0</v>
      </c>
      <c r="S112" s="39">
        <f t="shared" ca="1" si="50"/>
        <v>0</v>
      </c>
      <c r="T112" s="39">
        <f t="shared" ca="1" si="50"/>
        <v>0</v>
      </c>
      <c r="U112" s="39">
        <f t="shared" ca="1" si="50"/>
        <v>0</v>
      </c>
      <c r="V112" s="39">
        <f t="shared" ca="1" si="50"/>
        <v>0</v>
      </c>
      <c r="W112" s="39">
        <f t="shared" ca="1" si="50"/>
        <v>0</v>
      </c>
      <c r="X112" s="39">
        <f t="shared" ca="1" si="50"/>
        <v>0</v>
      </c>
      <c r="Y112" s="39">
        <f t="shared" ref="Y112" ca="1" si="51">Y75-Y74</f>
        <v>0</v>
      </c>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row>
    <row r="113" spans="3:80">
      <c r="C113" s="9" t="s">
        <v>126</v>
      </c>
      <c r="E113" s="39">
        <f t="shared" ref="E113:X113" ca="1" si="52">E76-E75</f>
        <v>0</v>
      </c>
      <c r="F113" s="39">
        <f t="shared" ca="1" si="52"/>
        <v>0</v>
      </c>
      <c r="G113" s="39">
        <f t="shared" ca="1" si="52"/>
        <v>0</v>
      </c>
      <c r="H113" s="39">
        <f t="shared" ca="1" si="52"/>
        <v>0</v>
      </c>
      <c r="I113" s="39">
        <f t="shared" ca="1" si="52"/>
        <v>0</v>
      </c>
      <c r="J113" s="39">
        <f t="shared" ca="1" si="52"/>
        <v>0</v>
      </c>
      <c r="K113" s="39">
        <f t="shared" ca="1" si="52"/>
        <v>0</v>
      </c>
      <c r="L113" s="39">
        <f t="shared" ca="1" si="52"/>
        <v>0</v>
      </c>
      <c r="M113" s="39">
        <f t="shared" ca="1" si="52"/>
        <v>0</v>
      </c>
      <c r="N113" s="39">
        <f t="shared" ca="1" si="52"/>
        <v>0</v>
      </c>
      <c r="O113" s="39">
        <f t="shared" ca="1" si="52"/>
        <v>0</v>
      </c>
      <c r="P113" s="39">
        <f t="shared" ca="1" si="52"/>
        <v>0</v>
      </c>
      <c r="Q113" s="39">
        <f t="shared" ca="1" si="52"/>
        <v>0</v>
      </c>
      <c r="R113" s="39">
        <f t="shared" ca="1" si="52"/>
        <v>0</v>
      </c>
      <c r="S113" s="39">
        <f t="shared" ca="1" si="52"/>
        <v>0</v>
      </c>
      <c r="T113" s="39">
        <f t="shared" ca="1" si="52"/>
        <v>0</v>
      </c>
      <c r="U113" s="39">
        <f t="shared" ca="1" si="52"/>
        <v>0</v>
      </c>
      <c r="V113" s="39">
        <f t="shared" ca="1" si="52"/>
        <v>0</v>
      </c>
      <c r="W113" s="39">
        <f t="shared" ca="1" si="52"/>
        <v>0</v>
      </c>
      <c r="X113" s="39">
        <f t="shared" ca="1" si="52"/>
        <v>0</v>
      </c>
      <c r="Y113" s="39">
        <f t="shared" ref="Y113" ca="1" si="53">Y76-Y75</f>
        <v>0</v>
      </c>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row>
    <row r="114" spans="3:80">
      <c r="C114" s="9" t="s">
        <v>171</v>
      </c>
      <c r="E114" s="39">
        <f t="shared" ref="E114:X114" ca="1" si="54">E77-E76</f>
        <v>0</v>
      </c>
      <c r="F114" s="39">
        <f t="shared" ca="1" si="54"/>
        <v>0</v>
      </c>
      <c r="G114" s="39">
        <f t="shared" ca="1" si="54"/>
        <v>0</v>
      </c>
      <c r="H114" s="39">
        <f t="shared" ca="1" si="54"/>
        <v>0</v>
      </c>
      <c r="I114" s="39">
        <f t="shared" ca="1" si="54"/>
        <v>0</v>
      </c>
      <c r="J114" s="39">
        <f t="shared" ca="1" si="54"/>
        <v>0</v>
      </c>
      <c r="K114" s="39">
        <f t="shared" ca="1" si="54"/>
        <v>0</v>
      </c>
      <c r="L114" s="39">
        <f t="shared" ca="1" si="54"/>
        <v>0</v>
      </c>
      <c r="M114" s="39">
        <f t="shared" ca="1" si="54"/>
        <v>0</v>
      </c>
      <c r="N114" s="39">
        <f t="shared" ca="1" si="54"/>
        <v>0</v>
      </c>
      <c r="O114" s="39">
        <f t="shared" ca="1" si="54"/>
        <v>0</v>
      </c>
      <c r="P114" s="39">
        <f t="shared" ca="1" si="54"/>
        <v>0</v>
      </c>
      <c r="Q114" s="39">
        <f t="shared" ca="1" si="54"/>
        <v>0</v>
      </c>
      <c r="R114" s="39">
        <f t="shared" ca="1" si="54"/>
        <v>0</v>
      </c>
      <c r="S114" s="39">
        <f t="shared" ca="1" si="54"/>
        <v>0</v>
      </c>
      <c r="T114" s="39">
        <f t="shared" ca="1" si="54"/>
        <v>0</v>
      </c>
      <c r="U114" s="39">
        <f t="shared" ca="1" si="54"/>
        <v>0</v>
      </c>
      <c r="V114" s="39">
        <f t="shared" ca="1" si="54"/>
        <v>0</v>
      </c>
      <c r="W114" s="39">
        <f t="shared" ca="1" si="54"/>
        <v>0</v>
      </c>
      <c r="X114" s="39">
        <f t="shared" ca="1" si="54"/>
        <v>0</v>
      </c>
      <c r="Y114" s="39">
        <f t="shared" ref="Y114" ca="1" si="55">Y77-Y76</f>
        <v>0</v>
      </c>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row>
    <row r="115" spans="3:80">
      <c r="C115" s="9" t="s">
        <v>173</v>
      </c>
      <c r="E115" s="39">
        <f t="shared" ref="E115:X115" ca="1" si="56">E78-E77</f>
        <v>0</v>
      </c>
      <c r="F115" s="39">
        <f t="shared" ca="1" si="56"/>
        <v>0</v>
      </c>
      <c r="G115" s="39">
        <f t="shared" ca="1" si="56"/>
        <v>0</v>
      </c>
      <c r="H115" s="39">
        <f t="shared" ca="1" si="56"/>
        <v>0</v>
      </c>
      <c r="I115" s="39">
        <f t="shared" ca="1" si="56"/>
        <v>0</v>
      </c>
      <c r="J115" s="39">
        <f t="shared" ca="1" si="56"/>
        <v>0</v>
      </c>
      <c r="K115" s="39">
        <f t="shared" ca="1" si="56"/>
        <v>0</v>
      </c>
      <c r="L115" s="39">
        <f t="shared" ca="1" si="56"/>
        <v>0</v>
      </c>
      <c r="M115" s="39">
        <f t="shared" ca="1" si="56"/>
        <v>0</v>
      </c>
      <c r="N115" s="39">
        <f t="shared" ca="1" si="56"/>
        <v>0</v>
      </c>
      <c r="O115" s="39">
        <f t="shared" ca="1" si="56"/>
        <v>0</v>
      </c>
      <c r="P115" s="39">
        <f t="shared" ca="1" si="56"/>
        <v>0</v>
      </c>
      <c r="Q115" s="39">
        <f t="shared" ca="1" si="56"/>
        <v>0</v>
      </c>
      <c r="R115" s="39">
        <f t="shared" ca="1" si="56"/>
        <v>0</v>
      </c>
      <c r="S115" s="39">
        <f t="shared" ca="1" si="56"/>
        <v>0</v>
      </c>
      <c r="T115" s="39">
        <f t="shared" ca="1" si="56"/>
        <v>0</v>
      </c>
      <c r="U115" s="39">
        <f t="shared" ca="1" si="56"/>
        <v>0</v>
      </c>
      <c r="V115" s="39">
        <f t="shared" ca="1" si="56"/>
        <v>0</v>
      </c>
      <c r="W115" s="39">
        <f t="shared" ca="1" si="56"/>
        <v>0</v>
      </c>
      <c r="X115" s="39">
        <f t="shared" ca="1" si="56"/>
        <v>0</v>
      </c>
      <c r="Y115" s="39">
        <f t="shared" ref="Y115" ca="1" si="57">Y78-Y77</f>
        <v>0</v>
      </c>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row>
    <row r="116" spans="3:80">
      <c r="C116" s="9" t="s">
        <v>176</v>
      </c>
      <c r="E116" s="39">
        <f t="shared" ref="E116:X116" ca="1" si="58">E79-E78</f>
        <v>0</v>
      </c>
      <c r="F116" s="39">
        <f t="shared" ca="1" si="58"/>
        <v>0</v>
      </c>
      <c r="G116" s="39">
        <f t="shared" ca="1" si="58"/>
        <v>0</v>
      </c>
      <c r="H116" s="39">
        <f t="shared" ca="1" si="58"/>
        <v>0</v>
      </c>
      <c r="I116" s="39">
        <f t="shared" ca="1" si="58"/>
        <v>0</v>
      </c>
      <c r="J116" s="39">
        <f t="shared" ca="1" si="58"/>
        <v>0</v>
      </c>
      <c r="K116" s="39">
        <f t="shared" ca="1" si="58"/>
        <v>0</v>
      </c>
      <c r="L116" s="39">
        <f t="shared" ca="1" si="58"/>
        <v>0</v>
      </c>
      <c r="M116" s="39">
        <f t="shared" ca="1" si="58"/>
        <v>0</v>
      </c>
      <c r="N116" s="39">
        <f t="shared" ca="1" si="58"/>
        <v>0</v>
      </c>
      <c r="O116" s="39">
        <f t="shared" ca="1" si="58"/>
        <v>0</v>
      </c>
      <c r="P116" s="39">
        <f t="shared" ca="1" si="58"/>
        <v>0</v>
      </c>
      <c r="Q116" s="39">
        <f t="shared" ca="1" si="58"/>
        <v>0</v>
      </c>
      <c r="R116" s="39">
        <f t="shared" ca="1" si="58"/>
        <v>0</v>
      </c>
      <c r="S116" s="39">
        <f t="shared" ca="1" si="58"/>
        <v>0</v>
      </c>
      <c r="T116" s="39">
        <f t="shared" ca="1" si="58"/>
        <v>0</v>
      </c>
      <c r="U116" s="39">
        <f t="shared" ca="1" si="58"/>
        <v>0</v>
      </c>
      <c r="V116" s="39">
        <f t="shared" ca="1" si="58"/>
        <v>0</v>
      </c>
      <c r="W116" s="39">
        <f t="shared" ca="1" si="58"/>
        <v>0</v>
      </c>
      <c r="X116" s="39">
        <f t="shared" ca="1" si="58"/>
        <v>0</v>
      </c>
      <c r="Y116" s="39">
        <f t="shared" ref="Y116" ca="1" si="59">Y79-Y78</f>
        <v>0</v>
      </c>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row>
    <row r="117" spans="3:80">
      <c r="C117" s="9" t="s">
        <v>179</v>
      </c>
      <c r="E117" s="39">
        <f t="shared" ref="E117:X117" ca="1" si="60">E80-E79</f>
        <v>0</v>
      </c>
      <c r="F117" s="39">
        <f t="shared" ca="1" si="60"/>
        <v>0</v>
      </c>
      <c r="G117" s="39">
        <f t="shared" ca="1" si="60"/>
        <v>0</v>
      </c>
      <c r="H117" s="39">
        <f t="shared" ca="1" si="60"/>
        <v>0</v>
      </c>
      <c r="I117" s="39">
        <f t="shared" ca="1" si="60"/>
        <v>0</v>
      </c>
      <c r="J117" s="39">
        <f t="shared" ca="1" si="60"/>
        <v>0</v>
      </c>
      <c r="K117" s="39">
        <f t="shared" ca="1" si="60"/>
        <v>0</v>
      </c>
      <c r="L117" s="39">
        <f t="shared" ca="1" si="60"/>
        <v>0</v>
      </c>
      <c r="M117" s="39">
        <f t="shared" ca="1" si="60"/>
        <v>0</v>
      </c>
      <c r="N117" s="39">
        <f t="shared" ca="1" si="60"/>
        <v>0</v>
      </c>
      <c r="O117" s="39">
        <f t="shared" ca="1" si="60"/>
        <v>0</v>
      </c>
      <c r="P117" s="39">
        <f t="shared" ca="1" si="60"/>
        <v>0</v>
      </c>
      <c r="Q117" s="39">
        <f t="shared" ca="1" si="60"/>
        <v>0</v>
      </c>
      <c r="R117" s="39">
        <f t="shared" ca="1" si="60"/>
        <v>0</v>
      </c>
      <c r="S117" s="39">
        <f t="shared" ca="1" si="60"/>
        <v>0</v>
      </c>
      <c r="T117" s="39">
        <f t="shared" ca="1" si="60"/>
        <v>0</v>
      </c>
      <c r="U117" s="39">
        <f t="shared" ca="1" si="60"/>
        <v>0</v>
      </c>
      <c r="V117" s="39">
        <f t="shared" ca="1" si="60"/>
        <v>0</v>
      </c>
      <c r="W117" s="39">
        <f t="shared" ca="1" si="60"/>
        <v>0</v>
      </c>
      <c r="X117" s="39">
        <f t="shared" ca="1" si="60"/>
        <v>0</v>
      </c>
      <c r="Y117" s="39">
        <f t="shared" ref="Y117" ca="1" si="61">Y80-Y79</f>
        <v>0</v>
      </c>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row>
    <row r="118" spans="3:80">
      <c r="C118" s="9" t="s">
        <v>182</v>
      </c>
      <c r="E118" s="39">
        <f t="shared" ref="E118:X118" ca="1" si="62">E81-E80</f>
        <v>0</v>
      </c>
      <c r="F118" s="39">
        <f t="shared" ca="1" si="62"/>
        <v>0</v>
      </c>
      <c r="G118" s="39">
        <f t="shared" ca="1" si="62"/>
        <v>0</v>
      </c>
      <c r="H118" s="39">
        <f t="shared" ca="1" si="62"/>
        <v>0</v>
      </c>
      <c r="I118" s="39">
        <f t="shared" ca="1" si="62"/>
        <v>0</v>
      </c>
      <c r="J118" s="39">
        <f t="shared" ca="1" si="62"/>
        <v>0</v>
      </c>
      <c r="K118" s="39">
        <f t="shared" ca="1" si="62"/>
        <v>0</v>
      </c>
      <c r="L118" s="39">
        <f t="shared" ca="1" si="62"/>
        <v>0</v>
      </c>
      <c r="M118" s="39">
        <f t="shared" ca="1" si="62"/>
        <v>0</v>
      </c>
      <c r="N118" s="39">
        <f t="shared" ca="1" si="62"/>
        <v>0</v>
      </c>
      <c r="O118" s="39">
        <f t="shared" ca="1" si="62"/>
        <v>0</v>
      </c>
      <c r="P118" s="39">
        <f t="shared" ca="1" si="62"/>
        <v>0</v>
      </c>
      <c r="Q118" s="39">
        <f t="shared" ca="1" si="62"/>
        <v>0</v>
      </c>
      <c r="R118" s="39">
        <f t="shared" ca="1" si="62"/>
        <v>0</v>
      </c>
      <c r="S118" s="39">
        <f t="shared" ca="1" si="62"/>
        <v>0</v>
      </c>
      <c r="T118" s="39">
        <f t="shared" ca="1" si="62"/>
        <v>0</v>
      </c>
      <c r="U118" s="39">
        <f t="shared" ca="1" si="62"/>
        <v>0</v>
      </c>
      <c r="V118" s="39">
        <f t="shared" ca="1" si="62"/>
        <v>0</v>
      </c>
      <c r="W118" s="39">
        <f t="shared" ca="1" si="62"/>
        <v>0</v>
      </c>
      <c r="X118" s="39">
        <f t="shared" ca="1" si="62"/>
        <v>0</v>
      </c>
      <c r="Y118" s="39">
        <f t="shared" ref="Y118" ca="1" si="63">Y81-Y80</f>
        <v>0</v>
      </c>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row>
    <row r="119" spans="3:80">
      <c r="C119" s="9" t="s">
        <v>185</v>
      </c>
      <c r="E119" s="39">
        <f t="shared" ref="E119:X119" ca="1" si="64">E82-E81</f>
        <v>0</v>
      </c>
      <c r="F119" s="39">
        <f t="shared" ca="1" si="64"/>
        <v>0</v>
      </c>
      <c r="G119" s="39">
        <f t="shared" ca="1" si="64"/>
        <v>0</v>
      </c>
      <c r="H119" s="39">
        <f t="shared" ca="1" si="64"/>
        <v>0</v>
      </c>
      <c r="I119" s="39">
        <f t="shared" ca="1" si="64"/>
        <v>0</v>
      </c>
      <c r="J119" s="39">
        <f t="shared" ca="1" si="64"/>
        <v>0</v>
      </c>
      <c r="K119" s="39">
        <f t="shared" ca="1" si="64"/>
        <v>0</v>
      </c>
      <c r="L119" s="39">
        <f t="shared" ca="1" si="64"/>
        <v>0</v>
      </c>
      <c r="M119" s="39">
        <f t="shared" ca="1" si="64"/>
        <v>0</v>
      </c>
      <c r="N119" s="39">
        <f t="shared" ca="1" si="64"/>
        <v>0</v>
      </c>
      <c r="O119" s="39">
        <f t="shared" ca="1" si="64"/>
        <v>0</v>
      </c>
      <c r="P119" s="39">
        <f t="shared" ca="1" si="64"/>
        <v>0</v>
      </c>
      <c r="Q119" s="39">
        <f t="shared" ca="1" si="64"/>
        <v>0</v>
      </c>
      <c r="R119" s="39">
        <f t="shared" ca="1" si="64"/>
        <v>0</v>
      </c>
      <c r="S119" s="39">
        <f t="shared" ca="1" si="64"/>
        <v>0</v>
      </c>
      <c r="T119" s="39">
        <f t="shared" ca="1" si="64"/>
        <v>0</v>
      </c>
      <c r="U119" s="39">
        <f t="shared" ca="1" si="64"/>
        <v>0</v>
      </c>
      <c r="V119" s="39">
        <f t="shared" ca="1" si="64"/>
        <v>0</v>
      </c>
      <c r="W119" s="39">
        <f t="shared" ca="1" si="64"/>
        <v>0</v>
      </c>
      <c r="X119" s="39">
        <f t="shared" ca="1" si="64"/>
        <v>0</v>
      </c>
      <c r="Y119" s="39">
        <f t="shared" ref="Y119" ca="1" si="65">Y82-Y81</f>
        <v>0</v>
      </c>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row>
    <row r="120" spans="3:80">
      <c r="C120" s="9" t="s">
        <v>188</v>
      </c>
      <c r="E120" s="39">
        <f t="shared" ref="E120:X120" ca="1" si="66">E83-E82</f>
        <v>0</v>
      </c>
      <c r="F120" s="39">
        <f t="shared" ca="1" si="66"/>
        <v>0</v>
      </c>
      <c r="G120" s="39">
        <f t="shared" ca="1" si="66"/>
        <v>0</v>
      </c>
      <c r="H120" s="39">
        <f t="shared" ca="1" si="66"/>
        <v>0</v>
      </c>
      <c r="I120" s="39">
        <f t="shared" ca="1" si="66"/>
        <v>0</v>
      </c>
      <c r="J120" s="39">
        <f t="shared" ca="1" si="66"/>
        <v>0</v>
      </c>
      <c r="K120" s="39">
        <f t="shared" ca="1" si="66"/>
        <v>0</v>
      </c>
      <c r="L120" s="39">
        <f t="shared" ca="1" si="66"/>
        <v>0</v>
      </c>
      <c r="M120" s="39">
        <f t="shared" ca="1" si="66"/>
        <v>0</v>
      </c>
      <c r="N120" s="39">
        <f t="shared" ca="1" si="66"/>
        <v>0</v>
      </c>
      <c r="O120" s="39">
        <f t="shared" ca="1" si="66"/>
        <v>0</v>
      </c>
      <c r="P120" s="39">
        <f t="shared" ca="1" si="66"/>
        <v>0</v>
      </c>
      <c r="Q120" s="39">
        <f t="shared" ca="1" si="66"/>
        <v>0</v>
      </c>
      <c r="R120" s="39">
        <f t="shared" ca="1" si="66"/>
        <v>0</v>
      </c>
      <c r="S120" s="39">
        <f t="shared" ca="1" si="66"/>
        <v>0</v>
      </c>
      <c r="T120" s="39">
        <f t="shared" ca="1" si="66"/>
        <v>0</v>
      </c>
      <c r="U120" s="39">
        <f t="shared" ca="1" si="66"/>
        <v>0</v>
      </c>
      <c r="V120" s="39">
        <f t="shared" ca="1" si="66"/>
        <v>0</v>
      </c>
      <c r="W120" s="39">
        <f t="shared" ca="1" si="66"/>
        <v>0</v>
      </c>
      <c r="X120" s="39">
        <f t="shared" ca="1" si="66"/>
        <v>0</v>
      </c>
      <c r="Y120" s="39">
        <f t="shared" ref="Y120" ca="1" si="67">Y83-Y82</f>
        <v>0</v>
      </c>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row>
    <row r="121" spans="3:80">
      <c r="C121" s="9" t="s">
        <v>191</v>
      </c>
      <c r="E121" s="39">
        <f t="shared" ref="E121:X121" ca="1" si="68">E84-E83</f>
        <v>0</v>
      </c>
      <c r="F121" s="39">
        <f t="shared" ca="1" si="68"/>
        <v>0</v>
      </c>
      <c r="G121" s="39">
        <f t="shared" ca="1" si="68"/>
        <v>0</v>
      </c>
      <c r="H121" s="39">
        <f t="shared" ca="1" si="68"/>
        <v>0</v>
      </c>
      <c r="I121" s="39">
        <f t="shared" ca="1" si="68"/>
        <v>0</v>
      </c>
      <c r="J121" s="39">
        <f t="shared" ca="1" si="68"/>
        <v>0</v>
      </c>
      <c r="K121" s="39">
        <f t="shared" ca="1" si="68"/>
        <v>0</v>
      </c>
      <c r="L121" s="39">
        <f t="shared" ca="1" si="68"/>
        <v>0</v>
      </c>
      <c r="M121" s="39">
        <f t="shared" ca="1" si="68"/>
        <v>0</v>
      </c>
      <c r="N121" s="39">
        <f t="shared" ca="1" si="68"/>
        <v>0</v>
      </c>
      <c r="O121" s="39">
        <f t="shared" ca="1" si="68"/>
        <v>0</v>
      </c>
      <c r="P121" s="39">
        <f t="shared" ca="1" si="68"/>
        <v>0</v>
      </c>
      <c r="Q121" s="39">
        <f t="shared" ca="1" si="68"/>
        <v>0</v>
      </c>
      <c r="R121" s="39">
        <f t="shared" ca="1" si="68"/>
        <v>0</v>
      </c>
      <c r="S121" s="39">
        <f t="shared" ca="1" si="68"/>
        <v>0</v>
      </c>
      <c r="T121" s="39">
        <f t="shared" ca="1" si="68"/>
        <v>0</v>
      </c>
      <c r="U121" s="39">
        <f t="shared" ca="1" si="68"/>
        <v>0</v>
      </c>
      <c r="V121" s="39">
        <f t="shared" ca="1" si="68"/>
        <v>0</v>
      </c>
      <c r="W121" s="39">
        <f t="shared" ca="1" si="68"/>
        <v>0</v>
      </c>
      <c r="X121" s="39">
        <f t="shared" ca="1" si="68"/>
        <v>0</v>
      </c>
      <c r="Y121" s="39">
        <f t="shared" ref="Y121" ca="1" si="69">Y84-Y83</f>
        <v>0</v>
      </c>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row>
    <row r="122" spans="3:80">
      <c r="C122" s="9" t="s">
        <v>194</v>
      </c>
      <c r="E122" s="39">
        <f t="shared" ref="E122:X122" ca="1" si="70">E85-E84</f>
        <v>0</v>
      </c>
      <c r="F122" s="39">
        <f t="shared" ca="1" si="70"/>
        <v>0</v>
      </c>
      <c r="G122" s="39">
        <f t="shared" ca="1" si="70"/>
        <v>0</v>
      </c>
      <c r="H122" s="39">
        <f t="shared" ca="1" si="70"/>
        <v>0</v>
      </c>
      <c r="I122" s="39">
        <f t="shared" ca="1" si="70"/>
        <v>0</v>
      </c>
      <c r="J122" s="39">
        <f t="shared" ca="1" si="70"/>
        <v>0</v>
      </c>
      <c r="K122" s="39">
        <f t="shared" ca="1" si="70"/>
        <v>0</v>
      </c>
      <c r="L122" s="39">
        <f t="shared" ca="1" si="70"/>
        <v>0</v>
      </c>
      <c r="M122" s="39">
        <f t="shared" ca="1" si="70"/>
        <v>0</v>
      </c>
      <c r="N122" s="39">
        <f t="shared" ca="1" si="70"/>
        <v>0</v>
      </c>
      <c r="O122" s="39">
        <f t="shared" ca="1" si="70"/>
        <v>0</v>
      </c>
      <c r="P122" s="39">
        <f t="shared" ca="1" si="70"/>
        <v>0</v>
      </c>
      <c r="Q122" s="39">
        <f t="shared" ca="1" si="70"/>
        <v>0</v>
      </c>
      <c r="R122" s="39">
        <f t="shared" ca="1" si="70"/>
        <v>0</v>
      </c>
      <c r="S122" s="39">
        <f t="shared" ca="1" si="70"/>
        <v>0</v>
      </c>
      <c r="T122" s="39">
        <f t="shared" ca="1" si="70"/>
        <v>0</v>
      </c>
      <c r="U122" s="39">
        <f t="shared" ca="1" si="70"/>
        <v>0</v>
      </c>
      <c r="V122" s="39">
        <f t="shared" ca="1" si="70"/>
        <v>0</v>
      </c>
      <c r="W122" s="39">
        <f t="shared" ca="1" si="70"/>
        <v>0</v>
      </c>
      <c r="X122" s="39">
        <f t="shared" ca="1" si="70"/>
        <v>0</v>
      </c>
      <c r="Y122" s="39">
        <f t="shared" ref="Y122" ca="1" si="71">Y85-Y84</f>
        <v>0</v>
      </c>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row>
    <row r="123" spans="3:80">
      <c r="C123" s="9" t="s">
        <v>197</v>
      </c>
      <c r="E123" s="39">
        <f t="shared" ref="E123:X123" ca="1" si="72">E86-E85</f>
        <v>0</v>
      </c>
      <c r="F123" s="39">
        <f t="shared" ca="1" si="72"/>
        <v>0</v>
      </c>
      <c r="G123" s="39">
        <f t="shared" ca="1" si="72"/>
        <v>0</v>
      </c>
      <c r="H123" s="39">
        <f t="shared" ca="1" si="72"/>
        <v>0</v>
      </c>
      <c r="I123" s="39">
        <f t="shared" ca="1" si="72"/>
        <v>0</v>
      </c>
      <c r="J123" s="39">
        <f t="shared" ca="1" si="72"/>
        <v>0</v>
      </c>
      <c r="K123" s="39">
        <f t="shared" ca="1" si="72"/>
        <v>0</v>
      </c>
      <c r="L123" s="39">
        <f t="shared" ca="1" si="72"/>
        <v>0</v>
      </c>
      <c r="M123" s="39">
        <f t="shared" ca="1" si="72"/>
        <v>0</v>
      </c>
      <c r="N123" s="39">
        <f t="shared" ca="1" si="72"/>
        <v>0</v>
      </c>
      <c r="O123" s="39">
        <f t="shared" ca="1" si="72"/>
        <v>0</v>
      </c>
      <c r="P123" s="39">
        <f t="shared" ca="1" si="72"/>
        <v>0</v>
      </c>
      <c r="Q123" s="39">
        <f t="shared" ca="1" si="72"/>
        <v>0</v>
      </c>
      <c r="R123" s="39">
        <f t="shared" ca="1" si="72"/>
        <v>0</v>
      </c>
      <c r="S123" s="39">
        <f t="shared" ca="1" si="72"/>
        <v>0</v>
      </c>
      <c r="T123" s="39">
        <f t="shared" ca="1" si="72"/>
        <v>0</v>
      </c>
      <c r="U123" s="39">
        <f t="shared" ca="1" si="72"/>
        <v>0</v>
      </c>
      <c r="V123" s="39">
        <f t="shared" ca="1" si="72"/>
        <v>0</v>
      </c>
      <c r="W123" s="39">
        <f t="shared" ca="1" si="72"/>
        <v>0</v>
      </c>
      <c r="X123" s="39">
        <f t="shared" ca="1" si="72"/>
        <v>0</v>
      </c>
      <c r="Y123" s="39">
        <f t="shared" ref="Y123" ca="1" si="73">Y86-Y85</f>
        <v>0</v>
      </c>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row>
    <row r="124" spans="3:80">
      <c r="C124" s="9" t="s">
        <v>200</v>
      </c>
      <c r="E124" s="39">
        <f t="shared" ref="E124:X124" ca="1" si="74">E87-E86</f>
        <v>0</v>
      </c>
      <c r="F124" s="39">
        <f t="shared" ca="1" si="74"/>
        <v>0</v>
      </c>
      <c r="G124" s="39">
        <f t="shared" ca="1" si="74"/>
        <v>0</v>
      </c>
      <c r="H124" s="39">
        <f t="shared" ca="1" si="74"/>
        <v>0</v>
      </c>
      <c r="I124" s="39">
        <f t="shared" ca="1" si="74"/>
        <v>0</v>
      </c>
      <c r="J124" s="39">
        <f t="shared" ca="1" si="74"/>
        <v>0</v>
      </c>
      <c r="K124" s="39">
        <f t="shared" ca="1" si="74"/>
        <v>0</v>
      </c>
      <c r="L124" s="39">
        <f t="shared" ca="1" si="74"/>
        <v>0</v>
      </c>
      <c r="M124" s="39">
        <f t="shared" ca="1" si="74"/>
        <v>0</v>
      </c>
      <c r="N124" s="39">
        <f t="shared" ca="1" si="74"/>
        <v>0</v>
      </c>
      <c r="O124" s="39">
        <f t="shared" ca="1" si="74"/>
        <v>0</v>
      </c>
      <c r="P124" s="39">
        <f t="shared" ca="1" si="74"/>
        <v>0</v>
      </c>
      <c r="Q124" s="39">
        <f t="shared" ca="1" si="74"/>
        <v>0</v>
      </c>
      <c r="R124" s="39">
        <f t="shared" ca="1" si="74"/>
        <v>0</v>
      </c>
      <c r="S124" s="39">
        <f t="shared" ca="1" si="74"/>
        <v>0</v>
      </c>
      <c r="T124" s="39">
        <f t="shared" ca="1" si="74"/>
        <v>0</v>
      </c>
      <c r="U124" s="39">
        <f t="shared" ca="1" si="74"/>
        <v>0</v>
      </c>
      <c r="V124" s="39">
        <f t="shared" ca="1" si="74"/>
        <v>0</v>
      </c>
      <c r="W124" s="39">
        <f t="shared" ca="1" si="74"/>
        <v>0</v>
      </c>
      <c r="X124" s="39">
        <f t="shared" ca="1" si="74"/>
        <v>0</v>
      </c>
      <c r="Y124" s="39">
        <f t="shared" ref="Y124" ca="1" si="75">Y87-Y86</f>
        <v>0</v>
      </c>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row>
    <row r="125" spans="3:80">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row>
    <row r="126" spans="3:80" ht="15">
      <c r="C126" s="65" t="s">
        <v>132</v>
      </c>
      <c r="D126" s="66"/>
      <c r="E126" s="66">
        <f t="shared" ref="E126:X126" ca="1" si="76">SUM(E93:E124)</f>
        <v>5.1068432930824882E-4</v>
      </c>
      <c r="F126" s="66">
        <f t="shared" ca="1" si="76"/>
        <v>1.464957865079134E-3</v>
      </c>
      <c r="G126" s="66">
        <f t="shared" ca="1" si="76"/>
        <v>3.0318621219033661E-3</v>
      </c>
      <c r="H126" s="66">
        <f t="shared" ca="1" si="76"/>
        <v>5.5193652137151758E-3</v>
      </c>
      <c r="I126" s="66">
        <f t="shared" ca="1" si="76"/>
        <v>9.1909231259479935E-3</v>
      </c>
      <c r="J126" s="66">
        <f t="shared" ca="1" si="76"/>
        <v>1.3969819185126657E-2</v>
      </c>
      <c r="K126" s="66">
        <f t="shared" ca="1" si="76"/>
        <v>2.047374867315593E-2</v>
      </c>
      <c r="L126" s="66">
        <f t="shared" ca="1" si="76"/>
        <v>2.9269015850010845E-2</v>
      </c>
      <c r="M126" s="66">
        <f t="shared" ca="1" si="76"/>
        <v>3.9853072253883709E-2</v>
      </c>
      <c r="N126" s="66">
        <f t="shared" ca="1" si="76"/>
        <v>5.3626520888166496E-2</v>
      </c>
      <c r="O126" s="66">
        <f t="shared" ca="1" si="76"/>
        <v>6.8761629604926683E-2</v>
      </c>
      <c r="P126" s="66">
        <f t="shared" ca="1" si="76"/>
        <v>8.3379728077141169E-2</v>
      </c>
      <c r="Q126" s="66">
        <f t="shared" ca="1" si="76"/>
        <v>9.6324087579720274E-2</v>
      </c>
      <c r="R126" s="66">
        <f t="shared" ca="1" si="76"/>
        <v>0.11072299264002153</v>
      </c>
      <c r="S126" s="66">
        <f t="shared" ca="1" si="76"/>
        <v>0.12473377354241491</v>
      </c>
      <c r="T126" s="66">
        <f t="shared" ca="1" si="76"/>
        <v>0.13451101599646317</v>
      </c>
      <c r="U126" s="66">
        <f t="shared" ca="1" si="76"/>
        <v>0.1375120625220306</v>
      </c>
      <c r="V126" s="66">
        <f t="shared" ca="1" si="76"/>
        <v>0.14233532900881066</v>
      </c>
      <c r="W126" s="66">
        <f t="shared" ca="1" si="76"/>
        <v>0.14580392274375065</v>
      </c>
      <c r="X126" s="66">
        <f t="shared" ca="1" si="76"/>
        <v>0.14829439485393914</v>
      </c>
      <c r="Y126" s="6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row>
    <row r="127" spans="3:80" ht="15">
      <c r="C127" s="65" t="s">
        <v>133</v>
      </c>
      <c r="D127" s="66"/>
      <c r="E127" s="66">
        <f ca="1">E126</f>
        <v>5.1068432930824882E-4</v>
      </c>
      <c r="F127" s="66">
        <f t="shared" ref="F127:X127" ca="1" si="77">E127+F126</f>
        <v>1.9756421943873826E-3</v>
      </c>
      <c r="G127" s="66">
        <f t="shared" ca="1" si="77"/>
        <v>5.0075043162907482E-3</v>
      </c>
      <c r="H127" s="66">
        <f t="shared" ca="1" si="77"/>
        <v>1.0526869530005924E-2</v>
      </c>
      <c r="I127" s="66">
        <f t="shared" ca="1" si="77"/>
        <v>1.9717792655953918E-2</v>
      </c>
      <c r="J127" s="66">
        <f t="shared" ca="1" si="77"/>
        <v>3.3687611841080572E-2</v>
      </c>
      <c r="K127" s="66">
        <f t="shared" ca="1" si="77"/>
        <v>5.4161360514236506E-2</v>
      </c>
      <c r="L127" s="66">
        <f t="shared" ca="1" si="77"/>
        <v>8.3430376364247355E-2</v>
      </c>
      <c r="M127" s="66">
        <f t="shared" ca="1" si="77"/>
        <v>0.12328344861813106</v>
      </c>
      <c r="N127" s="66">
        <f t="shared" ca="1" si="77"/>
        <v>0.17690996950629756</v>
      </c>
      <c r="O127" s="66">
        <f t="shared" ca="1" si="77"/>
        <v>0.24567159911122424</v>
      </c>
      <c r="P127" s="66">
        <f t="shared" ca="1" si="77"/>
        <v>0.32905132718836538</v>
      </c>
      <c r="Q127" s="66">
        <f t="shared" ca="1" si="77"/>
        <v>0.42537541476808566</v>
      </c>
      <c r="R127" s="66">
        <f t="shared" ca="1" si="77"/>
        <v>0.53609840740810721</v>
      </c>
      <c r="S127" s="66">
        <f t="shared" ca="1" si="77"/>
        <v>0.6608321809505221</v>
      </c>
      <c r="T127" s="66">
        <f t="shared" ca="1" si="77"/>
        <v>0.7953431969469853</v>
      </c>
      <c r="U127" s="66">
        <f t="shared" ca="1" si="77"/>
        <v>0.93285525946901593</v>
      </c>
      <c r="V127" s="66">
        <f t="shared" ca="1" si="77"/>
        <v>1.0751905884778266</v>
      </c>
      <c r="W127" s="66">
        <f t="shared" ca="1" si="77"/>
        <v>1.2209945112215772</v>
      </c>
      <c r="X127" s="66">
        <f t="shared" ca="1" si="77"/>
        <v>1.3692889060755165</v>
      </c>
      <c r="Y127" s="66">
        <f ca="1">SUM(Y93:Y124)</f>
        <v>1.3692889060755165</v>
      </c>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row>
    <row r="130" spans="1:27">
      <c r="A130" s="9" t="s">
        <v>138</v>
      </c>
    </row>
    <row r="132" spans="1:27">
      <c r="E132" s="39"/>
      <c r="F132" s="39"/>
      <c r="G132" s="39"/>
      <c r="H132" s="39"/>
      <c r="I132" s="39"/>
      <c r="J132" s="39"/>
      <c r="K132" s="39"/>
      <c r="L132" s="39"/>
      <c r="M132" s="39"/>
      <c r="N132" s="39"/>
      <c r="O132" s="39"/>
      <c r="P132" s="39"/>
      <c r="Q132" s="39"/>
      <c r="R132" s="39"/>
      <c r="S132" s="39"/>
      <c r="T132" s="39"/>
      <c r="U132" s="39"/>
      <c r="V132" s="39"/>
      <c r="W132" s="39"/>
      <c r="X132" s="39"/>
      <c r="Y132" s="39"/>
    </row>
    <row r="133" spans="1:27">
      <c r="E133" s="39"/>
      <c r="F133" s="39"/>
      <c r="G133" s="39"/>
      <c r="H133" s="39"/>
      <c r="I133" s="39"/>
      <c r="J133" s="39"/>
      <c r="K133" s="39"/>
      <c r="L133" s="39"/>
      <c r="M133" s="39"/>
      <c r="N133" s="39"/>
      <c r="O133" s="39"/>
      <c r="P133" s="39"/>
      <c r="Q133" s="39"/>
      <c r="R133" s="39"/>
      <c r="S133" s="39"/>
      <c r="T133" s="39"/>
      <c r="U133" s="39"/>
      <c r="V133" s="39"/>
      <c r="W133" s="39"/>
      <c r="X133" s="39"/>
      <c r="Y133" s="39"/>
    </row>
    <row r="134" spans="1:27" ht="15">
      <c r="A134" s="55" t="s">
        <v>139</v>
      </c>
      <c r="E134" s="39"/>
      <c r="F134" s="39"/>
      <c r="G134" s="39"/>
      <c r="H134" s="39"/>
      <c r="I134" s="39"/>
      <c r="J134" s="39"/>
      <c r="K134" s="39"/>
      <c r="L134" s="39"/>
      <c r="M134" s="39"/>
      <c r="N134" s="39"/>
      <c r="O134" s="39"/>
      <c r="P134" s="39"/>
      <c r="Q134" s="39"/>
      <c r="R134" s="39"/>
      <c r="S134" s="39"/>
      <c r="T134" s="39"/>
      <c r="U134" s="39"/>
      <c r="V134" s="39"/>
      <c r="W134" s="39"/>
      <c r="X134" s="39"/>
      <c r="Y134" s="39"/>
    </row>
    <row r="135" spans="1:27">
      <c r="A135" s="9" t="s">
        <v>140</v>
      </c>
      <c r="C135"/>
      <c r="D135"/>
      <c r="E135" s="9" t="s">
        <v>141</v>
      </c>
    </row>
    <row r="136" spans="1:27" ht="15">
      <c r="C136" s="47"/>
      <c r="D136" s="47"/>
      <c r="E136" s="64">
        <f>E11</f>
        <v>2016</v>
      </c>
      <c r="F136" s="64">
        <f t="shared" ref="F136:X136" si="78">F11</f>
        <v>2017</v>
      </c>
      <c r="G136" s="64">
        <f t="shared" si="78"/>
        <v>2018</v>
      </c>
      <c r="H136" s="64">
        <f t="shared" si="78"/>
        <v>2019</v>
      </c>
      <c r="I136" s="64">
        <f t="shared" si="78"/>
        <v>2020</v>
      </c>
      <c r="J136" s="64">
        <f t="shared" si="78"/>
        <v>2021</v>
      </c>
      <c r="K136" s="64">
        <f t="shared" si="78"/>
        <v>2022</v>
      </c>
      <c r="L136" s="64">
        <f t="shared" si="78"/>
        <v>2023</v>
      </c>
      <c r="M136" s="64">
        <f t="shared" si="78"/>
        <v>2024</v>
      </c>
      <c r="N136" s="64">
        <f t="shared" si="78"/>
        <v>2025</v>
      </c>
      <c r="O136" s="64">
        <f t="shared" si="78"/>
        <v>2026</v>
      </c>
      <c r="P136" s="64">
        <f t="shared" si="78"/>
        <v>2027</v>
      </c>
      <c r="Q136" s="64">
        <f t="shared" si="78"/>
        <v>2028</v>
      </c>
      <c r="R136" s="64">
        <f t="shared" si="78"/>
        <v>2029</v>
      </c>
      <c r="S136" s="64">
        <f t="shared" si="78"/>
        <v>2030</v>
      </c>
      <c r="T136" s="64">
        <f t="shared" si="78"/>
        <v>2031</v>
      </c>
      <c r="U136" s="64">
        <f t="shared" si="78"/>
        <v>2032</v>
      </c>
      <c r="V136" s="64">
        <f t="shared" si="78"/>
        <v>2033</v>
      </c>
      <c r="W136" s="64">
        <f t="shared" si="78"/>
        <v>2034</v>
      </c>
      <c r="X136" s="64">
        <f t="shared" si="78"/>
        <v>2035</v>
      </c>
      <c r="Y136" s="64"/>
    </row>
    <row r="137" spans="1:27">
      <c r="C137" s="9" t="str">
        <f>C13</f>
        <v>Single Family</v>
      </c>
      <c r="E137" s="39">
        <f ca="1">(E13-E33/$B23)</f>
        <v>62668.69946912719</v>
      </c>
      <c r="F137" s="39">
        <f t="shared" ref="F137:X140" ca="1" si="79">(F13-F33/$B23)</f>
        <v>59912.843735838142</v>
      </c>
      <c r="G137" s="39">
        <f t="shared" ca="1" si="79"/>
        <v>56732.731928334659</v>
      </c>
      <c r="H137" s="39">
        <f t="shared" ca="1" si="79"/>
        <v>54800.817298890819</v>
      </c>
      <c r="I137" s="39">
        <f t="shared" ca="1" si="79"/>
        <v>53200.449037966995</v>
      </c>
      <c r="J137" s="39">
        <f t="shared" ca="1" si="79"/>
        <v>50515.384884195424</v>
      </c>
      <c r="K137" s="39">
        <f t="shared" ca="1" si="79"/>
        <v>48877.738580507925</v>
      </c>
      <c r="L137" s="39">
        <f t="shared" ca="1" si="79"/>
        <v>48346.779599085428</v>
      </c>
      <c r="M137" s="39">
        <f t="shared" ca="1" si="79"/>
        <v>47484.468690221576</v>
      </c>
      <c r="N137" s="39">
        <f t="shared" ca="1" si="79"/>
        <v>47891.845379138576</v>
      </c>
      <c r="O137" s="39">
        <f t="shared" ca="1" si="79"/>
        <v>47733.138490766709</v>
      </c>
      <c r="P137" s="39">
        <f t="shared" ca="1" si="79"/>
        <v>46602.443451963161</v>
      </c>
      <c r="Q137" s="39">
        <f t="shared" ca="1" si="79"/>
        <v>44861.617059526747</v>
      </c>
      <c r="R137" s="39">
        <f t="shared" ca="1" si="79"/>
        <v>44430.323228519781</v>
      </c>
      <c r="S137" s="39">
        <f t="shared" ca="1" si="79"/>
        <v>44523.807776856418</v>
      </c>
      <c r="T137" s="39">
        <f t="shared" ca="1" si="79"/>
        <v>43989.491678917104</v>
      </c>
      <c r="U137" s="39">
        <f t="shared" ca="1" si="79"/>
        <v>42285.378009539796</v>
      </c>
      <c r="V137" s="39">
        <f t="shared" ca="1" si="79"/>
        <v>42044.032651134039</v>
      </c>
      <c r="W137" s="39">
        <f t="shared" ca="1" si="79"/>
        <v>42047.012456583681</v>
      </c>
      <c r="X137" s="39">
        <f t="shared" ca="1" si="79"/>
        <v>42282.335646378364</v>
      </c>
      <c r="Y137" s="39"/>
      <c r="AA137" s="39">
        <f t="shared" ref="AA137:AA140" ca="1" si="80">SUM(E137:Y137)</f>
        <v>971231.33905349253</v>
      </c>
    </row>
    <row r="138" spans="1:27">
      <c r="C138" s="9" t="str">
        <f>C14</f>
        <v>Multifamily - Low Rise</v>
      </c>
      <c r="E138" s="39" t="e">
        <f t="shared" ref="E138:T140" ca="1" si="81">(E14-E34/$B24)</f>
        <v>#DIV/0!</v>
      </c>
      <c r="F138" s="39" t="e">
        <f t="shared" ca="1" si="81"/>
        <v>#DIV/0!</v>
      </c>
      <c r="G138" s="39" t="e">
        <f t="shared" ca="1" si="81"/>
        <v>#DIV/0!</v>
      </c>
      <c r="H138" s="39" t="e">
        <f t="shared" ca="1" si="81"/>
        <v>#DIV/0!</v>
      </c>
      <c r="I138" s="39" t="e">
        <f t="shared" ca="1" si="81"/>
        <v>#DIV/0!</v>
      </c>
      <c r="J138" s="39" t="e">
        <f t="shared" ca="1" si="81"/>
        <v>#DIV/0!</v>
      </c>
      <c r="K138" s="39" t="e">
        <f t="shared" ca="1" si="81"/>
        <v>#DIV/0!</v>
      </c>
      <c r="L138" s="39" t="e">
        <f t="shared" ca="1" si="81"/>
        <v>#DIV/0!</v>
      </c>
      <c r="M138" s="39" t="e">
        <f t="shared" ca="1" si="81"/>
        <v>#DIV/0!</v>
      </c>
      <c r="N138" s="39" t="e">
        <f t="shared" ca="1" si="81"/>
        <v>#DIV/0!</v>
      </c>
      <c r="O138" s="39" t="e">
        <f t="shared" ca="1" si="81"/>
        <v>#DIV/0!</v>
      </c>
      <c r="P138" s="39" t="e">
        <f t="shared" ca="1" si="81"/>
        <v>#DIV/0!</v>
      </c>
      <c r="Q138" s="39" t="e">
        <f t="shared" ca="1" si="81"/>
        <v>#DIV/0!</v>
      </c>
      <c r="R138" s="39" t="e">
        <f t="shared" ca="1" si="81"/>
        <v>#DIV/0!</v>
      </c>
      <c r="S138" s="39" t="e">
        <f t="shared" ca="1" si="81"/>
        <v>#DIV/0!</v>
      </c>
      <c r="T138" s="39" t="e">
        <f t="shared" ca="1" si="81"/>
        <v>#DIV/0!</v>
      </c>
      <c r="U138" s="39" t="e">
        <f t="shared" ca="1" si="79"/>
        <v>#DIV/0!</v>
      </c>
      <c r="V138" s="39" t="e">
        <f t="shared" ca="1" si="79"/>
        <v>#DIV/0!</v>
      </c>
      <c r="W138" s="39" t="e">
        <f t="shared" ca="1" si="79"/>
        <v>#DIV/0!</v>
      </c>
      <c r="X138" s="39" t="e">
        <f t="shared" ca="1" si="79"/>
        <v>#DIV/0!</v>
      </c>
      <c r="Y138" s="39"/>
      <c r="AA138" s="39" t="e">
        <f t="shared" ca="1" si="80"/>
        <v>#DIV/0!</v>
      </c>
    </row>
    <row r="139" spans="1:27">
      <c r="C139" s="9" t="str">
        <f>C15</f>
        <v>Multifamily - High Rise</v>
      </c>
      <c r="E139" s="39" t="e">
        <f t="shared" ca="1" si="81"/>
        <v>#DIV/0!</v>
      </c>
      <c r="F139" s="39" t="e">
        <f t="shared" ca="1" si="79"/>
        <v>#DIV/0!</v>
      </c>
      <c r="G139" s="39" t="e">
        <f t="shared" ca="1" si="79"/>
        <v>#DIV/0!</v>
      </c>
      <c r="H139" s="39" t="e">
        <f t="shared" ca="1" si="79"/>
        <v>#DIV/0!</v>
      </c>
      <c r="I139" s="39" t="e">
        <f t="shared" ca="1" si="79"/>
        <v>#DIV/0!</v>
      </c>
      <c r="J139" s="39" t="e">
        <f t="shared" ca="1" si="79"/>
        <v>#DIV/0!</v>
      </c>
      <c r="K139" s="39" t="e">
        <f t="shared" ca="1" si="79"/>
        <v>#DIV/0!</v>
      </c>
      <c r="L139" s="39" t="e">
        <f t="shared" ca="1" si="79"/>
        <v>#DIV/0!</v>
      </c>
      <c r="M139" s="39" t="e">
        <f t="shared" ca="1" si="79"/>
        <v>#DIV/0!</v>
      </c>
      <c r="N139" s="39" t="e">
        <f t="shared" ca="1" si="79"/>
        <v>#DIV/0!</v>
      </c>
      <c r="O139" s="39" t="e">
        <f t="shared" ca="1" si="79"/>
        <v>#DIV/0!</v>
      </c>
      <c r="P139" s="39" t="e">
        <f t="shared" ca="1" si="79"/>
        <v>#DIV/0!</v>
      </c>
      <c r="Q139" s="39" t="e">
        <f t="shared" ca="1" si="79"/>
        <v>#DIV/0!</v>
      </c>
      <c r="R139" s="39" t="e">
        <f t="shared" ca="1" si="79"/>
        <v>#DIV/0!</v>
      </c>
      <c r="S139" s="39" t="e">
        <f t="shared" ca="1" si="79"/>
        <v>#DIV/0!</v>
      </c>
      <c r="T139" s="39" t="e">
        <f t="shared" ca="1" si="79"/>
        <v>#DIV/0!</v>
      </c>
      <c r="U139" s="39" t="e">
        <f t="shared" ca="1" si="79"/>
        <v>#DIV/0!</v>
      </c>
      <c r="V139" s="39" t="e">
        <f t="shared" ca="1" si="79"/>
        <v>#DIV/0!</v>
      </c>
      <c r="W139" s="39" t="e">
        <f t="shared" ca="1" si="79"/>
        <v>#DIV/0!</v>
      </c>
      <c r="X139" s="39" t="e">
        <f t="shared" ca="1" si="79"/>
        <v>#DIV/0!</v>
      </c>
      <c r="Y139" s="39"/>
      <c r="AA139" s="39" t="e">
        <f t="shared" ca="1" si="80"/>
        <v>#DIV/0!</v>
      </c>
    </row>
    <row r="140" spans="1:27">
      <c r="C140" s="9" t="str">
        <f>C16</f>
        <v>Manufactured</v>
      </c>
      <c r="E140" s="39" t="e">
        <f t="shared" ca="1" si="81"/>
        <v>#DIV/0!</v>
      </c>
      <c r="F140" s="39" t="e">
        <f t="shared" ca="1" si="79"/>
        <v>#DIV/0!</v>
      </c>
      <c r="G140" s="39" t="e">
        <f t="shared" ca="1" si="79"/>
        <v>#DIV/0!</v>
      </c>
      <c r="H140" s="39" t="e">
        <f t="shared" ca="1" si="79"/>
        <v>#DIV/0!</v>
      </c>
      <c r="I140" s="39" t="e">
        <f t="shared" ca="1" si="79"/>
        <v>#DIV/0!</v>
      </c>
      <c r="J140" s="39" t="e">
        <f t="shared" ca="1" si="79"/>
        <v>#DIV/0!</v>
      </c>
      <c r="K140" s="39" t="e">
        <f t="shared" ca="1" si="79"/>
        <v>#DIV/0!</v>
      </c>
      <c r="L140" s="39" t="e">
        <f t="shared" ca="1" si="79"/>
        <v>#DIV/0!</v>
      </c>
      <c r="M140" s="39" t="e">
        <f t="shared" ca="1" si="79"/>
        <v>#DIV/0!</v>
      </c>
      <c r="N140" s="39" t="e">
        <f t="shared" ca="1" si="79"/>
        <v>#DIV/0!</v>
      </c>
      <c r="O140" s="39" t="e">
        <f t="shared" ca="1" si="79"/>
        <v>#DIV/0!</v>
      </c>
      <c r="P140" s="39" t="e">
        <f t="shared" ca="1" si="79"/>
        <v>#DIV/0!</v>
      </c>
      <c r="Q140" s="39" t="e">
        <f t="shared" ca="1" si="79"/>
        <v>#DIV/0!</v>
      </c>
      <c r="R140" s="39" t="e">
        <f t="shared" ca="1" si="79"/>
        <v>#DIV/0!</v>
      </c>
      <c r="S140" s="39" t="e">
        <f t="shared" ca="1" si="79"/>
        <v>#DIV/0!</v>
      </c>
      <c r="T140" s="39" t="e">
        <f t="shared" ca="1" si="79"/>
        <v>#DIV/0!</v>
      </c>
      <c r="U140" s="39" t="e">
        <f t="shared" ca="1" si="79"/>
        <v>#DIV/0!</v>
      </c>
      <c r="V140" s="39" t="e">
        <f t="shared" ca="1" si="79"/>
        <v>#DIV/0!</v>
      </c>
      <c r="W140" s="39" t="e">
        <f t="shared" ca="1" si="79"/>
        <v>#DIV/0!</v>
      </c>
      <c r="X140" s="39" t="e">
        <f t="shared" ca="1" si="79"/>
        <v>#DIV/0!</v>
      </c>
      <c r="Y140" s="39"/>
      <c r="AA140" s="39" t="e">
        <f t="shared" ca="1" si="80"/>
        <v>#DIV/0!</v>
      </c>
    </row>
    <row r="141" spans="1:27">
      <c r="E141" s="39"/>
      <c r="F141" s="39"/>
      <c r="G141" s="39"/>
      <c r="H141" s="39"/>
      <c r="I141" s="39"/>
      <c r="J141" s="39"/>
      <c r="K141" s="39"/>
      <c r="L141" s="39"/>
      <c r="M141" s="39"/>
      <c r="N141" s="39"/>
      <c r="O141" s="39"/>
      <c r="P141" s="39"/>
      <c r="Q141" s="39"/>
      <c r="R141" s="39"/>
      <c r="S141" s="39"/>
      <c r="T141" s="39"/>
      <c r="U141" s="39"/>
      <c r="V141" s="39"/>
      <c r="W141" s="39"/>
      <c r="X141" s="39"/>
      <c r="Y141" s="39"/>
    </row>
    <row r="142" spans="1:27">
      <c r="C142" s="9" t="s">
        <v>142</v>
      </c>
      <c r="E142" s="39" t="e">
        <f t="shared" ref="E142:X142" ca="1" si="82">SUM(E137:E140)</f>
        <v>#DIV/0!</v>
      </c>
      <c r="F142" s="39" t="e">
        <f t="shared" ca="1" si="82"/>
        <v>#DIV/0!</v>
      </c>
      <c r="G142" s="39" t="e">
        <f t="shared" ca="1" si="82"/>
        <v>#DIV/0!</v>
      </c>
      <c r="H142" s="39" t="e">
        <f t="shared" ca="1" si="82"/>
        <v>#DIV/0!</v>
      </c>
      <c r="I142" s="39" t="e">
        <f t="shared" ca="1" si="82"/>
        <v>#DIV/0!</v>
      </c>
      <c r="J142" s="39" t="e">
        <f t="shared" ca="1" si="82"/>
        <v>#DIV/0!</v>
      </c>
      <c r="K142" s="39" t="e">
        <f t="shared" ca="1" si="82"/>
        <v>#DIV/0!</v>
      </c>
      <c r="L142" s="39" t="e">
        <f t="shared" ca="1" si="82"/>
        <v>#DIV/0!</v>
      </c>
      <c r="M142" s="39" t="e">
        <f t="shared" ca="1" si="82"/>
        <v>#DIV/0!</v>
      </c>
      <c r="N142" s="39" t="e">
        <f t="shared" ca="1" si="82"/>
        <v>#DIV/0!</v>
      </c>
      <c r="O142" s="39" t="e">
        <f t="shared" ca="1" si="82"/>
        <v>#DIV/0!</v>
      </c>
      <c r="P142" s="39" t="e">
        <f t="shared" ca="1" si="82"/>
        <v>#DIV/0!</v>
      </c>
      <c r="Q142" s="39" t="e">
        <f t="shared" ca="1" si="82"/>
        <v>#DIV/0!</v>
      </c>
      <c r="R142" s="39" t="e">
        <f t="shared" ca="1" si="82"/>
        <v>#DIV/0!</v>
      </c>
      <c r="S142" s="39" t="e">
        <f t="shared" ca="1" si="82"/>
        <v>#DIV/0!</v>
      </c>
      <c r="T142" s="39" t="e">
        <f t="shared" ca="1" si="82"/>
        <v>#DIV/0!</v>
      </c>
      <c r="U142" s="39" t="e">
        <f t="shared" ca="1" si="82"/>
        <v>#DIV/0!</v>
      </c>
      <c r="V142" s="39" t="e">
        <f t="shared" ca="1" si="82"/>
        <v>#DIV/0!</v>
      </c>
      <c r="W142" s="39" t="e">
        <f t="shared" ca="1" si="82"/>
        <v>#DIV/0!</v>
      </c>
      <c r="X142" s="39" t="e">
        <f t="shared" ca="1" si="82"/>
        <v>#DIV/0!</v>
      </c>
      <c r="Y142" s="39"/>
      <c r="AA142" s="39" t="e">
        <f ca="1">SUM(E142:Y142)</f>
        <v>#DIV/0!</v>
      </c>
    </row>
  </sheetData>
  <mergeCells count="1">
    <mergeCell ref="B1:T6"/>
  </mergeCells>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sheetPr codeName="Sheet3"/>
  <dimension ref="A1:BZ216"/>
  <sheetViews>
    <sheetView topLeftCell="B1" workbookViewId="0">
      <selection activeCell="E13" sqref="E13"/>
    </sheetView>
  </sheetViews>
  <sheetFormatPr defaultRowHeight="12.75"/>
  <cols>
    <col min="1" max="1" width="35" style="9" customWidth="1"/>
    <col min="2" max="4" width="20.7109375" style="9" customWidth="1"/>
    <col min="5" max="5" width="19.85546875" style="9" customWidth="1"/>
    <col min="6" max="6" width="9.28515625" style="9" bestFit="1" customWidth="1"/>
    <col min="7" max="28" width="9.140625" style="9"/>
    <col min="29" max="29" width="21.7109375" style="9" customWidth="1"/>
    <col min="30" max="30" width="35.85546875" style="9" customWidth="1"/>
    <col min="31" max="31" width="35.28515625" style="9" customWidth="1"/>
    <col min="32" max="32" width="15" style="9" customWidth="1"/>
    <col min="33" max="33" width="17.7109375" style="9" customWidth="1"/>
    <col min="34" max="34" width="15.140625" style="9" customWidth="1"/>
    <col min="35" max="35" width="15.7109375" style="9" customWidth="1"/>
    <col min="36" max="36" width="21.28515625" style="9" customWidth="1"/>
    <col min="37" max="37" width="17.7109375" style="9" bestFit="1" customWidth="1"/>
    <col min="38" max="38" width="15.42578125" style="9" bestFit="1" customWidth="1"/>
    <col min="39" max="39" width="14.28515625" style="9" bestFit="1" customWidth="1"/>
    <col min="40" max="40" width="14.28515625" style="9" customWidth="1"/>
    <col min="41" max="41" width="12.5703125" style="9" customWidth="1"/>
    <col min="42" max="42" width="14" style="9" bestFit="1" customWidth="1"/>
    <col min="43" max="44" width="10.85546875" style="9" bestFit="1" customWidth="1"/>
    <col min="45" max="45" width="13.42578125" style="9" customWidth="1"/>
    <col min="46" max="46" width="11.85546875" style="9" bestFit="1" customWidth="1"/>
    <col min="47" max="47" width="11" style="9" bestFit="1" customWidth="1"/>
    <col min="48" max="48" width="14.28515625" style="9" bestFit="1" customWidth="1"/>
    <col min="49" max="49" width="10.7109375" style="9" customWidth="1"/>
    <col min="50" max="50" width="13.85546875" style="9" bestFit="1" customWidth="1"/>
    <col min="51" max="51" width="11.7109375" style="9" bestFit="1" customWidth="1"/>
    <col min="52" max="52" width="15.28515625" style="9" bestFit="1" customWidth="1"/>
    <col min="53" max="55" width="12.28515625" style="9" bestFit="1" customWidth="1"/>
    <col min="56" max="56" width="12.5703125" style="9" bestFit="1" customWidth="1"/>
    <col min="57" max="59" width="14.28515625" style="9" bestFit="1" customWidth="1"/>
    <col min="60" max="60" width="13.7109375" style="9" bestFit="1" customWidth="1"/>
    <col min="61" max="61" width="14" style="9" bestFit="1" customWidth="1"/>
    <col min="62" max="62" width="12.85546875" style="9" bestFit="1" customWidth="1"/>
    <col min="63" max="63" width="15.28515625" style="9" bestFit="1" customWidth="1"/>
    <col min="64" max="64" width="12.28515625" style="9" bestFit="1" customWidth="1"/>
    <col min="65" max="65" width="10.85546875" style="9" bestFit="1" customWidth="1"/>
    <col min="66" max="66" width="12.28515625" style="9" bestFit="1" customWidth="1"/>
    <col min="67" max="67" width="12.5703125" style="9" bestFit="1" customWidth="1"/>
    <col min="68" max="16384" width="9.140625" style="9"/>
  </cols>
  <sheetData>
    <row r="1" spans="1:67">
      <c r="A1" s="45" t="s">
        <v>53</v>
      </c>
      <c r="B1" s="612" t="s">
        <v>979</v>
      </c>
      <c r="C1" s="612"/>
      <c r="D1" s="612"/>
      <c r="E1" s="612"/>
      <c r="F1" s="612"/>
      <c r="G1" s="612"/>
      <c r="H1" s="612"/>
      <c r="I1" s="612"/>
      <c r="J1" s="612"/>
      <c r="K1" s="612"/>
      <c r="L1" s="612"/>
      <c r="M1" s="612"/>
      <c r="N1" s="612"/>
      <c r="O1" s="612"/>
      <c r="P1" s="612"/>
      <c r="Q1" s="612"/>
      <c r="R1" s="612"/>
      <c r="S1" s="612"/>
      <c r="T1" s="612"/>
      <c r="U1" s="612"/>
      <c r="V1" s="53"/>
      <c r="W1" s="53"/>
      <c r="X1" s="53"/>
      <c r="Y1" s="53"/>
      <c r="Z1" s="53"/>
    </row>
    <row r="2" spans="1:67">
      <c r="A2" s="46" t="s">
        <v>978</v>
      </c>
      <c r="B2" s="612"/>
      <c r="C2" s="612"/>
      <c r="D2" s="612"/>
      <c r="E2" s="612"/>
      <c r="F2" s="612"/>
      <c r="G2" s="612"/>
      <c r="H2" s="612"/>
      <c r="I2" s="612"/>
      <c r="J2" s="612"/>
      <c r="K2" s="612"/>
      <c r="L2" s="612"/>
      <c r="M2" s="612"/>
      <c r="N2" s="612"/>
      <c r="O2" s="612"/>
      <c r="P2" s="612"/>
      <c r="Q2" s="612"/>
      <c r="R2" s="612"/>
      <c r="S2" s="612"/>
      <c r="T2" s="612"/>
      <c r="U2" s="612"/>
      <c r="V2" s="258"/>
      <c r="W2" s="258"/>
      <c r="X2" s="258"/>
      <c r="Y2" s="258"/>
    </row>
    <row r="3" spans="1:67">
      <c r="B3" s="612"/>
      <c r="C3" s="612"/>
      <c r="D3" s="612"/>
      <c r="E3" s="612"/>
      <c r="F3" s="612"/>
      <c r="G3" s="612"/>
      <c r="H3" s="612"/>
      <c r="I3" s="612"/>
      <c r="J3" s="612"/>
      <c r="K3" s="612"/>
      <c r="L3" s="612"/>
      <c r="M3" s="612"/>
      <c r="N3" s="612"/>
      <c r="O3" s="612"/>
      <c r="P3" s="612"/>
      <c r="Q3" s="612"/>
      <c r="R3" s="612"/>
      <c r="S3" s="612"/>
      <c r="T3" s="612"/>
      <c r="U3" s="612"/>
      <c r="V3" s="258"/>
      <c r="W3" s="258"/>
      <c r="X3" s="258"/>
      <c r="Y3" s="258"/>
      <c r="Z3" s="258"/>
    </row>
    <row r="4" spans="1:67">
      <c r="B4" s="612"/>
      <c r="C4" s="612"/>
      <c r="D4" s="612"/>
      <c r="E4" s="612"/>
      <c r="F4" s="612"/>
      <c r="G4" s="612"/>
      <c r="H4" s="612"/>
      <c r="I4" s="612"/>
      <c r="J4" s="612"/>
      <c r="K4" s="612"/>
      <c r="L4" s="612"/>
      <c r="M4" s="612"/>
      <c r="N4" s="612"/>
      <c r="O4" s="612"/>
      <c r="P4" s="612"/>
      <c r="Q4" s="612"/>
      <c r="R4" s="612"/>
      <c r="S4" s="612"/>
      <c r="T4" s="612"/>
      <c r="U4" s="612"/>
      <c r="V4" s="258"/>
      <c r="W4" s="258"/>
      <c r="X4" s="258"/>
      <c r="Y4" s="258"/>
      <c r="Z4" s="258"/>
    </row>
    <row r="5" spans="1:67">
      <c r="B5" s="612"/>
      <c r="C5" s="612"/>
      <c r="D5" s="612"/>
      <c r="E5" s="612"/>
      <c r="F5" s="612"/>
      <c r="G5" s="612"/>
      <c r="H5" s="612"/>
      <c r="I5" s="612"/>
      <c r="J5" s="612"/>
      <c r="K5" s="612"/>
      <c r="L5" s="612"/>
      <c r="M5" s="612"/>
      <c r="N5" s="612"/>
      <c r="O5" s="612"/>
      <c r="P5" s="612"/>
      <c r="Q5" s="612"/>
      <c r="R5" s="612"/>
      <c r="S5" s="612"/>
      <c r="T5" s="612"/>
      <c r="U5" s="612"/>
      <c r="V5" s="258"/>
      <c r="W5" s="258"/>
      <c r="X5" s="258"/>
      <c r="Y5" s="258"/>
      <c r="Z5" s="258"/>
    </row>
    <row r="6" spans="1:67">
      <c r="B6" s="612"/>
      <c r="C6" s="612"/>
      <c r="D6" s="612"/>
      <c r="E6" s="612"/>
      <c r="F6" s="612"/>
      <c r="G6" s="612"/>
      <c r="H6" s="612"/>
      <c r="I6" s="612"/>
      <c r="J6" s="612"/>
      <c r="K6" s="612"/>
      <c r="L6" s="612"/>
      <c r="M6" s="612"/>
      <c r="N6" s="612"/>
      <c r="O6" s="612"/>
      <c r="P6" s="612"/>
      <c r="Q6" s="612"/>
      <c r="R6" s="612"/>
      <c r="S6" s="612"/>
      <c r="T6" s="612"/>
      <c r="U6" s="612"/>
      <c r="V6" s="258"/>
      <c r="W6" s="258"/>
      <c r="X6" s="258"/>
      <c r="Y6" s="258"/>
      <c r="Z6" s="258"/>
    </row>
    <row r="7" spans="1:67">
      <c r="A7" s="90"/>
      <c r="B7" s="90" t="s">
        <v>47</v>
      </c>
      <c r="C7" s="52" t="s">
        <v>976</v>
      </c>
      <c r="D7" s="52" t="s">
        <v>168</v>
      </c>
    </row>
    <row r="8" spans="1:67">
      <c r="A8" s="90" t="s">
        <v>209</v>
      </c>
      <c r="B8" s="90" t="s">
        <v>54</v>
      </c>
      <c r="C8" s="52" t="s">
        <v>977</v>
      </c>
      <c r="D8" s="52" t="str">
        <f>[1]!switch_ForecastState</f>
        <v>Region</v>
      </c>
      <c r="F8" s="53"/>
    </row>
    <row r="9" spans="1:67">
      <c r="A9" s="90" t="str">
        <f>INDEX([2]ACHIEV!$A$19:$B$100,MATCH(CONCATENATE($C$8," - ",$C$7),[2]ACHIEV!$B$19:$B$100,0),1)</f>
        <v>HVAC</v>
      </c>
      <c r="B9" s="91" t="s">
        <v>55</v>
      </c>
      <c r="C9" s="52">
        <f>[2]FILES!$H$4</f>
        <v>2035</v>
      </c>
      <c r="D9" s="52" t="str">
        <f>[1]!switch_ForecastScenario</f>
        <v>Base</v>
      </c>
    </row>
    <row r="10" spans="1:67">
      <c r="A10" s="90"/>
      <c r="B10" s="90" t="s">
        <v>1905</v>
      </c>
      <c r="C10" s="611">
        <f ca="1">MIN(SUM(E79:X79),Y79)</f>
        <v>17.498742982836337</v>
      </c>
      <c r="D10" s="54"/>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row>
    <row r="11" spans="1:67" ht="15">
      <c r="A11" s="55" t="s">
        <v>980</v>
      </c>
      <c r="E11" s="58">
        <v>2016</v>
      </c>
      <c r="F11" s="59">
        <v>2017</v>
      </c>
      <c r="G11" s="59">
        <v>2018</v>
      </c>
      <c r="H11" s="59">
        <v>2019</v>
      </c>
      <c r="I11" s="59">
        <v>2020</v>
      </c>
      <c r="J11" s="59">
        <v>2021</v>
      </c>
      <c r="K11" s="59">
        <v>2022</v>
      </c>
      <c r="L11" s="59">
        <v>2023</v>
      </c>
      <c r="M11" s="59">
        <v>2024</v>
      </c>
      <c r="N11" s="59">
        <v>2025</v>
      </c>
      <c r="O11" s="59">
        <v>2026</v>
      </c>
      <c r="P11" s="59">
        <v>2027</v>
      </c>
      <c r="Q11" s="59">
        <v>2028</v>
      </c>
      <c r="R11" s="59">
        <v>2029</v>
      </c>
      <c r="S11" s="59">
        <v>2030</v>
      </c>
      <c r="T11" s="59">
        <v>2031</v>
      </c>
      <c r="U11" s="59">
        <v>2032</v>
      </c>
      <c r="V11" s="59">
        <v>2033</v>
      </c>
      <c r="W11" s="59">
        <v>2034</v>
      </c>
      <c r="X11" s="59">
        <v>2035</v>
      </c>
      <c r="Y11" s="59"/>
    </row>
    <row r="12" spans="1:67" ht="15">
      <c r="E12" s="61" t="str">
        <f>CONCATENATE("HOMES_",E11)</f>
        <v>HOMES_2016</v>
      </c>
      <c r="F12" s="62" t="str">
        <f t="shared" ref="F12:X12" si="0">CONCATENATE("HOMES_",F11)</f>
        <v>HOMES_2017</v>
      </c>
      <c r="G12" s="62" t="str">
        <f t="shared" si="0"/>
        <v>HOMES_2018</v>
      </c>
      <c r="H12" s="62" t="str">
        <f t="shared" si="0"/>
        <v>HOMES_2019</v>
      </c>
      <c r="I12" s="62" t="str">
        <f t="shared" si="0"/>
        <v>HOMES_2020</v>
      </c>
      <c r="J12" s="62" t="str">
        <f t="shared" si="0"/>
        <v>HOMES_2021</v>
      </c>
      <c r="K12" s="62" t="str">
        <f t="shared" si="0"/>
        <v>HOMES_2022</v>
      </c>
      <c r="L12" s="62" t="str">
        <f t="shared" si="0"/>
        <v>HOMES_2023</v>
      </c>
      <c r="M12" s="62" t="str">
        <f t="shared" si="0"/>
        <v>HOMES_2024</v>
      </c>
      <c r="N12" s="62" t="str">
        <f t="shared" si="0"/>
        <v>HOMES_2025</v>
      </c>
      <c r="O12" s="62" t="str">
        <f t="shared" si="0"/>
        <v>HOMES_2026</v>
      </c>
      <c r="P12" s="62" t="str">
        <f t="shared" si="0"/>
        <v>HOMES_2027</v>
      </c>
      <c r="Q12" s="62" t="str">
        <f t="shared" si="0"/>
        <v>HOMES_2028</v>
      </c>
      <c r="R12" s="62" t="str">
        <f t="shared" si="0"/>
        <v>HOMES_2029</v>
      </c>
      <c r="S12" s="62" t="str">
        <f t="shared" si="0"/>
        <v>HOMES_2030</v>
      </c>
      <c r="T12" s="62" t="str">
        <f t="shared" si="0"/>
        <v>HOMES_2031</v>
      </c>
      <c r="U12" s="62" t="str">
        <f t="shared" si="0"/>
        <v>HOMES_2032</v>
      </c>
      <c r="V12" s="62" t="str">
        <f t="shared" si="0"/>
        <v>HOMES_2033</v>
      </c>
      <c r="W12" s="62" t="str">
        <f t="shared" si="0"/>
        <v>HOMES_2034</v>
      </c>
      <c r="X12" s="62" t="str">
        <f t="shared" si="0"/>
        <v>HOMES_2035</v>
      </c>
      <c r="Y12" s="63"/>
    </row>
    <row r="13" spans="1:67">
      <c r="D13" s="9" t="s">
        <v>48</v>
      </c>
      <c r="E13" s="39">
        <f ca="1">INDEX([1]!tbl_Forecast,MATCH($D$8&amp;$D13&amp;$D$7,[1]!rng_ForecastRowLookup,0),MATCH(E$11,[1]!rng_ForecastColumnLookup,0))</f>
        <v>4203528.2719999999</v>
      </c>
      <c r="F13" s="39">
        <f ca="1">INDEX([1]!tbl_Forecast,MATCH($D$8&amp;$D13&amp;$D$7,[1]!rng_ForecastRowLookup,0),MATCH(F$11,[1]!rng_ForecastColumnLookup,0))</f>
        <v>4193982.9785983553</v>
      </c>
      <c r="G13" s="39">
        <f ca="1">INDEX([1]!tbl_Forecast,MATCH($D$8&amp;$D13&amp;$D$7,[1]!rng_ForecastRowLookup,0),MATCH(G$11,[1]!rng_ForecastColumnLookup,0))</f>
        <v>4184459.3604704877</v>
      </c>
      <c r="H13" s="39">
        <f ca="1">INDEX([1]!tbl_Forecast,MATCH($D$8&amp;$D13&amp;$D$7,[1]!rng_ForecastRowLookup,0),MATCH(H$11,[1]!rng_ForecastColumnLookup,0))</f>
        <v>4174957.36839659</v>
      </c>
      <c r="I13" s="39">
        <f ca="1">INDEX([1]!tbl_Forecast,MATCH($D$8&amp;$D13&amp;$D$7,[1]!rng_ForecastRowLookup,0),MATCH(I$11,[1]!rng_ForecastColumnLookup,0))</f>
        <v>4165476.9532686244</v>
      </c>
      <c r="J13" s="39">
        <f ca="1">INDEX([1]!tbl_Forecast,MATCH($D$8&amp;$D13&amp;$D$7,[1]!rng_ForecastRowLookup,0),MATCH(J$11,[1]!rng_ForecastColumnLookup,0))</f>
        <v>4156018.0660900641</v>
      </c>
      <c r="K13" s="39">
        <f ca="1">INDEX([1]!tbl_Forecast,MATCH($D$8&amp;$D13&amp;$D$7,[1]!rng_ForecastRowLookup,0),MATCH(K$11,[1]!rng_ForecastColumnLookup,0))</f>
        <v>4146580.6579756448</v>
      </c>
      <c r="L13" s="39">
        <f ca="1">INDEX([1]!tbl_Forecast,MATCH($D$8&amp;$D13&amp;$D$7,[1]!rng_ForecastRowLookup,0),MATCH(L$11,[1]!rng_ForecastColumnLookup,0))</f>
        <v>4137164.6801511091</v>
      </c>
      <c r="M13" s="39">
        <f ca="1">INDEX([1]!tbl_Forecast,MATCH($D$8&amp;$D13&amp;$D$7,[1]!rng_ForecastRowLookup,0),MATCH(M$11,[1]!rng_ForecastColumnLookup,0))</f>
        <v>4127770.0839529554</v>
      </c>
      <c r="N13" s="39">
        <f ca="1">INDEX([1]!tbl_Forecast,MATCH($D$8&amp;$D13&amp;$D$7,[1]!rng_ForecastRowLookup,0),MATCH(N$11,[1]!rng_ForecastColumnLookup,0))</f>
        <v>4118396.8208281873</v>
      </c>
      <c r="O13" s="39">
        <f ca="1">INDEX([1]!tbl_Forecast,MATCH($D$8&amp;$D13&amp;$D$7,[1]!rng_ForecastRowLookup,0),MATCH(O$11,[1]!rng_ForecastColumnLookup,0))</f>
        <v>4109044.8423340586</v>
      </c>
      <c r="P13" s="39">
        <f ca="1">INDEX([1]!tbl_Forecast,MATCH($D$8&amp;$D13&amp;$D$7,[1]!rng_ForecastRowLookup,0),MATCH(P$11,[1]!rng_ForecastColumnLookup,0))</f>
        <v>4099714.1001378288</v>
      </c>
      <c r="Q13" s="39">
        <f ca="1">INDEX([1]!tbl_Forecast,MATCH($D$8&amp;$D13&amp;$D$7,[1]!rng_ForecastRowLookup,0),MATCH(Q$11,[1]!rng_ForecastColumnLookup,0))</f>
        <v>4090404.5460165106</v>
      </c>
      <c r="R13" s="39">
        <f ca="1">INDEX([1]!tbl_Forecast,MATCH($D$8&amp;$D13&amp;$D$7,[1]!rng_ForecastRowLookup,0),MATCH(R$11,[1]!rng_ForecastColumnLookup,0))</f>
        <v>4081116.1318566194</v>
      </c>
      <c r="S13" s="39">
        <f ca="1">INDEX([1]!tbl_Forecast,MATCH($D$8&amp;$D13&amp;$D$7,[1]!rng_ForecastRowLookup,0),MATCH(S$11,[1]!rng_ForecastColumnLookup,0))</f>
        <v>4071848.8096539262</v>
      </c>
      <c r="T13" s="39">
        <f ca="1">INDEX([1]!tbl_Forecast,MATCH($D$8&amp;$D13&amp;$D$7,[1]!rng_ForecastRowLookup,0),MATCH(T$11,[1]!rng_ForecastColumnLookup,0))</f>
        <v>4062602.5315132081</v>
      </c>
      <c r="U13" s="39">
        <f ca="1">INDEX([1]!tbl_Forecast,MATCH($D$8&amp;$D13&amp;$D$7,[1]!rng_ForecastRowLookup,0),MATCH(U$11,[1]!rng_ForecastColumnLookup,0))</f>
        <v>4053377.2496480034</v>
      </c>
      <c r="V13" s="39">
        <f ca="1">INDEX([1]!tbl_Forecast,MATCH($D$8&amp;$D13&amp;$D$7,[1]!rng_ForecastRowLookup,0),MATCH(V$11,[1]!rng_ForecastColumnLookup,0))</f>
        <v>4044172.9163803621</v>
      </c>
      <c r="W13" s="39">
        <f ca="1">INDEX([1]!tbl_Forecast,MATCH($D$8&amp;$D13&amp;$D$7,[1]!rng_ForecastRowLookup,0),MATCH(W$11,[1]!rng_ForecastColumnLookup,0))</f>
        <v>4034989.4841406001</v>
      </c>
      <c r="X13" s="39">
        <f ca="1">INDEX([1]!tbl_Forecast,MATCH($D$8&amp;$D13&amp;$D$7,[1]!rng_ForecastRowLookup,0),MATCH(X$11,[1]!rng_ForecastColumnLookup,0))</f>
        <v>4025826.9054670548</v>
      </c>
      <c r="Y13" s="39"/>
    </row>
    <row r="14" spans="1:67">
      <c r="D14" s="9" t="s">
        <v>49</v>
      </c>
      <c r="E14" s="39">
        <f ca="1">INDEX([1]!tbl_Forecast,MATCH($D$8&amp;$D14&amp;$D$7,[1]!rng_ForecastRowLookup,0),MATCH(E$11,[1]!rng_ForecastColumnLookup,0))</f>
        <v>926243.25609262148</v>
      </c>
      <c r="F14" s="39">
        <f ca="1">INDEX([1]!tbl_Forecast,MATCH($D$8&amp;$D14&amp;$D$7,[1]!rng_ForecastRowLookup,0),MATCH(F$11,[1]!rng_ForecastColumnLookup,0))</f>
        <v>924139.92640956037</v>
      </c>
      <c r="G14" s="39">
        <f ca="1">INDEX([1]!tbl_Forecast,MATCH($D$8&amp;$D14&amp;$D$7,[1]!rng_ForecastRowLookup,0),MATCH(G$11,[1]!rng_ForecastColumnLookup,0))</f>
        <v>922041.3730050053</v>
      </c>
      <c r="H14" s="39">
        <f ca="1">INDEX([1]!tbl_Forecast,MATCH($D$8&amp;$D14&amp;$D$7,[1]!rng_ForecastRowLookup,0),MATCH(H$11,[1]!rng_ForecastColumnLookup,0))</f>
        <v>919947.58503289847</v>
      </c>
      <c r="I14" s="39">
        <f ca="1">INDEX([1]!tbl_Forecast,MATCH($D$8&amp;$D14&amp;$D$7,[1]!rng_ForecastRowLookup,0),MATCH(I$11,[1]!rng_ForecastColumnLookup,0))</f>
        <v>917858.55167181045</v>
      </c>
      <c r="J14" s="39">
        <f ca="1">INDEX([1]!tbl_Forecast,MATCH($D$8&amp;$D14&amp;$D$7,[1]!rng_ForecastRowLookup,0),MATCH(J$11,[1]!rng_ForecastColumnLookup,0))</f>
        <v>915774.26212488639</v>
      </c>
      <c r="K14" s="39">
        <f ca="1">INDEX([1]!tbl_Forecast,MATCH($D$8&amp;$D14&amp;$D$7,[1]!rng_ForecastRowLookup,0),MATCH(K$11,[1]!rng_ForecastColumnLookup,0))</f>
        <v>913694.70561978838</v>
      </c>
      <c r="L14" s="39">
        <f ca="1">INDEX([1]!tbl_Forecast,MATCH($D$8&amp;$D14&amp;$D$7,[1]!rng_ForecastRowLookup,0),MATCH(L$11,[1]!rng_ForecastColumnLookup,0))</f>
        <v>911619.87140864041</v>
      </c>
      <c r="M14" s="39">
        <f ca="1">INDEX([1]!tbl_Forecast,MATCH($D$8&amp;$D14&amp;$D$7,[1]!rng_ForecastRowLookup,0),MATCH(M$11,[1]!rng_ForecastColumnLookup,0))</f>
        <v>909549.74876797362</v>
      </c>
      <c r="N14" s="39">
        <f ca="1">INDEX([1]!tbl_Forecast,MATCH($D$8&amp;$D14&amp;$D$7,[1]!rng_ForecastRowLookup,0),MATCH(N$11,[1]!rng_ForecastColumnLookup,0))</f>
        <v>907484.32699866977</v>
      </c>
      <c r="O14" s="39">
        <f ca="1">INDEX([1]!tbl_Forecast,MATCH($D$8&amp;$D14&amp;$D$7,[1]!rng_ForecastRowLookup,0),MATCH(O$11,[1]!rng_ForecastColumnLookup,0))</f>
        <v>905423.59542590659</v>
      </c>
      <c r="P14" s="39">
        <f ca="1">INDEX([1]!tbl_Forecast,MATCH($D$8&amp;$D14&amp;$D$7,[1]!rng_ForecastRowLookup,0),MATCH(P$11,[1]!rng_ForecastColumnLookup,0))</f>
        <v>903367.54339910217</v>
      </c>
      <c r="Q14" s="39">
        <f ca="1">INDEX([1]!tbl_Forecast,MATCH($D$8&amp;$D14&amp;$D$7,[1]!rng_ForecastRowLookup,0),MATCH(Q$11,[1]!rng_ForecastColumnLookup,0))</f>
        <v>901316.16029185988</v>
      </c>
      <c r="R14" s="39">
        <f ca="1">INDEX([1]!tbl_Forecast,MATCH($D$8&amp;$D14&amp;$D$7,[1]!rng_ForecastRowLookup,0),MATCH(R$11,[1]!rng_ForecastColumnLookup,0))</f>
        <v>899269.43550191447</v>
      </c>
      <c r="S14" s="39">
        <f ca="1">INDEX([1]!tbl_Forecast,MATCH($D$8&amp;$D14&amp;$D$7,[1]!rng_ForecastRowLookup,0),MATCH(S$11,[1]!rng_ForecastColumnLookup,0))</f>
        <v>897227.35845107585</v>
      </c>
      <c r="T14" s="39">
        <f ca="1">INDEX([1]!tbl_Forecast,MATCH($D$8&amp;$D14&amp;$D$7,[1]!rng_ForecastRowLookup,0),MATCH(T$11,[1]!rng_ForecastColumnLookup,0))</f>
        <v>895189.9185851753</v>
      </c>
      <c r="U14" s="39">
        <f ca="1">INDEX([1]!tbl_Forecast,MATCH($D$8&amp;$D14&amp;$D$7,[1]!rng_ForecastRowLookup,0),MATCH(U$11,[1]!rng_ForecastColumnLookup,0))</f>
        <v>893157.10537401051</v>
      </c>
      <c r="V14" s="39">
        <f ca="1">INDEX([1]!tbl_Forecast,MATCH($D$8&amp;$D14&amp;$D$7,[1]!rng_ForecastRowLookup,0),MATCH(V$11,[1]!rng_ForecastColumnLookup,0))</f>
        <v>891128.90831129183</v>
      </c>
      <c r="W14" s="39">
        <f ca="1">INDEX([1]!tbl_Forecast,MATCH($D$8&amp;$D14&amp;$D$7,[1]!rng_ForecastRowLookup,0),MATCH(W$11,[1]!rng_ForecastColumnLookup,0))</f>
        <v>889105.31691458682</v>
      </c>
      <c r="X14" s="39">
        <f ca="1">INDEX([1]!tbl_Forecast,MATCH($D$8&amp;$D14&amp;$D$7,[1]!rng_ForecastRowLookup,0),MATCH(X$11,[1]!rng_ForecastColumnLookup,0))</f>
        <v>887086.32072526717</v>
      </c>
      <c r="Y14" s="39"/>
    </row>
    <row r="15" spans="1:67">
      <c r="D15" s="9" t="s">
        <v>50</v>
      </c>
      <c r="E15" s="39">
        <f ca="1">INDEX([1]!tbl_Forecast,MATCH($D$8&amp;$D15&amp;$D$7,[1]!rng_ForecastRowLookup,0),MATCH(E$11,[1]!rng_ForecastColumnLookup,0))</f>
        <v>211180.07985625503</v>
      </c>
      <c r="F15" s="39">
        <f ca="1">INDEX([1]!tbl_Forecast,MATCH($D$8&amp;$D15&amp;$D$7,[1]!rng_ForecastRowLookup,0),MATCH(F$11,[1]!rng_ForecastColumnLookup,0))</f>
        <v>210700.52836963299</v>
      </c>
      <c r="G15" s="39">
        <f ca="1">INDEX([1]!tbl_Forecast,MATCH($D$8&amp;$D15&amp;$D$7,[1]!rng_ForecastRowLookup,0),MATCH(G$11,[1]!rng_ForecastColumnLookup,0))</f>
        <v>210222.06585706791</v>
      </c>
      <c r="H15" s="39">
        <f ca="1">INDEX([1]!tbl_Forecast,MATCH($D$8&amp;$D15&amp;$D$7,[1]!rng_ForecastRowLookup,0),MATCH(H$11,[1]!rng_ForecastColumnLookup,0))</f>
        <v>209744.68984569819</v>
      </c>
      <c r="I15" s="39">
        <f ca="1">INDEX([1]!tbl_Forecast,MATCH($D$8&amp;$D15&amp;$D$7,[1]!rng_ForecastRowLookup,0),MATCH(I$11,[1]!rng_ForecastColumnLookup,0))</f>
        <v>209268.39786827751</v>
      </c>
      <c r="J15" s="39">
        <f ca="1">INDEX([1]!tbl_Forecast,MATCH($D$8&amp;$D15&amp;$D$7,[1]!rng_ForecastRowLookup,0),MATCH(J$11,[1]!rng_ForecastColumnLookup,0))</f>
        <v>208793.18746316229</v>
      </c>
      <c r="K15" s="39">
        <f ca="1">INDEX([1]!tbl_Forecast,MATCH($D$8&amp;$D15&amp;$D$7,[1]!rng_ForecastRowLookup,0),MATCH(K$11,[1]!rng_ForecastColumnLookup,0))</f>
        <v>208319.05617429892</v>
      </c>
      <c r="L15" s="39">
        <f ca="1">INDEX([1]!tbl_Forecast,MATCH($D$8&amp;$D15&amp;$D$7,[1]!rng_ForecastRowLookup,0),MATCH(L$11,[1]!rng_ForecastColumnLookup,0))</f>
        <v>207846.00155121088</v>
      </c>
      <c r="M15" s="39">
        <f ca="1">INDEX([1]!tbl_Forecast,MATCH($D$8&amp;$D15&amp;$D$7,[1]!rng_ForecastRowLookup,0),MATCH(M$11,[1]!rng_ForecastColumnLookup,0))</f>
        <v>207374.0211489865</v>
      </c>
      <c r="N15" s="39">
        <f ca="1">INDEX([1]!tbl_Forecast,MATCH($D$8&amp;$D15&amp;$D$7,[1]!rng_ForecastRowLookup,0),MATCH(N$11,[1]!rng_ForecastColumnLookup,0))</f>
        <v>206903.11252826577</v>
      </c>
      <c r="O15" s="39">
        <f ca="1">INDEX([1]!tbl_Forecast,MATCH($D$8&amp;$D15&amp;$D$7,[1]!rng_ForecastRowLookup,0),MATCH(O$11,[1]!rng_ForecastColumnLookup,0))</f>
        <v>206433.27325522827</v>
      </c>
      <c r="P15" s="39">
        <f ca="1">INDEX([1]!tbl_Forecast,MATCH($D$8&amp;$D15&amp;$D$7,[1]!rng_ForecastRowLookup,0),MATCH(P$11,[1]!rng_ForecastColumnLookup,0))</f>
        <v>205964.50090158021</v>
      </c>
      <c r="Q15" s="39">
        <f ca="1">INDEX([1]!tbl_Forecast,MATCH($D$8&amp;$D15&amp;$D$7,[1]!rng_ForecastRowLookup,0),MATCH(Q$11,[1]!rng_ForecastColumnLookup,0))</f>
        <v>205496.79304454199</v>
      </c>
      <c r="R15" s="39">
        <f ca="1">INDEX([1]!tbl_Forecast,MATCH($D$8&amp;$D15&amp;$D$7,[1]!rng_ForecastRowLookup,0),MATCH(R$11,[1]!rng_ForecastColumnLookup,0))</f>
        <v>205030.14726683579</v>
      </c>
      <c r="S15" s="39">
        <f ca="1">INDEX([1]!tbl_Forecast,MATCH($D$8&amp;$D15&amp;$D$7,[1]!rng_ForecastRowLookup,0),MATCH(S$11,[1]!rng_ForecastColumnLookup,0))</f>
        <v>204564.56115667295</v>
      </c>
      <c r="T15" s="39">
        <f ca="1">INDEX([1]!tbl_Forecast,MATCH($D$8&amp;$D15&amp;$D$7,[1]!rng_ForecastRowLookup,0),MATCH(T$11,[1]!rng_ForecastColumnLookup,0))</f>
        <v>204100.03230774152</v>
      </c>
      <c r="U15" s="39">
        <f ca="1">INDEX([1]!tbl_Forecast,MATCH($D$8&amp;$D15&amp;$D$7,[1]!rng_ForecastRowLookup,0),MATCH(U$11,[1]!rng_ForecastColumnLookup,0))</f>
        <v>203636.55831919383</v>
      </c>
      <c r="V15" s="39">
        <f ca="1">INDEX([1]!tbl_Forecast,MATCH($D$8&amp;$D15&amp;$D$7,[1]!rng_ForecastRowLookup,0),MATCH(V$11,[1]!rng_ForecastColumnLookup,0))</f>
        <v>203174.13679563423</v>
      </c>
      <c r="W15" s="39">
        <f ca="1">INDEX([1]!tbl_Forecast,MATCH($D$8&amp;$D15&amp;$D$7,[1]!rng_ForecastRowLookup,0),MATCH(W$11,[1]!rng_ForecastColumnLookup,0))</f>
        <v>202712.76534710638</v>
      </c>
      <c r="X15" s="39">
        <f ca="1">INDEX([1]!tbl_Forecast,MATCH($D$8&amp;$D15&amp;$D$7,[1]!rng_ForecastRowLookup,0),MATCH(X$11,[1]!rng_ForecastColumnLookup,0))</f>
        <v>202252.44158908122</v>
      </c>
      <c r="Y15" s="39"/>
    </row>
    <row r="16" spans="1:67">
      <c r="D16" s="9" t="s">
        <v>51</v>
      </c>
      <c r="E16" s="39">
        <f ca="1">INDEX([1]!tbl_Forecast,MATCH($D$8&amp;$D16&amp;$D$7,[1]!rng_ForecastRowLookup,0),MATCH(E$11,[1]!rng_ForecastColumnLookup,0))</f>
        <v>572006.3278356482</v>
      </c>
      <c r="F16" s="39">
        <f ca="1">INDEX([1]!tbl_Forecast,MATCH($D$8&amp;$D16&amp;$D$7,[1]!rng_ForecastRowLookup,0),MATCH(F$11,[1]!rng_ForecastColumnLookup,0))</f>
        <v>565893.30394507048</v>
      </c>
      <c r="G16" s="39">
        <f ca="1">INDEX([1]!tbl_Forecast,MATCH($D$8&amp;$D16&amp;$D$7,[1]!rng_ForecastRowLookup,0),MATCH(G$11,[1]!rng_ForecastColumnLookup,0))</f>
        <v>559845.60985814757</v>
      </c>
      <c r="H16" s="39">
        <f ca="1">INDEX([1]!tbl_Forecast,MATCH($D$8&amp;$D16&amp;$D$7,[1]!rng_ForecastRowLookup,0),MATCH(H$11,[1]!rng_ForecastColumnLookup,0))</f>
        <v>553862.54739615123</v>
      </c>
      <c r="I16" s="39">
        <f ca="1">INDEX([1]!tbl_Forecast,MATCH($D$8&amp;$D16&amp;$D$7,[1]!rng_ForecastRowLookup,0),MATCH(I$11,[1]!rng_ForecastColumnLookup,0))</f>
        <v>547943.42584177968</v>
      </c>
      <c r="J16" s="39">
        <f ca="1">INDEX([1]!tbl_Forecast,MATCH($D$8&amp;$D16&amp;$D$7,[1]!rng_ForecastRowLookup,0),MATCH(J$11,[1]!rng_ForecastColumnLookup,0))</f>
        <v>542087.56185941794</v>
      </c>
      <c r="K16" s="39">
        <f ca="1">INDEX([1]!tbl_Forecast,MATCH($D$8&amp;$D16&amp;$D$7,[1]!rng_ForecastRowLookup,0),MATCH(K$11,[1]!rng_ForecastColumnLookup,0))</f>
        <v>536294.27941624937</v>
      </c>
      <c r="L16" s="39">
        <f ca="1">INDEX([1]!tbl_Forecast,MATCH($D$8&amp;$D16&amp;$D$7,[1]!rng_ForecastRowLookup,0),MATCH(L$11,[1]!rng_ForecastColumnLookup,0))</f>
        <v>530562.90970421082</v>
      </c>
      <c r="M16" s="39">
        <f ca="1">INDEX([1]!tbl_Forecast,MATCH($D$8&amp;$D16&amp;$D$7,[1]!rng_ForecastRowLookup,0),MATCH(M$11,[1]!rng_ForecastColumnLookup,0))</f>
        <v>524892.79106278194</v>
      </c>
      <c r="N16" s="39">
        <f ca="1">INDEX([1]!tbl_Forecast,MATCH($D$8&amp;$D16&amp;$D$7,[1]!rng_ForecastRowLookup,0),MATCH(N$11,[1]!rng_ForecastColumnLookup,0))</f>
        <v>519283.26890259917</v>
      </c>
      <c r="O16" s="39">
        <f ca="1">INDEX([1]!tbl_Forecast,MATCH($D$8&amp;$D16&amp;$D$7,[1]!rng_ForecastRowLookup,0),MATCH(O$11,[1]!rng_ForecastColumnLookup,0))</f>
        <v>513733.69562988722</v>
      </c>
      <c r="P16" s="39">
        <f ca="1">INDEX([1]!tbl_Forecast,MATCH($D$8&amp;$D16&amp;$D$7,[1]!rng_ForecastRowLookup,0),MATCH(P$11,[1]!rng_ForecastColumnLookup,0))</f>
        <v>508243.4305716962</v>
      </c>
      <c r="Q16" s="39">
        <f ca="1">INDEX([1]!tbl_Forecast,MATCH($D$8&amp;$D16&amp;$D$7,[1]!rng_ForecastRowLookup,0),MATCH(Q$11,[1]!rng_ForecastColumnLookup,0))</f>
        <v>502811.8399019395</v>
      </c>
      <c r="R16" s="39">
        <f ca="1">INDEX([1]!tbl_Forecast,MATCH($D$8&amp;$D16&amp;$D$7,[1]!rng_ForecastRowLookup,0),MATCH(R$11,[1]!rng_ForecastColumnLookup,0))</f>
        <v>497438.2965682213</v>
      </c>
      <c r="S16" s="39">
        <f ca="1">INDEX([1]!tbl_Forecast,MATCH($D$8&amp;$D16&amp;$D$7,[1]!rng_ForecastRowLookup,0),MATCH(S$11,[1]!rng_ForecastColumnLookup,0))</f>
        <v>492122.18021944637</v>
      </c>
      <c r="T16" s="39">
        <f ca="1">INDEX([1]!tbl_Forecast,MATCH($D$8&amp;$D16&amp;$D$7,[1]!rng_ForecastRowLookup,0),MATCH(T$11,[1]!rng_ForecastColumnLookup,0))</f>
        <v>486862.87713420321</v>
      </c>
      <c r="U16" s="39">
        <f ca="1">INDEX([1]!tbl_Forecast,MATCH($D$8&amp;$D16&amp;$D$7,[1]!rng_ForecastRowLookup,0),MATCH(U$11,[1]!rng_ForecastColumnLookup,0))</f>
        <v>481659.78014991269</v>
      </c>
      <c r="V16" s="39">
        <f ca="1">INDEX([1]!tbl_Forecast,MATCH($D$8&amp;$D16&amp;$D$7,[1]!rng_ForecastRowLookup,0),MATCH(V$11,[1]!rng_ForecastColumnLookup,0))</f>
        <v>476512.28859273402</v>
      </c>
      <c r="W16" s="39">
        <f ca="1">INDEX([1]!tbl_Forecast,MATCH($D$8&amp;$D16&amp;$D$7,[1]!rng_ForecastRowLookup,0),MATCH(W$11,[1]!rng_ForecastColumnLookup,0))</f>
        <v>471419.80820821953</v>
      </c>
      <c r="X16" s="39">
        <f ca="1">INDEX([1]!tbl_Forecast,MATCH($D$8&amp;$D16&amp;$D$7,[1]!rng_ForecastRowLookup,0),MATCH(X$11,[1]!rng_ForecastColumnLookup,0))</f>
        <v>466381.75109271082</v>
      </c>
      <c r="Y16" s="39"/>
    </row>
    <row r="17" spans="1:31">
      <c r="E17" s="39"/>
      <c r="F17" s="39"/>
      <c r="G17" s="39"/>
      <c r="H17" s="39"/>
      <c r="I17" s="39"/>
      <c r="J17" s="39"/>
      <c r="K17" s="39"/>
      <c r="L17" s="39"/>
      <c r="M17" s="39"/>
      <c r="N17" s="39"/>
      <c r="O17" s="39"/>
      <c r="P17" s="39"/>
      <c r="Q17" s="39"/>
      <c r="R17" s="39"/>
      <c r="S17" s="39"/>
      <c r="T17" s="39"/>
      <c r="U17" s="39"/>
      <c r="V17" s="39"/>
      <c r="W17" s="39"/>
      <c r="X17" s="39"/>
      <c r="Y17" s="39"/>
    </row>
    <row r="18" spans="1:31">
      <c r="B18" s="9" t="s">
        <v>56</v>
      </c>
      <c r="D18" s="9" t="s">
        <v>57</v>
      </c>
      <c r="E18" s="39">
        <f t="shared" ref="E18:X18" ca="1" si="1">SUM(E13:E16)</f>
        <v>5912957.9357845243</v>
      </c>
      <c r="F18" s="39">
        <f t="shared" ca="1" si="1"/>
        <v>5894716.7373226183</v>
      </c>
      <c r="G18" s="39">
        <f t="shared" ca="1" si="1"/>
        <v>5876568.4091907088</v>
      </c>
      <c r="H18" s="39">
        <f t="shared" ca="1" si="1"/>
        <v>5858512.1906713378</v>
      </c>
      <c r="I18" s="39">
        <f t="shared" ca="1" si="1"/>
        <v>5840547.3286504922</v>
      </c>
      <c r="J18" s="39">
        <f t="shared" ca="1" si="1"/>
        <v>5822673.077537531</v>
      </c>
      <c r="K18" s="39">
        <f t="shared" ca="1" si="1"/>
        <v>5804888.6991859814</v>
      </c>
      <c r="L18" s="39">
        <f t="shared" ca="1" si="1"/>
        <v>5787193.462815172</v>
      </c>
      <c r="M18" s="39">
        <f t="shared" ca="1" si="1"/>
        <v>5769586.6449326966</v>
      </c>
      <c r="N18" s="39">
        <f t="shared" ca="1" si="1"/>
        <v>5752067.5292577213</v>
      </c>
      <c r="O18" s="39">
        <f t="shared" ca="1" si="1"/>
        <v>5734635.406645081</v>
      </c>
      <c r="P18" s="39">
        <f t="shared" ca="1" si="1"/>
        <v>5717289.5750102066</v>
      </c>
      <c r="Q18" s="39">
        <f t="shared" ca="1" si="1"/>
        <v>5700029.3392548524</v>
      </c>
      <c r="R18" s="39">
        <f t="shared" ca="1" si="1"/>
        <v>5682854.0111935912</v>
      </c>
      <c r="S18" s="39">
        <f t="shared" ca="1" si="1"/>
        <v>5665762.9094811222</v>
      </c>
      <c r="T18" s="39">
        <f t="shared" ca="1" si="1"/>
        <v>5648755.3595403275</v>
      </c>
      <c r="U18" s="39">
        <f t="shared" ca="1" si="1"/>
        <v>5631830.6934911208</v>
      </c>
      <c r="V18" s="39">
        <f t="shared" ca="1" si="1"/>
        <v>5614988.250080023</v>
      </c>
      <c r="W18" s="39">
        <f t="shared" ca="1" si="1"/>
        <v>5598227.3746105134</v>
      </c>
      <c r="X18" s="39">
        <f t="shared" ca="1" si="1"/>
        <v>5581547.4188741138</v>
      </c>
      <c r="Y18" s="39"/>
      <c r="Z18" s="39"/>
    </row>
    <row r="19" spans="1:31">
      <c r="E19" s="39"/>
      <c r="F19" s="39"/>
      <c r="G19" s="39"/>
      <c r="H19" s="39"/>
      <c r="I19" s="39"/>
      <c r="J19" s="39"/>
      <c r="K19" s="39"/>
      <c r="L19" s="39"/>
      <c r="M19" s="39"/>
      <c r="N19" s="39"/>
      <c r="O19" s="39"/>
      <c r="P19" s="39"/>
      <c r="Q19" s="39"/>
      <c r="R19" s="39"/>
      <c r="S19" s="39"/>
      <c r="T19" s="39"/>
      <c r="U19" s="39"/>
      <c r="V19" s="39"/>
      <c r="W19" s="39"/>
      <c r="X19" s="39"/>
      <c r="Y19" s="39"/>
    </row>
    <row r="20" spans="1:31">
      <c r="E20" s="39"/>
      <c r="F20" s="39"/>
      <c r="G20" s="39"/>
      <c r="H20" s="39"/>
      <c r="I20" s="39"/>
      <c r="J20" s="39"/>
      <c r="K20" s="39"/>
      <c r="L20" s="39"/>
      <c r="M20" s="39"/>
      <c r="N20" s="39"/>
      <c r="O20" s="39"/>
      <c r="P20" s="39"/>
      <c r="Q20" s="39"/>
      <c r="R20" s="39"/>
      <c r="S20" s="39"/>
      <c r="T20" s="39"/>
      <c r="U20" s="39"/>
      <c r="V20" s="39"/>
      <c r="W20" s="39"/>
      <c r="X20" s="39"/>
      <c r="Y20" s="39"/>
    </row>
    <row r="21" spans="1:31" ht="15">
      <c r="A21" s="55" t="s">
        <v>981</v>
      </c>
      <c r="E21" s="39"/>
      <c r="F21" s="39"/>
      <c r="G21" s="39"/>
      <c r="H21" s="39"/>
      <c r="I21" s="39"/>
      <c r="J21" s="39"/>
      <c r="K21" s="39"/>
      <c r="L21" s="39"/>
      <c r="M21" s="39"/>
      <c r="N21" s="39"/>
      <c r="O21" s="39"/>
      <c r="P21" s="39"/>
      <c r="Q21" s="39"/>
      <c r="R21" s="39"/>
      <c r="S21" s="39"/>
      <c r="T21" s="39"/>
      <c r="U21" s="39"/>
      <c r="V21" s="39"/>
      <c r="W21" s="39"/>
      <c r="X21" s="39"/>
      <c r="Y21" s="39"/>
    </row>
    <row r="22" spans="1:31" ht="15">
      <c r="A22" s="9" t="s">
        <v>982</v>
      </c>
      <c r="E22" s="64">
        <v>1</v>
      </c>
      <c r="F22" s="64">
        <v>2</v>
      </c>
      <c r="G22" s="64">
        <v>3</v>
      </c>
      <c r="H22" s="64">
        <v>4</v>
      </c>
      <c r="I22" s="64">
        <v>5</v>
      </c>
      <c r="J22" s="64">
        <v>6</v>
      </c>
      <c r="K22" s="64">
        <v>7</v>
      </c>
      <c r="L22" s="64">
        <v>8</v>
      </c>
      <c r="M22" s="64">
        <v>9</v>
      </c>
      <c r="N22" s="64">
        <v>10</v>
      </c>
      <c r="O22" s="64">
        <v>11</v>
      </c>
      <c r="P22" s="64">
        <v>12</v>
      </c>
      <c r="Q22" s="64">
        <v>13</v>
      </c>
      <c r="R22" s="64">
        <v>14</v>
      </c>
      <c r="S22" s="64">
        <v>15</v>
      </c>
      <c r="T22" s="64">
        <v>16</v>
      </c>
      <c r="U22" s="64">
        <v>17</v>
      </c>
      <c r="V22" s="64">
        <v>18</v>
      </c>
      <c r="W22" s="64">
        <v>19</v>
      </c>
      <c r="X22" s="64">
        <v>20</v>
      </c>
      <c r="Y22" s="64"/>
    </row>
    <row r="23" spans="1:31">
      <c r="D23" s="9" t="str">
        <f>D13</f>
        <v>Single Family</v>
      </c>
      <c r="E23" s="39">
        <f>IF(E$22&lt;=1/$C$43,0,INDEX('SC-New'!$E137:$Y137,1,E$22-ROUND(1/$C$43,0)))</f>
        <v>0</v>
      </c>
      <c r="F23" s="39">
        <f>IF(F$22&lt;=1/$C$43,0,INDEX('SC-New'!$E137:$Y137,1,F$22-ROUND(1/$C$43,0)))</f>
        <v>0</v>
      </c>
      <c r="G23" s="39">
        <f>IF(G$22&lt;=1/$C$43,0,INDEX('SC-New'!$E137:$Y137,1,G$22-ROUND(1/$C$43,0)))</f>
        <v>0</v>
      </c>
      <c r="H23" s="39">
        <f>IF(H$22&lt;=1/$C$43,0,INDEX('SC-New'!$E137:$Y137,1,H$22-ROUND(1/$C$43,0)))</f>
        <v>0</v>
      </c>
      <c r="I23" s="39">
        <f>IF(I$22&lt;=1/$C$43,0,INDEX('SC-New'!$E137:$Y137,1,I$22-ROUND(1/$C$43,0)))</f>
        <v>0</v>
      </c>
      <c r="J23" s="39">
        <f>IF(J$22&lt;=1/$C$43,0,INDEX('SC-New'!$E137:$Y137,1,J$22-ROUND(1/$C$43,0)))</f>
        <v>0</v>
      </c>
      <c r="K23" s="39">
        <f>IF(K$22&lt;=1/$C$43,0,INDEX('SC-New'!$E137:$Y137,1,K$22-ROUND(1/$C$43,0)))</f>
        <v>0</v>
      </c>
      <c r="L23" s="39">
        <f>IF(L$22&lt;=1/$C$43,0,INDEX('SC-New'!$E137:$Y137,1,L$22-ROUND(1/$C$43,0)))</f>
        <v>0</v>
      </c>
      <c r="M23" s="39">
        <f>IF(M$22&lt;=1/$C$43,0,INDEX('SC-New'!$E137:$Y137,1,M$22-ROUND(1/$C$43,0)))</f>
        <v>0</v>
      </c>
      <c r="N23" s="39">
        <f>IF(N$22&lt;=1/$C$43,0,INDEX('SC-New'!$E137:$Y137,1,N$22-ROUND(1/$C$43,0)))</f>
        <v>0</v>
      </c>
      <c r="O23" s="39">
        <f>IF(O$22&lt;=1/$C$43,0,INDEX('SC-New'!$E137:$Y137,1,O$22-ROUND(1/$C$43,0)))</f>
        <v>0</v>
      </c>
      <c r="P23" s="39">
        <f>IF(P$22&lt;=1/$C$43,0,INDEX('SC-New'!$E137:$Y137,1,P$22-ROUND(1/$C$43,0)))</f>
        <v>0</v>
      </c>
      <c r="Q23" s="39">
        <f>IF(Q$22&lt;=1/$C$43,0,INDEX('SC-New'!$E137:$Y137,1,Q$22-ROUND(1/$C$43,0)))</f>
        <v>0</v>
      </c>
      <c r="R23" s="39">
        <f>IF(R$22&lt;=1/$C$43,0,INDEX('SC-New'!$E137:$Y137,1,R$22-ROUND(1/$C$43,0)))</f>
        <v>0</v>
      </c>
      <c r="S23" s="39">
        <f>IF(S$22&lt;=1/$C$43,0,INDEX('SC-New'!$E137:$Y137,1,S$22-ROUND(1/$C$43,0)))</f>
        <v>0</v>
      </c>
      <c r="T23" s="39">
        <f ca="1">IF(T$22&lt;=1/$C$43,0,INDEX('SC-New'!$E137:$Y137,1,T$22-ROUND(1/$C$43,0)))</f>
        <v>62668.69946912719</v>
      </c>
      <c r="U23" s="39">
        <f ca="1">IF(U$22&lt;=1/$C$43,0,INDEX('SC-New'!$E137:$Y137,1,U$22-ROUND(1/$C$43,0)))</f>
        <v>59912.843735838142</v>
      </c>
      <c r="V23" s="39">
        <f ca="1">IF(V$22&lt;=1/$C$43,0,INDEX('SC-New'!$E137:$Y137,1,V$22-ROUND(1/$C$43,0)))</f>
        <v>56732.731928334659</v>
      </c>
      <c r="W23" s="39">
        <f ca="1">IF(W$22&lt;=1/$C$43,0,INDEX('SC-New'!$E137:$Y137,1,W$22-ROUND(1/$C$43,0)))</f>
        <v>54800.817298890819</v>
      </c>
      <c r="X23" s="39">
        <f ca="1">IF(X$22&lt;=1/$C$43,0,INDEX('SC-New'!$E137:$Y137,1,X$22-ROUND(1/$C$43,0)))</f>
        <v>53200.449037966995</v>
      </c>
      <c r="Y23" s="39"/>
      <c r="Z23" s="39"/>
      <c r="AA23" s="39"/>
      <c r="AB23" s="39"/>
      <c r="AC23" s="39"/>
      <c r="AD23" s="39"/>
      <c r="AE23" s="39"/>
    </row>
    <row r="24" spans="1:31">
      <c r="D24" s="9" t="str">
        <f>D14</f>
        <v>Multifamily - Low Rise</v>
      </c>
      <c r="E24" s="39">
        <f>IF(E$22&lt;=1/$C$43,0,INDEX('SC-New'!$E138:$Y138,1,E$22-ROUND(1/$C$43,0)))</f>
        <v>0</v>
      </c>
      <c r="F24" s="39">
        <f>IF(F$22&lt;=1/$C$43,0,INDEX('SC-New'!$E138:$Y138,1,F$22-ROUND(1/$C$43,0)))</f>
        <v>0</v>
      </c>
      <c r="G24" s="39">
        <f>IF(G$22&lt;=1/$C$43,0,INDEX('SC-New'!$E138:$Y138,1,G$22-ROUND(1/$C$43,0)))</f>
        <v>0</v>
      </c>
      <c r="H24" s="39">
        <f>IF(H$22&lt;=1/$C$43,0,INDEX('SC-New'!$E138:$Y138,1,H$22-ROUND(1/$C$43,0)))</f>
        <v>0</v>
      </c>
      <c r="I24" s="39">
        <f>IF(I$22&lt;=1/$C$43,0,INDEX('SC-New'!$E138:$Y138,1,I$22-ROUND(1/$C$43,0)))</f>
        <v>0</v>
      </c>
      <c r="J24" s="39">
        <f>IF(J$22&lt;=1/$C$43,0,INDEX('SC-New'!$E138:$Y138,1,J$22-ROUND(1/$C$43,0)))</f>
        <v>0</v>
      </c>
      <c r="K24" s="39">
        <f>IF(K$22&lt;=1/$C$43,0,INDEX('SC-New'!$E138:$Y138,1,K$22-ROUND(1/$C$43,0)))</f>
        <v>0</v>
      </c>
      <c r="L24" s="39">
        <f>IF(L$22&lt;=1/$C$43,0,INDEX('SC-New'!$E138:$Y138,1,L$22-ROUND(1/$C$43,0)))</f>
        <v>0</v>
      </c>
      <c r="M24" s="39">
        <f>IF(M$22&lt;=1/$C$43,0,INDEX('SC-New'!$E138:$Y138,1,M$22-ROUND(1/$C$43,0)))</f>
        <v>0</v>
      </c>
      <c r="N24" s="39">
        <f>IF(N$22&lt;=1/$C$43,0,INDEX('SC-New'!$E138:$Y138,1,N$22-ROUND(1/$C$43,0)))</f>
        <v>0</v>
      </c>
      <c r="O24" s="39">
        <f>IF(O$22&lt;=1/$C$43,0,INDEX('SC-New'!$E138:$Y138,1,O$22-ROUND(1/$C$43,0)))</f>
        <v>0</v>
      </c>
      <c r="P24" s="39">
        <f>IF(P$22&lt;=1/$C$43,0,INDEX('SC-New'!$E138:$Y138,1,P$22-ROUND(1/$C$43,0)))</f>
        <v>0</v>
      </c>
      <c r="Q24" s="39">
        <f>IF(Q$22&lt;=1/$C$43,0,INDEX('SC-New'!$E138:$Y138,1,Q$22-ROUND(1/$C$43,0)))</f>
        <v>0</v>
      </c>
      <c r="R24" s="39">
        <f>IF(R$22&lt;=1/$C$43,0,INDEX('SC-New'!$E138:$Y138,1,R$22-ROUND(1/$C$43,0)))</f>
        <v>0</v>
      </c>
      <c r="S24" s="39">
        <f>IF(S$22&lt;=1/$C$43,0,INDEX('SC-New'!$E138:$Y138,1,S$22-ROUND(1/$C$43,0)))</f>
        <v>0</v>
      </c>
      <c r="T24" s="39" t="e">
        <f ca="1">IF(T$22&lt;=1/$C$43,0,INDEX('SC-New'!$E138:$Y138,1,T$22-ROUND(1/$C$43,0)))</f>
        <v>#DIV/0!</v>
      </c>
      <c r="U24" s="39" t="e">
        <f ca="1">IF(U$22&lt;=1/$C$43,0,INDEX('SC-New'!$E138:$Y138,1,U$22-ROUND(1/$C$43,0)))</f>
        <v>#DIV/0!</v>
      </c>
      <c r="V24" s="39" t="e">
        <f ca="1">IF(V$22&lt;=1/$C$43,0,INDEX('SC-New'!$E138:$Y138,1,V$22-ROUND(1/$C$43,0)))</f>
        <v>#DIV/0!</v>
      </c>
      <c r="W24" s="39" t="e">
        <f ca="1">IF(W$22&lt;=1/$C$43,0,INDEX('SC-New'!$E138:$Y138,1,W$22-ROUND(1/$C$43,0)))</f>
        <v>#DIV/0!</v>
      </c>
      <c r="X24" s="39" t="e">
        <f ca="1">IF(X$22&lt;=1/$C$43,0,INDEX('SC-New'!$E138:$Y138,1,X$22-ROUND(1/$C$43,0)))</f>
        <v>#DIV/0!</v>
      </c>
      <c r="Y24" s="39"/>
      <c r="Z24" s="39"/>
      <c r="AA24" s="39"/>
      <c r="AB24" s="39"/>
      <c r="AC24" s="39"/>
      <c r="AD24" s="39"/>
      <c r="AE24" s="39"/>
    </row>
    <row r="25" spans="1:31">
      <c r="D25" s="9" t="str">
        <f>D15</f>
        <v>Multifamily - High Rise</v>
      </c>
      <c r="E25" s="39">
        <f>IF(E$22&lt;=1/$C$43,0,INDEX('SC-New'!$E139:$Y139,1,E$22-ROUND(1/$C$43,0)))</f>
        <v>0</v>
      </c>
      <c r="F25" s="39">
        <f>IF(F$22&lt;=1/$C$43,0,INDEX('SC-New'!$E139:$Y139,1,F$22-ROUND(1/$C$43,0)))</f>
        <v>0</v>
      </c>
      <c r="G25" s="39">
        <f>IF(G$22&lt;=1/$C$43,0,INDEX('SC-New'!$E139:$Y139,1,G$22-ROUND(1/$C$43,0)))</f>
        <v>0</v>
      </c>
      <c r="H25" s="39">
        <f>IF(H$22&lt;=1/$C$43,0,INDEX('SC-New'!$E139:$Y139,1,H$22-ROUND(1/$C$43,0)))</f>
        <v>0</v>
      </c>
      <c r="I25" s="39">
        <f>IF(I$22&lt;=1/$C$43,0,INDEX('SC-New'!$E139:$Y139,1,I$22-ROUND(1/$C$43,0)))</f>
        <v>0</v>
      </c>
      <c r="J25" s="39">
        <f>IF(J$22&lt;=1/$C$43,0,INDEX('SC-New'!$E139:$Y139,1,J$22-ROUND(1/$C$43,0)))</f>
        <v>0</v>
      </c>
      <c r="K25" s="39">
        <f>IF(K$22&lt;=1/$C$43,0,INDEX('SC-New'!$E139:$Y139,1,K$22-ROUND(1/$C$43,0)))</f>
        <v>0</v>
      </c>
      <c r="L25" s="39">
        <f>IF(L$22&lt;=1/$C$43,0,INDEX('SC-New'!$E139:$Y139,1,L$22-ROUND(1/$C$43,0)))</f>
        <v>0</v>
      </c>
      <c r="M25" s="39">
        <f>IF(M$22&lt;=1/$C$43,0,INDEX('SC-New'!$E139:$Y139,1,M$22-ROUND(1/$C$43,0)))</f>
        <v>0</v>
      </c>
      <c r="N25" s="39">
        <f>IF(N$22&lt;=1/$C$43,0,INDEX('SC-New'!$E139:$Y139,1,N$22-ROUND(1/$C$43,0)))</f>
        <v>0</v>
      </c>
      <c r="O25" s="39">
        <f>IF(O$22&lt;=1/$C$43,0,INDEX('SC-New'!$E139:$Y139,1,O$22-ROUND(1/$C$43,0)))</f>
        <v>0</v>
      </c>
      <c r="P25" s="39">
        <f>IF(P$22&lt;=1/$C$43,0,INDEX('SC-New'!$E139:$Y139,1,P$22-ROUND(1/$C$43,0)))</f>
        <v>0</v>
      </c>
      <c r="Q25" s="39">
        <f>IF(Q$22&lt;=1/$C$43,0,INDEX('SC-New'!$E139:$Y139,1,Q$22-ROUND(1/$C$43,0)))</f>
        <v>0</v>
      </c>
      <c r="R25" s="39">
        <f>IF(R$22&lt;=1/$C$43,0,INDEX('SC-New'!$E139:$Y139,1,R$22-ROUND(1/$C$43,0)))</f>
        <v>0</v>
      </c>
      <c r="S25" s="39">
        <f>IF(S$22&lt;=1/$C$43,0,INDEX('SC-New'!$E139:$Y139,1,S$22-ROUND(1/$C$43,0)))</f>
        <v>0</v>
      </c>
      <c r="T25" s="39" t="e">
        <f ca="1">IF(T$22&lt;=1/$C$43,0,INDEX('SC-New'!$E139:$Y139,1,T$22-ROUND(1/$C$43,0)))</f>
        <v>#DIV/0!</v>
      </c>
      <c r="U25" s="39" t="e">
        <f ca="1">IF(U$22&lt;=1/$C$43,0,INDEX('SC-New'!$E139:$Y139,1,U$22-ROUND(1/$C$43,0)))</f>
        <v>#DIV/0!</v>
      </c>
      <c r="V25" s="39" t="e">
        <f ca="1">IF(V$22&lt;=1/$C$43,0,INDEX('SC-New'!$E139:$Y139,1,V$22-ROUND(1/$C$43,0)))</f>
        <v>#DIV/0!</v>
      </c>
      <c r="W25" s="39" t="e">
        <f ca="1">IF(W$22&lt;=1/$C$43,0,INDEX('SC-New'!$E139:$Y139,1,W$22-ROUND(1/$C$43,0)))</f>
        <v>#DIV/0!</v>
      </c>
      <c r="X25" s="39" t="e">
        <f ca="1">IF(X$22&lt;=1/$C$43,0,INDEX('SC-New'!$E139:$Y139,1,X$22-ROUND(1/$C$43,0)))</f>
        <v>#DIV/0!</v>
      </c>
      <c r="Y25" s="39"/>
      <c r="Z25" s="39"/>
      <c r="AA25" s="39"/>
      <c r="AB25" s="39"/>
      <c r="AC25" s="39"/>
      <c r="AD25" s="39"/>
      <c r="AE25" s="39"/>
    </row>
    <row r="26" spans="1:31">
      <c r="D26" s="9" t="str">
        <f>D16</f>
        <v>Manufactured</v>
      </c>
      <c r="E26" s="39">
        <f>IF(E$22&lt;=1/$C$43,0,INDEX('SC-New'!$E140:$Y140,1,E$22-ROUND(1/$C$43,0)))</f>
        <v>0</v>
      </c>
      <c r="F26" s="39">
        <f>IF(F$22&lt;=1/$C$43,0,INDEX('SC-New'!$E140:$Y140,1,F$22-ROUND(1/$C$43,0)))</f>
        <v>0</v>
      </c>
      <c r="G26" s="39">
        <f>IF(G$22&lt;=1/$C$43,0,INDEX('SC-New'!$E140:$Y140,1,G$22-ROUND(1/$C$43,0)))</f>
        <v>0</v>
      </c>
      <c r="H26" s="39">
        <f>IF(H$22&lt;=1/$C$43,0,INDEX('SC-New'!$E140:$Y140,1,H$22-ROUND(1/$C$43,0)))</f>
        <v>0</v>
      </c>
      <c r="I26" s="39">
        <f>IF(I$22&lt;=1/$C$43,0,INDEX('SC-New'!$E140:$Y140,1,I$22-ROUND(1/$C$43,0)))</f>
        <v>0</v>
      </c>
      <c r="J26" s="39">
        <f>IF(J$22&lt;=1/$C$43,0,INDEX('SC-New'!$E140:$Y140,1,J$22-ROUND(1/$C$43,0)))</f>
        <v>0</v>
      </c>
      <c r="K26" s="39">
        <f>IF(K$22&lt;=1/$C$43,0,INDEX('SC-New'!$E140:$Y140,1,K$22-ROUND(1/$C$43,0)))</f>
        <v>0</v>
      </c>
      <c r="L26" s="39">
        <f>IF(L$22&lt;=1/$C$43,0,INDEX('SC-New'!$E140:$Y140,1,L$22-ROUND(1/$C$43,0)))</f>
        <v>0</v>
      </c>
      <c r="M26" s="39">
        <f>IF(M$22&lt;=1/$C$43,0,INDEX('SC-New'!$E140:$Y140,1,M$22-ROUND(1/$C$43,0)))</f>
        <v>0</v>
      </c>
      <c r="N26" s="39">
        <f>IF(N$22&lt;=1/$C$43,0,INDEX('SC-New'!$E140:$Y140,1,N$22-ROUND(1/$C$43,0)))</f>
        <v>0</v>
      </c>
      <c r="O26" s="39">
        <f>IF(O$22&lt;=1/$C$43,0,INDEX('SC-New'!$E140:$Y140,1,O$22-ROUND(1/$C$43,0)))</f>
        <v>0</v>
      </c>
      <c r="P26" s="39">
        <f>IF(P$22&lt;=1/$C$43,0,INDEX('SC-New'!$E140:$Y140,1,P$22-ROUND(1/$C$43,0)))</f>
        <v>0</v>
      </c>
      <c r="Q26" s="39">
        <f>IF(Q$22&lt;=1/$C$43,0,INDEX('SC-New'!$E140:$Y140,1,Q$22-ROUND(1/$C$43,0)))</f>
        <v>0</v>
      </c>
      <c r="R26" s="39">
        <f>IF(R$22&lt;=1/$C$43,0,INDEX('SC-New'!$E140:$Y140,1,R$22-ROUND(1/$C$43,0)))</f>
        <v>0</v>
      </c>
      <c r="S26" s="39">
        <f>IF(S$22&lt;=1/$C$43,0,INDEX('SC-New'!$E140:$Y140,1,S$22-ROUND(1/$C$43,0)))</f>
        <v>0</v>
      </c>
      <c r="T26" s="39" t="e">
        <f ca="1">IF(T$22&lt;=1/$C$43,0,INDEX('SC-New'!$E140:$Y140,1,T$22-ROUND(1/$C$43,0)))</f>
        <v>#DIV/0!</v>
      </c>
      <c r="U26" s="39" t="e">
        <f ca="1">IF(U$22&lt;=1/$C$43,0,INDEX('SC-New'!$E140:$Y140,1,U$22-ROUND(1/$C$43,0)))</f>
        <v>#DIV/0!</v>
      </c>
      <c r="V26" s="39" t="e">
        <f ca="1">IF(V$22&lt;=1/$C$43,0,INDEX('SC-New'!$E140:$Y140,1,V$22-ROUND(1/$C$43,0)))</f>
        <v>#DIV/0!</v>
      </c>
      <c r="W26" s="39" t="e">
        <f ca="1">IF(W$22&lt;=1/$C$43,0,INDEX('SC-New'!$E140:$Y140,1,W$22-ROUND(1/$C$43,0)))</f>
        <v>#DIV/0!</v>
      </c>
      <c r="X26" s="39" t="e">
        <f ca="1">IF(X$22&lt;=1/$C$43,0,INDEX('SC-New'!$E140:$Y140,1,X$22-ROUND(1/$C$43,0)))</f>
        <v>#DIV/0!</v>
      </c>
      <c r="Y26" s="39"/>
      <c r="Z26" s="39"/>
      <c r="AA26" s="39"/>
      <c r="AB26" s="39"/>
      <c r="AC26" s="39"/>
      <c r="AD26" s="39"/>
      <c r="AE26" s="39"/>
    </row>
    <row r="27" spans="1:31">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row>
    <row r="28" spans="1:31">
      <c r="D28" s="9" t="s">
        <v>983</v>
      </c>
      <c r="E28" s="39">
        <f t="shared" ref="E28:X28" si="2">SUM(E23:E26)</f>
        <v>0</v>
      </c>
      <c r="F28" s="39">
        <f t="shared" si="2"/>
        <v>0</v>
      </c>
      <c r="G28" s="39">
        <f t="shared" si="2"/>
        <v>0</v>
      </c>
      <c r="H28" s="39">
        <f t="shared" si="2"/>
        <v>0</v>
      </c>
      <c r="I28" s="39">
        <f t="shared" si="2"/>
        <v>0</v>
      </c>
      <c r="J28" s="39">
        <f t="shared" si="2"/>
        <v>0</v>
      </c>
      <c r="K28" s="39">
        <f t="shared" si="2"/>
        <v>0</v>
      </c>
      <c r="L28" s="39">
        <f t="shared" si="2"/>
        <v>0</v>
      </c>
      <c r="M28" s="39">
        <f t="shared" si="2"/>
        <v>0</v>
      </c>
      <c r="N28" s="39">
        <f t="shared" si="2"/>
        <v>0</v>
      </c>
      <c r="O28" s="39">
        <f t="shared" si="2"/>
        <v>0</v>
      </c>
      <c r="P28" s="39">
        <f t="shared" si="2"/>
        <v>0</v>
      </c>
      <c r="Q28" s="39">
        <f t="shared" si="2"/>
        <v>0</v>
      </c>
      <c r="R28" s="39">
        <f t="shared" si="2"/>
        <v>0</v>
      </c>
      <c r="S28" s="39">
        <f t="shared" si="2"/>
        <v>0</v>
      </c>
      <c r="T28" s="39" t="e">
        <f t="shared" ca="1" si="2"/>
        <v>#DIV/0!</v>
      </c>
      <c r="U28" s="39" t="e">
        <f t="shared" ca="1" si="2"/>
        <v>#DIV/0!</v>
      </c>
      <c r="V28" s="39" t="e">
        <f t="shared" ca="1" si="2"/>
        <v>#DIV/0!</v>
      </c>
      <c r="W28" s="39" t="e">
        <f t="shared" ca="1" si="2"/>
        <v>#DIV/0!</v>
      </c>
      <c r="X28" s="39" t="e">
        <f t="shared" ca="1" si="2"/>
        <v>#DIV/0!</v>
      </c>
      <c r="Y28" s="39"/>
      <c r="Z28" s="39"/>
      <c r="AA28" s="39"/>
      <c r="AB28" s="39"/>
      <c r="AC28" s="39"/>
      <c r="AD28" s="39"/>
      <c r="AE28" s="39"/>
    </row>
    <row r="29" spans="1:31">
      <c r="E29" s="39"/>
      <c r="F29" s="39"/>
      <c r="G29" s="39"/>
      <c r="H29" s="39"/>
      <c r="I29" s="39"/>
      <c r="J29" s="39"/>
      <c r="K29" s="39"/>
      <c r="L29" s="39"/>
      <c r="M29" s="39"/>
      <c r="N29" s="39"/>
      <c r="O29" s="39"/>
      <c r="P29" s="39"/>
      <c r="Q29" s="39"/>
      <c r="R29" s="39"/>
      <c r="S29" s="39"/>
      <c r="T29" s="39"/>
      <c r="U29" s="39"/>
      <c r="V29" s="39"/>
      <c r="W29" s="39"/>
      <c r="X29" s="39"/>
      <c r="Y29" s="39"/>
    </row>
    <row r="30" spans="1:31">
      <c r="E30" s="39"/>
      <c r="F30" s="39"/>
      <c r="G30" s="39"/>
      <c r="H30" s="39"/>
      <c r="I30" s="39"/>
      <c r="J30" s="39"/>
      <c r="K30" s="39"/>
      <c r="L30" s="39"/>
      <c r="M30" s="39"/>
      <c r="N30" s="39"/>
      <c r="O30" s="39"/>
      <c r="P30" s="39"/>
      <c r="Q30" s="39"/>
      <c r="R30" s="39"/>
      <c r="S30" s="39"/>
      <c r="T30" s="39"/>
      <c r="U30" s="39"/>
      <c r="V30" s="39"/>
      <c r="W30" s="39"/>
      <c r="X30" s="39"/>
      <c r="Y30" s="39"/>
    </row>
    <row r="31" spans="1:31" ht="15">
      <c r="A31" s="55" t="s">
        <v>984</v>
      </c>
      <c r="E31" s="39"/>
      <c r="F31" s="39"/>
      <c r="G31" s="39"/>
      <c r="H31" s="39"/>
      <c r="I31" s="39"/>
      <c r="J31" s="39"/>
      <c r="K31" s="39"/>
      <c r="L31" s="39"/>
      <c r="M31" s="39"/>
      <c r="N31" s="39"/>
      <c r="O31" s="39"/>
      <c r="P31" s="39"/>
      <c r="Q31" s="39"/>
      <c r="R31" s="39"/>
      <c r="S31" s="39"/>
      <c r="T31" s="39"/>
      <c r="U31" s="39"/>
      <c r="V31" s="39"/>
      <c r="W31" s="39"/>
      <c r="X31" s="39"/>
      <c r="Y31" s="39"/>
      <c r="Z31" s="259">
        <v>0.85</v>
      </c>
    </row>
    <row r="32" spans="1:31">
      <c r="E32" s="39">
        <v>2</v>
      </c>
      <c r="F32" s="39">
        <v>3</v>
      </c>
      <c r="G32" s="39">
        <v>4</v>
      </c>
      <c r="H32" s="39">
        <v>5</v>
      </c>
      <c r="I32" s="39">
        <v>6</v>
      </c>
      <c r="J32" s="39">
        <v>7</v>
      </c>
      <c r="K32" s="39">
        <v>8</v>
      </c>
      <c r="L32" s="39">
        <v>9</v>
      </c>
      <c r="M32" s="39">
        <v>10</v>
      </c>
      <c r="N32" s="39">
        <v>11</v>
      </c>
      <c r="O32" s="39">
        <v>12</v>
      </c>
      <c r="P32" s="39">
        <v>13</v>
      </c>
      <c r="Q32" s="39">
        <v>14</v>
      </c>
      <c r="R32" s="39">
        <v>15</v>
      </c>
      <c r="S32" s="39">
        <v>16</v>
      </c>
      <c r="T32" s="39">
        <v>17</v>
      </c>
      <c r="U32" s="39">
        <v>18</v>
      </c>
      <c r="V32" s="39">
        <v>19</v>
      </c>
      <c r="W32" s="39">
        <v>20</v>
      </c>
      <c r="X32" s="39">
        <v>21</v>
      </c>
      <c r="Y32" s="39">
        <v>22</v>
      </c>
      <c r="Z32" s="260" t="s">
        <v>59</v>
      </c>
    </row>
    <row r="33" spans="1:29">
      <c r="D33" s="9" t="str">
        <f>D13</f>
        <v>Single Family</v>
      </c>
      <c r="E33" s="39">
        <f ca="1">SUM(E13,E23)</f>
        <v>4203528.2719999999</v>
      </c>
      <c r="F33" s="39">
        <f t="shared" ref="F33:X36" ca="1" si="3">SUM(F13,F23)</f>
        <v>4193982.9785983553</v>
      </c>
      <c r="G33" s="39">
        <f t="shared" ca="1" si="3"/>
        <v>4184459.3604704877</v>
      </c>
      <c r="H33" s="39">
        <f t="shared" ca="1" si="3"/>
        <v>4174957.36839659</v>
      </c>
      <c r="I33" s="39">
        <f t="shared" ca="1" si="3"/>
        <v>4165476.9532686244</v>
      </c>
      <c r="J33" s="39">
        <f t="shared" ca="1" si="3"/>
        <v>4156018.0660900641</v>
      </c>
      <c r="K33" s="39">
        <f t="shared" ca="1" si="3"/>
        <v>4146580.6579756448</v>
      </c>
      <c r="L33" s="39">
        <f t="shared" ca="1" si="3"/>
        <v>4137164.6801511091</v>
      </c>
      <c r="M33" s="39">
        <f t="shared" ca="1" si="3"/>
        <v>4127770.0839529554</v>
      </c>
      <c r="N33" s="39">
        <f t="shared" ca="1" si="3"/>
        <v>4118396.8208281873</v>
      </c>
      <c r="O33" s="39">
        <f t="shared" ca="1" si="3"/>
        <v>4109044.8423340586</v>
      </c>
      <c r="P33" s="39">
        <f t="shared" ca="1" si="3"/>
        <v>4099714.1001378288</v>
      </c>
      <c r="Q33" s="39">
        <f t="shared" ca="1" si="3"/>
        <v>4090404.5460165106</v>
      </c>
      <c r="R33" s="39">
        <f t="shared" ca="1" si="3"/>
        <v>4081116.1318566194</v>
      </c>
      <c r="S33" s="39">
        <f ca="1">SUM(S13,S23)</f>
        <v>4071848.8096539262</v>
      </c>
      <c r="T33" s="39">
        <f t="shared" ca="1" si="3"/>
        <v>4125271.2309823353</v>
      </c>
      <c r="U33" s="39">
        <f t="shared" ca="1" si="3"/>
        <v>4113290.0933838417</v>
      </c>
      <c r="V33" s="39">
        <f t="shared" ca="1" si="3"/>
        <v>4100905.6483086967</v>
      </c>
      <c r="W33" s="39">
        <f t="shared" ca="1" si="3"/>
        <v>4089790.3014394911</v>
      </c>
      <c r="X33" s="39">
        <f t="shared" ca="1" si="3"/>
        <v>4079027.3545050216</v>
      </c>
      <c r="Y33" s="39"/>
      <c r="Z33" s="261">
        <f ca="1">X33*$Z$31*A43*B43</f>
        <v>94451.991512596782</v>
      </c>
    </row>
    <row r="34" spans="1:29">
      <c r="D34" s="9" t="str">
        <f>D14</f>
        <v>Multifamily - Low Rise</v>
      </c>
      <c r="E34" s="39">
        <f ca="1">SUM(E14,E24)</f>
        <v>926243.25609262148</v>
      </c>
      <c r="F34" s="39">
        <f t="shared" ca="1" si="3"/>
        <v>924139.92640956037</v>
      </c>
      <c r="G34" s="39">
        <f t="shared" ca="1" si="3"/>
        <v>922041.3730050053</v>
      </c>
      <c r="H34" s="39">
        <f t="shared" ca="1" si="3"/>
        <v>919947.58503289847</v>
      </c>
      <c r="I34" s="39">
        <f t="shared" ca="1" si="3"/>
        <v>917858.55167181045</v>
      </c>
      <c r="J34" s="39">
        <f t="shared" ca="1" si="3"/>
        <v>915774.26212488639</v>
      </c>
      <c r="K34" s="39">
        <f t="shared" ca="1" si="3"/>
        <v>913694.70561978838</v>
      </c>
      <c r="L34" s="39">
        <f t="shared" ca="1" si="3"/>
        <v>911619.87140864041</v>
      </c>
      <c r="M34" s="39">
        <f t="shared" ca="1" si="3"/>
        <v>909549.74876797362</v>
      </c>
      <c r="N34" s="39">
        <f t="shared" ca="1" si="3"/>
        <v>907484.32699866977</v>
      </c>
      <c r="O34" s="39">
        <f t="shared" ca="1" si="3"/>
        <v>905423.59542590659</v>
      </c>
      <c r="P34" s="39">
        <f t="shared" ca="1" si="3"/>
        <v>903367.54339910217</v>
      </c>
      <c r="Q34" s="39">
        <f t="shared" ca="1" si="3"/>
        <v>901316.16029185988</v>
      </c>
      <c r="R34" s="39">
        <f t="shared" ca="1" si="3"/>
        <v>899269.43550191447</v>
      </c>
      <c r="S34" s="39">
        <f t="shared" ca="1" si="3"/>
        <v>897227.35845107585</v>
      </c>
      <c r="T34" s="39" t="e">
        <f t="shared" ca="1" si="3"/>
        <v>#DIV/0!</v>
      </c>
      <c r="U34" s="39" t="e">
        <f t="shared" ca="1" si="3"/>
        <v>#DIV/0!</v>
      </c>
      <c r="V34" s="39" t="e">
        <f t="shared" ca="1" si="3"/>
        <v>#DIV/0!</v>
      </c>
      <c r="W34" s="39" t="e">
        <f t="shared" ca="1" si="3"/>
        <v>#DIV/0!</v>
      </c>
      <c r="X34" s="39" t="e">
        <f t="shared" ca="1" si="3"/>
        <v>#DIV/0!</v>
      </c>
      <c r="Y34" s="39"/>
      <c r="Z34" s="261" t="e">
        <f t="shared" ref="Z34:Z36" ca="1" si="4">X34*$Z$31*A44*B44</f>
        <v>#DIV/0!</v>
      </c>
    </row>
    <row r="35" spans="1:29">
      <c r="D35" s="9" t="str">
        <f>D15</f>
        <v>Multifamily - High Rise</v>
      </c>
      <c r="E35" s="39">
        <f ca="1">SUM(E15,E25)</f>
        <v>211180.07985625503</v>
      </c>
      <c r="F35" s="39">
        <f t="shared" ca="1" si="3"/>
        <v>210700.52836963299</v>
      </c>
      <c r="G35" s="39">
        <f t="shared" ca="1" si="3"/>
        <v>210222.06585706791</v>
      </c>
      <c r="H35" s="39">
        <f t="shared" ca="1" si="3"/>
        <v>209744.68984569819</v>
      </c>
      <c r="I35" s="39">
        <f t="shared" ca="1" si="3"/>
        <v>209268.39786827751</v>
      </c>
      <c r="J35" s="39">
        <f t="shared" ca="1" si="3"/>
        <v>208793.18746316229</v>
      </c>
      <c r="K35" s="39">
        <f t="shared" ca="1" si="3"/>
        <v>208319.05617429892</v>
      </c>
      <c r="L35" s="39">
        <f t="shared" ca="1" si="3"/>
        <v>207846.00155121088</v>
      </c>
      <c r="M35" s="39">
        <f t="shared" ca="1" si="3"/>
        <v>207374.0211489865</v>
      </c>
      <c r="N35" s="39">
        <f t="shared" ca="1" si="3"/>
        <v>206903.11252826577</v>
      </c>
      <c r="O35" s="39">
        <f t="shared" ca="1" si="3"/>
        <v>206433.27325522827</v>
      </c>
      <c r="P35" s="39">
        <f t="shared" ca="1" si="3"/>
        <v>205964.50090158021</v>
      </c>
      <c r="Q35" s="39">
        <f t="shared" ca="1" si="3"/>
        <v>205496.79304454199</v>
      </c>
      <c r="R35" s="39">
        <f t="shared" ca="1" si="3"/>
        <v>205030.14726683579</v>
      </c>
      <c r="S35" s="39">
        <f t="shared" ca="1" si="3"/>
        <v>204564.56115667295</v>
      </c>
      <c r="T35" s="39" t="e">
        <f t="shared" ca="1" si="3"/>
        <v>#DIV/0!</v>
      </c>
      <c r="U35" s="39" t="e">
        <f t="shared" ca="1" si="3"/>
        <v>#DIV/0!</v>
      </c>
      <c r="V35" s="39" t="e">
        <f t="shared" ca="1" si="3"/>
        <v>#DIV/0!</v>
      </c>
      <c r="W35" s="39" t="e">
        <f t="shared" ca="1" si="3"/>
        <v>#DIV/0!</v>
      </c>
      <c r="X35" s="39" t="e">
        <f t="shared" ca="1" si="3"/>
        <v>#DIV/0!</v>
      </c>
      <c r="Y35" s="39"/>
      <c r="Z35" s="261" t="e">
        <f t="shared" ca="1" si="4"/>
        <v>#DIV/0!</v>
      </c>
    </row>
    <row r="36" spans="1:29">
      <c r="D36" s="9" t="str">
        <f>D16</f>
        <v>Manufactured</v>
      </c>
      <c r="E36" s="39">
        <f ca="1">SUM(E16,E26)</f>
        <v>572006.3278356482</v>
      </c>
      <c r="F36" s="39">
        <f t="shared" ca="1" si="3"/>
        <v>565893.30394507048</v>
      </c>
      <c r="G36" s="39">
        <f t="shared" ca="1" si="3"/>
        <v>559845.60985814757</v>
      </c>
      <c r="H36" s="39">
        <f t="shared" ca="1" si="3"/>
        <v>553862.54739615123</v>
      </c>
      <c r="I36" s="39">
        <f t="shared" ca="1" si="3"/>
        <v>547943.42584177968</v>
      </c>
      <c r="J36" s="39">
        <f t="shared" ca="1" si="3"/>
        <v>542087.56185941794</v>
      </c>
      <c r="K36" s="39">
        <f t="shared" ca="1" si="3"/>
        <v>536294.27941624937</v>
      </c>
      <c r="L36" s="39">
        <f t="shared" ca="1" si="3"/>
        <v>530562.90970421082</v>
      </c>
      <c r="M36" s="39">
        <f t="shared" ca="1" si="3"/>
        <v>524892.79106278194</v>
      </c>
      <c r="N36" s="39">
        <f t="shared" ca="1" si="3"/>
        <v>519283.26890259917</v>
      </c>
      <c r="O36" s="39">
        <f t="shared" ca="1" si="3"/>
        <v>513733.69562988722</v>
      </c>
      <c r="P36" s="39">
        <f t="shared" ca="1" si="3"/>
        <v>508243.4305716962</v>
      </c>
      <c r="Q36" s="39">
        <f t="shared" ca="1" si="3"/>
        <v>502811.8399019395</v>
      </c>
      <c r="R36" s="39">
        <f t="shared" ca="1" si="3"/>
        <v>497438.2965682213</v>
      </c>
      <c r="S36" s="39">
        <f t="shared" ca="1" si="3"/>
        <v>492122.18021944637</v>
      </c>
      <c r="T36" s="39" t="e">
        <f t="shared" ca="1" si="3"/>
        <v>#DIV/0!</v>
      </c>
      <c r="U36" s="39" t="e">
        <f t="shared" ca="1" si="3"/>
        <v>#DIV/0!</v>
      </c>
      <c r="V36" s="39" t="e">
        <f t="shared" ca="1" si="3"/>
        <v>#DIV/0!</v>
      </c>
      <c r="W36" s="39" t="e">
        <f t="shared" ca="1" si="3"/>
        <v>#DIV/0!</v>
      </c>
      <c r="X36" s="39" t="e">
        <f t="shared" ca="1" si="3"/>
        <v>#DIV/0!</v>
      </c>
      <c r="Y36" s="39"/>
      <c r="Z36" s="261" t="e">
        <f t="shared" ca="1" si="4"/>
        <v>#DIV/0!</v>
      </c>
    </row>
    <row r="37" spans="1:29">
      <c r="E37" s="39"/>
      <c r="F37" s="39"/>
      <c r="G37" s="39"/>
      <c r="H37" s="39"/>
      <c r="I37" s="39"/>
      <c r="J37" s="39"/>
      <c r="K37" s="39"/>
      <c r="L37" s="39"/>
      <c r="M37" s="39"/>
      <c r="N37" s="39"/>
      <c r="O37" s="39"/>
      <c r="P37" s="39"/>
      <c r="Q37" s="39"/>
      <c r="R37" s="39"/>
      <c r="S37" s="39"/>
      <c r="T37" s="39"/>
      <c r="U37" s="39"/>
      <c r="V37" s="39"/>
      <c r="W37" s="39"/>
      <c r="X37" s="39"/>
      <c r="Y37" s="39"/>
    </row>
    <row r="38" spans="1:29">
      <c r="E38" s="39">
        <f t="shared" ref="E38:Z38" ca="1" si="5">SUM(E33:E36)</f>
        <v>5912957.9357845243</v>
      </c>
      <c r="F38" s="39">
        <f t="shared" ca="1" si="5"/>
        <v>5894716.7373226183</v>
      </c>
      <c r="G38" s="39">
        <f t="shared" ca="1" si="5"/>
        <v>5876568.4091907088</v>
      </c>
      <c r="H38" s="39">
        <f t="shared" ca="1" si="5"/>
        <v>5858512.1906713378</v>
      </c>
      <c r="I38" s="39">
        <f t="shared" ca="1" si="5"/>
        <v>5840547.3286504922</v>
      </c>
      <c r="J38" s="39">
        <f t="shared" ca="1" si="5"/>
        <v>5822673.077537531</v>
      </c>
      <c r="K38" s="39">
        <f t="shared" ca="1" si="5"/>
        <v>5804888.6991859814</v>
      </c>
      <c r="L38" s="39">
        <f t="shared" ca="1" si="5"/>
        <v>5787193.462815172</v>
      </c>
      <c r="M38" s="39">
        <f t="shared" ca="1" si="5"/>
        <v>5769586.6449326966</v>
      </c>
      <c r="N38" s="39">
        <f t="shared" ca="1" si="5"/>
        <v>5752067.5292577213</v>
      </c>
      <c r="O38" s="39">
        <f t="shared" ca="1" si="5"/>
        <v>5734635.406645081</v>
      </c>
      <c r="P38" s="39">
        <f t="shared" ca="1" si="5"/>
        <v>5717289.5750102066</v>
      </c>
      <c r="Q38" s="39">
        <f t="shared" ca="1" si="5"/>
        <v>5700029.3392548524</v>
      </c>
      <c r="R38" s="39">
        <f t="shared" ca="1" si="5"/>
        <v>5682854.0111935912</v>
      </c>
      <c r="S38" s="39">
        <f t="shared" ca="1" si="5"/>
        <v>5665762.9094811222</v>
      </c>
      <c r="T38" s="39" t="e">
        <f t="shared" ca="1" si="5"/>
        <v>#DIV/0!</v>
      </c>
      <c r="U38" s="39" t="e">
        <f t="shared" ca="1" si="5"/>
        <v>#DIV/0!</v>
      </c>
      <c r="V38" s="39" t="e">
        <f t="shared" ca="1" si="5"/>
        <v>#DIV/0!</v>
      </c>
      <c r="W38" s="39" t="e">
        <f t="shared" ca="1" si="5"/>
        <v>#DIV/0!</v>
      </c>
      <c r="X38" s="39" t="e">
        <f t="shared" ca="1" si="5"/>
        <v>#DIV/0!</v>
      </c>
      <c r="Y38" s="39"/>
      <c r="Z38" s="39" t="e">
        <f t="shared" ca="1" si="5"/>
        <v>#DIV/0!</v>
      </c>
    </row>
    <row r="39" spans="1:29">
      <c r="E39" s="39"/>
      <c r="F39" s="39"/>
      <c r="G39" s="39"/>
      <c r="H39" s="39"/>
      <c r="I39" s="39"/>
      <c r="J39" s="39"/>
      <c r="K39" s="39"/>
      <c r="L39" s="39"/>
      <c r="M39" s="39"/>
      <c r="N39" s="39"/>
      <c r="O39" s="39"/>
      <c r="P39" s="39"/>
      <c r="Q39" s="39"/>
      <c r="R39" s="39"/>
      <c r="S39" s="39"/>
      <c r="T39" s="39"/>
      <c r="U39" s="39"/>
      <c r="V39" s="39"/>
      <c r="W39" s="39"/>
      <c r="X39" s="39"/>
      <c r="Y39" s="39"/>
    </row>
    <row r="40" spans="1:29">
      <c r="E40" s="39"/>
      <c r="F40" s="39"/>
      <c r="G40" s="39"/>
      <c r="H40" s="39"/>
      <c r="I40" s="39"/>
      <c r="J40" s="39"/>
      <c r="K40" s="39"/>
      <c r="L40" s="39"/>
      <c r="M40" s="39"/>
      <c r="N40" s="39"/>
      <c r="O40" s="39"/>
      <c r="P40" s="39"/>
      <c r="Q40" s="39"/>
      <c r="R40" s="39"/>
      <c r="S40" s="39"/>
      <c r="T40" s="39"/>
      <c r="U40" s="39"/>
      <c r="V40" s="39"/>
      <c r="W40" s="39"/>
      <c r="X40" s="39"/>
      <c r="Y40" s="39"/>
    </row>
    <row r="41" spans="1:29" ht="15">
      <c r="A41" s="262" t="s">
        <v>985</v>
      </c>
      <c r="B41" s="262"/>
      <c r="E41" s="53"/>
      <c r="F41" s="53"/>
      <c r="G41" s="39"/>
      <c r="H41" s="39"/>
      <c r="I41" s="39"/>
      <c r="J41" s="39"/>
      <c r="K41" s="39"/>
      <c r="L41" s="39"/>
      <c r="M41" s="39"/>
      <c r="N41" s="39"/>
      <c r="O41" s="39"/>
      <c r="P41" s="39"/>
      <c r="Q41" s="39"/>
      <c r="R41" s="39"/>
      <c r="S41" s="39"/>
      <c r="T41" s="39"/>
      <c r="U41" s="39"/>
      <c r="V41" s="39"/>
      <c r="W41" s="39"/>
      <c r="X41" s="39"/>
      <c r="Y41" s="39"/>
    </row>
    <row r="42" spans="1:29" ht="15">
      <c r="A42" s="64" t="s">
        <v>58</v>
      </c>
      <c r="B42" s="64" t="s">
        <v>145</v>
      </c>
      <c r="C42" s="64" t="s">
        <v>986</v>
      </c>
      <c r="D42" s="64" t="str">
        <f>CONCATENATE(C8," - ",C7)</f>
        <v>GSHP - NR</v>
      </c>
      <c r="E42" s="263">
        <v>2016</v>
      </c>
      <c r="F42" s="264">
        <v>2017</v>
      </c>
      <c r="G42" s="264">
        <v>2018</v>
      </c>
      <c r="H42" s="264">
        <v>2019</v>
      </c>
      <c r="I42" s="264">
        <v>2020</v>
      </c>
      <c r="J42" s="264">
        <v>2021</v>
      </c>
      <c r="K42" s="264">
        <v>2022</v>
      </c>
      <c r="L42" s="264">
        <v>2023</v>
      </c>
      <c r="M42" s="264">
        <v>2024</v>
      </c>
      <c r="N42" s="264">
        <v>2025</v>
      </c>
      <c r="O42" s="264">
        <v>2026</v>
      </c>
      <c r="P42" s="264">
        <v>2027</v>
      </c>
      <c r="Q42" s="264">
        <v>2028</v>
      </c>
      <c r="R42" s="264">
        <v>2029</v>
      </c>
      <c r="S42" s="264">
        <v>2030</v>
      </c>
      <c r="T42" s="264">
        <v>2031</v>
      </c>
      <c r="U42" s="264">
        <v>2032</v>
      </c>
      <c r="V42" s="264">
        <v>2033</v>
      </c>
      <c r="W42" s="264">
        <v>2034</v>
      </c>
      <c r="X42" s="264">
        <v>2035</v>
      </c>
      <c r="Y42" s="265"/>
    </row>
    <row r="43" spans="1:29">
      <c r="A43" s="56">
        <f>INDEX([2]APPLIC!$B$8:$F$99,MATCH($D$42,[2]APPLIC!$B$9:$B$100,0)+1,MATCH($D43,[2]APPLIC!$C$8:$F$8,0)+1)</f>
        <v>0.12485156673907999</v>
      </c>
      <c r="B43" s="89">
        <f>[2]SATS!$C$28+[2]SATS!$C$17</f>
        <v>0.21819338472560224</v>
      </c>
      <c r="C43" s="56">
        <f>VLOOKUP($D$42,[2]TURN!$B$10:$G$77,6,FALSE)</f>
        <v>6.6666666666666666E-2</v>
      </c>
      <c r="D43" s="9" t="str">
        <f>D13</f>
        <v>Single Family</v>
      </c>
      <c r="E43" s="39">
        <f ca="1">E13*$C43*$A43*$B43</f>
        <v>7634.1078238627169</v>
      </c>
      <c r="F43" s="39">
        <f t="shared" ref="F43:X43" ca="1" si="6">F13*$C43*$A43*$B43</f>
        <v>7616.7724345603674</v>
      </c>
      <c r="G43" s="39">
        <f t="shared" ca="1" si="6"/>
        <v>7599.4764101359033</v>
      </c>
      <c r="H43" s="39">
        <f t="shared" ca="1" si="6"/>
        <v>7582.2196612002972</v>
      </c>
      <c r="I43" s="39">
        <f t="shared" ca="1" si="6"/>
        <v>7565.0020985675064</v>
      </c>
      <c r="J43" s="39">
        <f t="shared" ca="1" si="6"/>
        <v>7547.8236332540018</v>
      </c>
      <c r="K43" s="39">
        <f t="shared" ca="1" si="6"/>
        <v>7530.6841764783276</v>
      </c>
      <c r="L43" s="39">
        <f t="shared" ca="1" si="6"/>
        <v>7513.583639660621</v>
      </c>
      <c r="M43" s="39">
        <f t="shared" ca="1" si="6"/>
        <v>7496.5219344221714</v>
      </c>
      <c r="N43" s="39">
        <f t="shared" ca="1" si="6"/>
        <v>7479.4989725849555</v>
      </c>
      <c r="O43" s="39">
        <f t="shared" ca="1" si="6"/>
        <v>7462.5146661711779</v>
      </c>
      <c r="P43" s="39">
        <f t="shared" ca="1" si="6"/>
        <v>7445.5689274028273</v>
      </c>
      <c r="Q43" s="39">
        <f t="shared" ca="1" si="6"/>
        <v>7428.6616687012202</v>
      </c>
      <c r="R43" s="39">
        <f t="shared" ca="1" si="6"/>
        <v>7411.7928026865366</v>
      </c>
      <c r="S43" s="39">
        <f t="shared" ca="1" si="6"/>
        <v>7394.962242177382</v>
      </c>
      <c r="T43" s="39">
        <f t="shared" ca="1" si="6"/>
        <v>7378.1699001903289</v>
      </c>
      <c r="U43" s="39">
        <f t="shared" ca="1" si="6"/>
        <v>7361.4156899394748</v>
      </c>
      <c r="V43" s="39">
        <f t="shared" ca="1" si="6"/>
        <v>7344.6995248359854</v>
      </c>
      <c r="W43" s="39">
        <f t="shared" ca="1" si="6"/>
        <v>7328.0213184876493</v>
      </c>
      <c r="X43" s="39">
        <f t="shared" ca="1" si="6"/>
        <v>7311.3809846984368</v>
      </c>
      <c r="Y43" s="39"/>
      <c r="Z43" s="39">
        <f ca="1">A43*B43*X13*$Z$31</f>
        <v>93220.107554905073</v>
      </c>
      <c r="AC43" s="39"/>
    </row>
    <row r="44" spans="1:29">
      <c r="A44" s="56">
        <f>INDEX([2]APPLIC!$B$8:$F$99,MATCH($D$42,[2]APPLIC!$B$9:$B$100,0)+1,MATCH($D44,[2]APPLIC!$C$8:$F$8,0)+1)</f>
        <v>0</v>
      </c>
      <c r="B44" s="56"/>
      <c r="C44" s="56">
        <f>VLOOKUP($D$42,[2]TURN!$B$10:$G$77,6,FALSE)</f>
        <v>6.6666666666666666E-2</v>
      </c>
      <c r="D44" s="9" t="str">
        <f>D14</f>
        <v>Multifamily - Low Rise</v>
      </c>
      <c r="E44" s="39">
        <f t="shared" ref="E44:X44" ca="1" si="7">E14*$C44*$A44*$B44</f>
        <v>0</v>
      </c>
      <c r="F44" s="39">
        <f t="shared" ca="1" si="7"/>
        <v>0</v>
      </c>
      <c r="G44" s="39">
        <f t="shared" ca="1" si="7"/>
        <v>0</v>
      </c>
      <c r="H44" s="39">
        <f t="shared" ca="1" si="7"/>
        <v>0</v>
      </c>
      <c r="I44" s="39">
        <f t="shared" ca="1" si="7"/>
        <v>0</v>
      </c>
      <c r="J44" s="39">
        <f t="shared" ca="1" si="7"/>
        <v>0</v>
      </c>
      <c r="K44" s="39">
        <f t="shared" ca="1" si="7"/>
        <v>0</v>
      </c>
      <c r="L44" s="39">
        <f t="shared" ca="1" si="7"/>
        <v>0</v>
      </c>
      <c r="M44" s="39">
        <f t="shared" ca="1" si="7"/>
        <v>0</v>
      </c>
      <c r="N44" s="39">
        <f t="shared" ca="1" si="7"/>
        <v>0</v>
      </c>
      <c r="O44" s="39">
        <f t="shared" ca="1" si="7"/>
        <v>0</v>
      </c>
      <c r="P44" s="39">
        <f t="shared" ca="1" si="7"/>
        <v>0</v>
      </c>
      <c r="Q44" s="39">
        <f t="shared" ca="1" si="7"/>
        <v>0</v>
      </c>
      <c r="R44" s="39">
        <f t="shared" ca="1" si="7"/>
        <v>0</v>
      </c>
      <c r="S44" s="39">
        <f t="shared" ca="1" si="7"/>
        <v>0</v>
      </c>
      <c r="T44" s="39">
        <f t="shared" ca="1" si="7"/>
        <v>0</v>
      </c>
      <c r="U44" s="39">
        <f t="shared" ca="1" si="7"/>
        <v>0</v>
      </c>
      <c r="V44" s="39">
        <f t="shared" ca="1" si="7"/>
        <v>0</v>
      </c>
      <c r="W44" s="39">
        <f t="shared" ca="1" si="7"/>
        <v>0</v>
      </c>
      <c r="X44" s="39">
        <f t="shared" ca="1" si="7"/>
        <v>0</v>
      </c>
      <c r="Y44" s="39"/>
      <c r="Z44" s="39">
        <f ca="1">A44*(B44*X14)*$Z$31</f>
        <v>0</v>
      </c>
      <c r="AC44" s="39"/>
    </row>
    <row r="45" spans="1:29">
      <c r="A45" s="56">
        <f>INDEX([2]APPLIC!$B$8:$F$99,MATCH($D$42,[2]APPLIC!$B$9:$B$100,0)+1,MATCH($D45,[2]APPLIC!$C$8:$F$8,0)+1)</f>
        <v>0</v>
      </c>
      <c r="B45" s="56"/>
      <c r="C45" s="56">
        <f>VLOOKUP($D$42,[2]TURN!$B$10:$G$77,6,FALSE)</f>
        <v>6.6666666666666666E-2</v>
      </c>
      <c r="D45" s="9" t="str">
        <f>D15</f>
        <v>Multifamily - High Rise</v>
      </c>
      <c r="E45" s="39">
        <f t="shared" ref="E45:X45" ca="1" si="8">E15*$C45*$A45*$B45</f>
        <v>0</v>
      </c>
      <c r="F45" s="39">
        <f t="shared" ca="1" si="8"/>
        <v>0</v>
      </c>
      <c r="G45" s="39">
        <f t="shared" ca="1" si="8"/>
        <v>0</v>
      </c>
      <c r="H45" s="39">
        <f t="shared" ca="1" si="8"/>
        <v>0</v>
      </c>
      <c r="I45" s="39">
        <f t="shared" ca="1" si="8"/>
        <v>0</v>
      </c>
      <c r="J45" s="39">
        <f t="shared" ca="1" si="8"/>
        <v>0</v>
      </c>
      <c r="K45" s="39">
        <f t="shared" ca="1" si="8"/>
        <v>0</v>
      </c>
      <c r="L45" s="39">
        <f t="shared" ca="1" si="8"/>
        <v>0</v>
      </c>
      <c r="M45" s="39">
        <f t="shared" ca="1" si="8"/>
        <v>0</v>
      </c>
      <c r="N45" s="39">
        <f t="shared" ca="1" si="8"/>
        <v>0</v>
      </c>
      <c r="O45" s="39">
        <f t="shared" ca="1" si="8"/>
        <v>0</v>
      </c>
      <c r="P45" s="39">
        <f t="shared" ca="1" si="8"/>
        <v>0</v>
      </c>
      <c r="Q45" s="39">
        <f t="shared" ca="1" si="8"/>
        <v>0</v>
      </c>
      <c r="R45" s="39">
        <f t="shared" ca="1" si="8"/>
        <v>0</v>
      </c>
      <c r="S45" s="39">
        <f t="shared" ca="1" si="8"/>
        <v>0</v>
      </c>
      <c r="T45" s="39">
        <f t="shared" ca="1" si="8"/>
        <v>0</v>
      </c>
      <c r="U45" s="39">
        <f t="shared" ca="1" si="8"/>
        <v>0</v>
      </c>
      <c r="V45" s="39">
        <f t="shared" ca="1" si="8"/>
        <v>0</v>
      </c>
      <c r="W45" s="39">
        <f t="shared" ca="1" si="8"/>
        <v>0</v>
      </c>
      <c r="X45" s="39">
        <f t="shared" ca="1" si="8"/>
        <v>0</v>
      </c>
      <c r="Y45" s="39"/>
      <c r="Z45" s="39">
        <f t="shared" ref="Z45:Z46" ca="1" si="9">A45*(B45*X15)*$Z$31</f>
        <v>0</v>
      </c>
      <c r="AC45" s="39"/>
    </row>
    <row r="46" spans="1:29">
      <c r="A46" s="56">
        <f>INDEX([2]APPLIC!$B$8:$F$99,MATCH($D$42,[2]APPLIC!$B$9:$B$100,0)+1,MATCH($D46,[2]APPLIC!$C$8:$F$8,0)+1)</f>
        <v>0</v>
      </c>
      <c r="B46" s="56"/>
      <c r="C46" s="56">
        <f>VLOOKUP($D$42,[2]TURN!$B$10:$G$77,6,FALSE)</f>
        <v>6.6666666666666666E-2</v>
      </c>
      <c r="D46" s="9" t="str">
        <f>D16</f>
        <v>Manufactured</v>
      </c>
      <c r="E46" s="39">
        <f t="shared" ref="E46:X46" ca="1" si="10">E16*$C46*$A46*$B46</f>
        <v>0</v>
      </c>
      <c r="F46" s="39">
        <f t="shared" ca="1" si="10"/>
        <v>0</v>
      </c>
      <c r="G46" s="39">
        <f t="shared" ca="1" si="10"/>
        <v>0</v>
      </c>
      <c r="H46" s="39">
        <f t="shared" ca="1" si="10"/>
        <v>0</v>
      </c>
      <c r="I46" s="39">
        <f t="shared" ca="1" si="10"/>
        <v>0</v>
      </c>
      <c r="J46" s="39">
        <f t="shared" ca="1" si="10"/>
        <v>0</v>
      </c>
      <c r="K46" s="39">
        <f t="shared" ca="1" si="10"/>
        <v>0</v>
      </c>
      <c r="L46" s="39">
        <f t="shared" ca="1" si="10"/>
        <v>0</v>
      </c>
      <c r="M46" s="39">
        <f t="shared" ca="1" si="10"/>
        <v>0</v>
      </c>
      <c r="N46" s="39">
        <f t="shared" ca="1" si="10"/>
        <v>0</v>
      </c>
      <c r="O46" s="39">
        <f t="shared" ca="1" si="10"/>
        <v>0</v>
      </c>
      <c r="P46" s="39">
        <f t="shared" ca="1" si="10"/>
        <v>0</v>
      </c>
      <c r="Q46" s="39">
        <f t="shared" ca="1" si="10"/>
        <v>0</v>
      </c>
      <c r="R46" s="39">
        <f t="shared" ca="1" si="10"/>
        <v>0</v>
      </c>
      <c r="S46" s="39">
        <f t="shared" ca="1" si="10"/>
        <v>0</v>
      </c>
      <c r="T46" s="39">
        <f t="shared" ca="1" si="10"/>
        <v>0</v>
      </c>
      <c r="U46" s="39">
        <f t="shared" ca="1" si="10"/>
        <v>0</v>
      </c>
      <c r="V46" s="39">
        <f t="shared" ca="1" si="10"/>
        <v>0</v>
      </c>
      <c r="W46" s="39">
        <f t="shared" ca="1" si="10"/>
        <v>0</v>
      </c>
      <c r="X46" s="39">
        <f t="shared" ca="1" si="10"/>
        <v>0</v>
      </c>
      <c r="Y46" s="39"/>
      <c r="Z46" s="39">
        <f t="shared" ca="1" si="9"/>
        <v>0</v>
      </c>
      <c r="AC46" s="39"/>
    </row>
    <row r="47" spans="1:29">
      <c r="E47" s="39"/>
      <c r="F47" s="39"/>
      <c r="G47" s="39"/>
      <c r="H47" s="39"/>
      <c r="I47" s="39"/>
      <c r="J47" s="39"/>
      <c r="K47" s="39"/>
      <c r="L47" s="39"/>
      <c r="M47" s="39"/>
      <c r="N47" s="39"/>
      <c r="O47" s="39"/>
      <c r="P47" s="39"/>
      <c r="Q47" s="39"/>
      <c r="R47" s="39"/>
      <c r="S47" s="39"/>
      <c r="T47" s="39"/>
      <c r="U47" s="39"/>
      <c r="V47" s="39"/>
      <c r="W47" s="39"/>
      <c r="X47" s="39"/>
      <c r="Y47" s="39"/>
    </row>
    <row r="48" spans="1:29">
      <c r="E48" s="39">
        <f t="shared" ref="E48:X48" ca="1" si="11">SUM(E43:E46)</f>
        <v>7634.1078238627169</v>
      </c>
      <c r="F48" s="39">
        <f t="shared" ca="1" si="11"/>
        <v>7616.7724345603674</v>
      </c>
      <c r="G48" s="39">
        <f t="shared" ca="1" si="11"/>
        <v>7599.4764101359033</v>
      </c>
      <c r="H48" s="39">
        <f t="shared" ca="1" si="11"/>
        <v>7582.2196612002972</v>
      </c>
      <c r="I48" s="39">
        <f t="shared" ca="1" si="11"/>
        <v>7565.0020985675064</v>
      </c>
      <c r="J48" s="39">
        <f t="shared" ca="1" si="11"/>
        <v>7547.8236332540018</v>
      </c>
      <c r="K48" s="39">
        <f t="shared" ca="1" si="11"/>
        <v>7530.6841764783276</v>
      </c>
      <c r="L48" s="39">
        <f t="shared" ca="1" si="11"/>
        <v>7513.583639660621</v>
      </c>
      <c r="M48" s="39">
        <f t="shared" ca="1" si="11"/>
        <v>7496.5219344221714</v>
      </c>
      <c r="N48" s="39">
        <f t="shared" ca="1" si="11"/>
        <v>7479.4989725849555</v>
      </c>
      <c r="O48" s="39">
        <f t="shared" ca="1" si="11"/>
        <v>7462.5146661711779</v>
      </c>
      <c r="P48" s="39">
        <f t="shared" ca="1" si="11"/>
        <v>7445.5689274028273</v>
      </c>
      <c r="Q48" s="39">
        <f t="shared" ca="1" si="11"/>
        <v>7428.6616687012202</v>
      </c>
      <c r="R48" s="39">
        <f t="shared" ca="1" si="11"/>
        <v>7411.7928026865366</v>
      </c>
      <c r="S48" s="39">
        <f t="shared" ca="1" si="11"/>
        <v>7394.962242177382</v>
      </c>
      <c r="T48" s="39">
        <f t="shared" ca="1" si="11"/>
        <v>7378.1699001903289</v>
      </c>
      <c r="U48" s="39">
        <f t="shared" ca="1" si="11"/>
        <v>7361.4156899394748</v>
      </c>
      <c r="V48" s="39">
        <f t="shared" ca="1" si="11"/>
        <v>7344.6995248359854</v>
      </c>
      <c r="W48" s="39">
        <f t="shared" ca="1" si="11"/>
        <v>7328.0213184876493</v>
      </c>
      <c r="X48" s="39">
        <f t="shared" ca="1" si="11"/>
        <v>7311.3809846984368</v>
      </c>
      <c r="Y48" s="39"/>
      <c r="Z48" s="39">
        <f ca="1">SUM(E48:X48)</f>
        <v>149432.87851001788</v>
      </c>
      <c r="AC48" s="39"/>
    </row>
    <row r="49" spans="1:29">
      <c r="E49" s="39"/>
      <c r="F49" s="39"/>
      <c r="G49" s="39"/>
      <c r="H49" s="39"/>
      <c r="I49" s="39"/>
      <c r="J49" s="39"/>
      <c r="K49" s="39"/>
      <c r="L49" s="39"/>
      <c r="M49" s="39"/>
      <c r="N49" s="39"/>
      <c r="O49" s="39"/>
      <c r="P49" s="39"/>
      <c r="Q49" s="39"/>
      <c r="R49" s="39"/>
      <c r="S49" s="39"/>
      <c r="T49" s="39"/>
      <c r="U49" s="39"/>
      <c r="V49" s="39"/>
      <c r="W49" s="39"/>
      <c r="X49" s="39"/>
      <c r="Y49" s="39"/>
      <c r="Z49" s="39"/>
      <c r="AC49" s="39"/>
    </row>
    <row r="50" spans="1:29" ht="15">
      <c r="A50" s="64" t="s">
        <v>58</v>
      </c>
      <c r="B50" s="64" t="s">
        <v>145</v>
      </c>
      <c r="C50" s="64" t="s">
        <v>986</v>
      </c>
      <c r="D50" s="64" t="str">
        <f>CONCATENATE(C8," - ","NEW")</f>
        <v>GSHP - NEW</v>
      </c>
      <c r="E50" s="263">
        <v>2016</v>
      </c>
      <c r="F50" s="264">
        <v>2017</v>
      </c>
      <c r="G50" s="264">
        <v>2018</v>
      </c>
      <c r="H50" s="264">
        <v>2019</v>
      </c>
      <c r="I50" s="264">
        <v>2020</v>
      </c>
      <c r="J50" s="264">
        <v>2021</v>
      </c>
      <c r="K50" s="264">
        <v>2022</v>
      </c>
      <c r="L50" s="264">
        <v>2023</v>
      </c>
      <c r="M50" s="264">
        <v>2024</v>
      </c>
      <c r="N50" s="264">
        <v>2025</v>
      </c>
      <c r="O50" s="264">
        <v>2026</v>
      </c>
      <c r="P50" s="264">
        <v>2027</v>
      </c>
      <c r="Q50" s="264">
        <v>2028</v>
      </c>
      <c r="R50" s="264">
        <v>2029</v>
      </c>
      <c r="S50" s="264">
        <v>2030</v>
      </c>
      <c r="T50" s="264">
        <v>2031</v>
      </c>
      <c r="U50" s="264">
        <v>2032</v>
      </c>
      <c r="V50" s="264">
        <v>2033</v>
      </c>
      <c r="W50" s="264">
        <v>2034</v>
      </c>
      <c r="X50" s="264">
        <v>2035</v>
      </c>
      <c r="Y50" s="265"/>
    </row>
    <row r="51" spans="1:29">
      <c r="A51" s="56">
        <f>INDEX([2]APPLIC!$B$8:$F$99,MATCH($D$50,[2]APPLIC!$B$9:$B$100,0)+1,MATCH($D51,[2]APPLIC!$C$8:$F$8,0)+1)</f>
        <v>0.12485156673907999</v>
      </c>
      <c r="B51" s="89">
        <f>[2]SATS!$C$94+[2]SATS!$C$105</f>
        <v>0.11113965477799331</v>
      </c>
      <c r="C51" s="56">
        <f>VLOOKUP($D$50,[2]TURN!$B$10:$G$77,6,FALSE)</f>
        <v>1</v>
      </c>
      <c r="D51" s="9" t="str">
        <f>D43</f>
        <v>Single Family</v>
      </c>
      <c r="E51" s="39">
        <f>E23*$C51*$A51*$B51</f>
        <v>0</v>
      </c>
      <c r="F51" s="39">
        <f t="shared" ref="F51:X51" si="12">F23*$C51*$A51*$B51</f>
        <v>0</v>
      </c>
      <c r="G51" s="39">
        <f t="shared" si="12"/>
        <v>0</v>
      </c>
      <c r="H51" s="39">
        <f t="shared" si="12"/>
        <v>0</v>
      </c>
      <c r="I51" s="39">
        <f t="shared" si="12"/>
        <v>0</v>
      </c>
      <c r="J51" s="39">
        <f t="shared" si="12"/>
        <v>0</v>
      </c>
      <c r="K51" s="39">
        <f t="shared" si="12"/>
        <v>0</v>
      </c>
      <c r="L51" s="39">
        <f t="shared" si="12"/>
        <v>0</v>
      </c>
      <c r="M51" s="39">
        <f t="shared" si="12"/>
        <v>0</v>
      </c>
      <c r="N51" s="39">
        <f t="shared" si="12"/>
        <v>0</v>
      </c>
      <c r="O51" s="39">
        <f t="shared" si="12"/>
        <v>0</v>
      </c>
      <c r="P51" s="39">
        <f t="shared" si="12"/>
        <v>0</v>
      </c>
      <c r="Q51" s="39">
        <f t="shared" si="12"/>
        <v>0</v>
      </c>
      <c r="R51" s="39">
        <f t="shared" si="12"/>
        <v>0</v>
      </c>
      <c r="S51" s="39">
        <f t="shared" si="12"/>
        <v>0</v>
      </c>
      <c r="T51" s="39">
        <f t="shared" ca="1" si="12"/>
        <v>869.58836870705375</v>
      </c>
      <c r="U51" s="39">
        <f t="shared" ca="1" si="12"/>
        <v>831.34822471486211</v>
      </c>
      <c r="V51" s="39">
        <f t="shared" ca="1" si="12"/>
        <v>787.22112039613728</v>
      </c>
      <c r="W51" s="39">
        <f t="shared" ca="1" si="12"/>
        <v>760.4139502245755</v>
      </c>
      <c r="X51" s="39">
        <f t="shared" ca="1" si="12"/>
        <v>738.20730420932057</v>
      </c>
      <c r="Y51" s="39"/>
      <c r="Z51" s="39">
        <f ca="1">SUM(E23:X23)*$Z$31*A51*B51</f>
        <v>3388.7621230141567</v>
      </c>
      <c r="AC51" s="39"/>
    </row>
    <row r="52" spans="1:29">
      <c r="A52" s="56">
        <f>INDEX([2]APPLIC!$B$8:$F$99,MATCH($D$50,[2]APPLIC!$B$9:$B$100,0)+1,MATCH($D52,[2]APPLIC!$C$8:$F$8,0)+1)</f>
        <v>0</v>
      </c>
      <c r="B52" s="56"/>
      <c r="C52" s="56"/>
      <c r="D52" s="9" t="str">
        <f t="shared" ref="D52:D54" si="13">D44</f>
        <v>Multifamily - Low Rise</v>
      </c>
      <c r="E52" s="39">
        <f t="shared" ref="E52:X52" si="14">E24*$C52*$A52*$B52</f>
        <v>0</v>
      </c>
      <c r="F52" s="39">
        <f t="shared" si="14"/>
        <v>0</v>
      </c>
      <c r="G52" s="39">
        <f t="shared" si="14"/>
        <v>0</v>
      </c>
      <c r="H52" s="39">
        <f t="shared" si="14"/>
        <v>0</v>
      </c>
      <c r="I52" s="39">
        <f t="shared" si="14"/>
        <v>0</v>
      </c>
      <c r="J52" s="39">
        <f t="shared" si="14"/>
        <v>0</v>
      </c>
      <c r="K52" s="39">
        <f t="shared" si="14"/>
        <v>0</v>
      </c>
      <c r="L52" s="39">
        <f t="shared" si="14"/>
        <v>0</v>
      </c>
      <c r="M52" s="39">
        <f t="shared" si="14"/>
        <v>0</v>
      </c>
      <c r="N52" s="39">
        <f t="shared" si="14"/>
        <v>0</v>
      </c>
      <c r="O52" s="39">
        <f t="shared" si="14"/>
        <v>0</v>
      </c>
      <c r="P52" s="39">
        <f t="shared" si="14"/>
        <v>0</v>
      </c>
      <c r="Q52" s="39">
        <f t="shared" si="14"/>
        <v>0</v>
      </c>
      <c r="R52" s="39">
        <f t="shared" si="14"/>
        <v>0</v>
      </c>
      <c r="S52" s="39">
        <f t="shared" si="14"/>
        <v>0</v>
      </c>
      <c r="T52" s="39" t="e">
        <f t="shared" ca="1" si="14"/>
        <v>#DIV/0!</v>
      </c>
      <c r="U52" s="39" t="e">
        <f t="shared" ca="1" si="14"/>
        <v>#DIV/0!</v>
      </c>
      <c r="V52" s="39" t="e">
        <f t="shared" ca="1" si="14"/>
        <v>#DIV/0!</v>
      </c>
      <c r="W52" s="39" t="e">
        <f t="shared" ca="1" si="14"/>
        <v>#DIV/0!</v>
      </c>
      <c r="X52" s="39" t="e">
        <f t="shared" ca="1" si="14"/>
        <v>#DIV/0!</v>
      </c>
      <c r="Y52" s="39"/>
      <c r="Z52" s="39" t="e">
        <f ca="1">(SUM(E24:X24)*B52+SUM(E24:X24))*$Z$31*A52</f>
        <v>#DIV/0!</v>
      </c>
      <c r="AC52" s="39"/>
    </row>
    <row r="53" spans="1:29">
      <c r="A53" s="56">
        <f>INDEX([2]APPLIC!$B$8:$F$99,MATCH($D$50,[2]APPLIC!$B$9:$B$100,0)+1,MATCH($D53,[2]APPLIC!$C$8:$F$8,0)+1)</f>
        <v>0</v>
      </c>
      <c r="B53" s="56"/>
      <c r="C53" s="56"/>
      <c r="D53" s="9" t="str">
        <f t="shared" si="13"/>
        <v>Multifamily - High Rise</v>
      </c>
      <c r="E53" s="39">
        <f t="shared" ref="E53:X53" si="15">E25*$C53*$A53*$B53</f>
        <v>0</v>
      </c>
      <c r="F53" s="39">
        <f t="shared" si="15"/>
        <v>0</v>
      </c>
      <c r="G53" s="39">
        <f t="shared" si="15"/>
        <v>0</v>
      </c>
      <c r="H53" s="39">
        <f t="shared" si="15"/>
        <v>0</v>
      </c>
      <c r="I53" s="39">
        <f t="shared" si="15"/>
        <v>0</v>
      </c>
      <c r="J53" s="39">
        <f t="shared" si="15"/>
        <v>0</v>
      </c>
      <c r="K53" s="39">
        <f t="shared" si="15"/>
        <v>0</v>
      </c>
      <c r="L53" s="39">
        <f t="shared" si="15"/>
        <v>0</v>
      </c>
      <c r="M53" s="39">
        <f t="shared" si="15"/>
        <v>0</v>
      </c>
      <c r="N53" s="39">
        <f t="shared" si="15"/>
        <v>0</v>
      </c>
      <c r="O53" s="39">
        <f t="shared" si="15"/>
        <v>0</v>
      </c>
      <c r="P53" s="39">
        <f t="shared" si="15"/>
        <v>0</v>
      </c>
      <c r="Q53" s="39">
        <f t="shared" si="15"/>
        <v>0</v>
      </c>
      <c r="R53" s="39">
        <f t="shared" si="15"/>
        <v>0</v>
      </c>
      <c r="S53" s="39">
        <f t="shared" si="15"/>
        <v>0</v>
      </c>
      <c r="T53" s="39" t="e">
        <f t="shared" ca="1" si="15"/>
        <v>#DIV/0!</v>
      </c>
      <c r="U53" s="39" t="e">
        <f t="shared" ca="1" si="15"/>
        <v>#DIV/0!</v>
      </c>
      <c r="V53" s="39" t="e">
        <f t="shared" ca="1" si="15"/>
        <v>#DIV/0!</v>
      </c>
      <c r="W53" s="39" t="e">
        <f t="shared" ca="1" si="15"/>
        <v>#DIV/0!</v>
      </c>
      <c r="X53" s="39" t="e">
        <f t="shared" ca="1" si="15"/>
        <v>#DIV/0!</v>
      </c>
      <c r="Y53" s="39"/>
      <c r="Z53" s="39" t="e">
        <f t="shared" ref="Z53:Z54" ca="1" si="16">(SUM(E25:X25)*B53+SUM(E25:X25))*$Z$31*A53</f>
        <v>#DIV/0!</v>
      </c>
      <c r="AC53" s="39"/>
    </row>
    <row r="54" spans="1:29">
      <c r="A54" s="56">
        <f>INDEX([2]APPLIC!$B$8:$F$99,MATCH($D$50,[2]APPLIC!$B$9:$B$100,0)+1,MATCH($D54,[2]APPLIC!$C$8:$F$8,0)+1)</f>
        <v>0</v>
      </c>
      <c r="B54" s="56"/>
      <c r="C54" s="56"/>
      <c r="D54" s="9" t="str">
        <f t="shared" si="13"/>
        <v>Manufactured</v>
      </c>
      <c r="E54" s="39">
        <f t="shared" ref="E54:X54" si="17">E26*$C54*$A54*$B54</f>
        <v>0</v>
      </c>
      <c r="F54" s="39">
        <f t="shared" si="17"/>
        <v>0</v>
      </c>
      <c r="G54" s="39">
        <f t="shared" si="17"/>
        <v>0</v>
      </c>
      <c r="H54" s="39">
        <f t="shared" si="17"/>
        <v>0</v>
      </c>
      <c r="I54" s="39">
        <f t="shared" si="17"/>
        <v>0</v>
      </c>
      <c r="J54" s="39">
        <f t="shared" si="17"/>
        <v>0</v>
      </c>
      <c r="K54" s="39">
        <f t="shared" si="17"/>
        <v>0</v>
      </c>
      <c r="L54" s="39">
        <f t="shared" si="17"/>
        <v>0</v>
      </c>
      <c r="M54" s="39">
        <f t="shared" si="17"/>
        <v>0</v>
      </c>
      <c r="N54" s="39">
        <f t="shared" si="17"/>
        <v>0</v>
      </c>
      <c r="O54" s="39">
        <f t="shared" si="17"/>
        <v>0</v>
      </c>
      <c r="P54" s="39">
        <f t="shared" si="17"/>
        <v>0</v>
      </c>
      <c r="Q54" s="39">
        <f t="shared" si="17"/>
        <v>0</v>
      </c>
      <c r="R54" s="39">
        <f t="shared" si="17"/>
        <v>0</v>
      </c>
      <c r="S54" s="39">
        <f t="shared" si="17"/>
        <v>0</v>
      </c>
      <c r="T54" s="39" t="e">
        <f t="shared" ca="1" si="17"/>
        <v>#DIV/0!</v>
      </c>
      <c r="U54" s="39" t="e">
        <f t="shared" ca="1" si="17"/>
        <v>#DIV/0!</v>
      </c>
      <c r="V54" s="39" t="e">
        <f t="shared" ca="1" si="17"/>
        <v>#DIV/0!</v>
      </c>
      <c r="W54" s="39" t="e">
        <f t="shared" ca="1" si="17"/>
        <v>#DIV/0!</v>
      </c>
      <c r="X54" s="39" t="e">
        <f t="shared" ca="1" si="17"/>
        <v>#DIV/0!</v>
      </c>
      <c r="Y54" s="39"/>
      <c r="Z54" s="39" t="e">
        <f t="shared" ca="1" si="16"/>
        <v>#DIV/0!</v>
      </c>
      <c r="AC54" s="39"/>
    </row>
    <row r="55" spans="1:29">
      <c r="E55" s="39"/>
      <c r="F55" s="39"/>
      <c r="G55" s="39"/>
      <c r="H55" s="39"/>
      <c r="I55" s="39"/>
      <c r="J55" s="39"/>
      <c r="K55" s="39"/>
      <c r="L55" s="39"/>
      <c r="M55" s="39"/>
      <c r="N55" s="39"/>
      <c r="O55" s="39"/>
      <c r="P55" s="39"/>
      <c r="Q55" s="39"/>
      <c r="R55" s="39"/>
      <c r="S55" s="39"/>
      <c r="T55" s="39"/>
      <c r="U55" s="39"/>
      <c r="V55" s="39"/>
      <c r="W55" s="39"/>
      <c r="X55" s="39"/>
      <c r="Y55" s="39"/>
    </row>
    <row r="56" spans="1:29">
      <c r="E56" s="39">
        <f t="shared" ref="E56:X56" si="18">SUM(E51:E54)</f>
        <v>0</v>
      </c>
      <c r="F56" s="39">
        <f t="shared" si="18"/>
        <v>0</v>
      </c>
      <c r="G56" s="39">
        <f t="shared" si="18"/>
        <v>0</v>
      </c>
      <c r="H56" s="39">
        <f t="shared" si="18"/>
        <v>0</v>
      </c>
      <c r="I56" s="39">
        <f t="shared" si="18"/>
        <v>0</v>
      </c>
      <c r="J56" s="39">
        <f t="shared" si="18"/>
        <v>0</v>
      </c>
      <c r="K56" s="39">
        <f t="shared" si="18"/>
        <v>0</v>
      </c>
      <c r="L56" s="39">
        <f t="shared" si="18"/>
        <v>0</v>
      </c>
      <c r="M56" s="39">
        <f t="shared" si="18"/>
        <v>0</v>
      </c>
      <c r="N56" s="39">
        <f t="shared" si="18"/>
        <v>0</v>
      </c>
      <c r="O56" s="39">
        <f t="shared" si="18"/>
        <v>0</v>
      </c>
      <c r="P56" s="39">
        <f t="shared" si="18"/>
        <v>0</v>
      </c>
      <c r="Q56" s="39">
        <f t="shared" si="18"/>
        <v>0</v>
      </c>
      <c r="R56" s="39">
        <f t="shared" si="18"/>
        <v>0</v>
      </c>
      <c r="S56" s="39">
        <f t="shared" si="18"/>
        <v>0</v>
      </c>
      <c r="T56" s="39" t="e">
        <f t="shared" ca="1" si="18"/>
        <v>#DIV/0!</v>
      </c>
      <c r="U56" s="39" t="e">
        <f t="shared" ca="1" si="18"/>
        <v>#DIV/0!</v>
      </c>
      <c r="V56" s="39" t="e">
        <f t="shared" ca="1" si="18"/>
        <v>#DIV/0!</v>
      </c>
      <c r="W56" s="39" t="e">
        <f t="shared" ca="1" si="18"/>
        <v>#DIV/0!</v>
      </c>
      <c r="X56" s="39" t="e">
        <f t="shared" ca="1" si="18"/>
        <v>#DIV/0!</v>
      </c>
      <c r="Y56" s="39"/>
      <c r="Z56" s="39" t="e">
        <f ca="1">SUM(E56:X56)</f>
        <v>#DIV/0!</v>
      </c>
      <c r="AC56" s="39"/>
    </row>
    <row r="57" spans="1:29">
      <c r="E57" s="39"/>
      <c r="F57" s="39"/>
      <c r="G57" s="39"/>
      <c r="H57" s="39"/>
      <c r="I57" s="39"/>
      <c r="J57" s="39"/>
      <c r="K57" s="39"/>
      <c r="L57" s="39"/>
      <c r="M57" s="39"/>
      <c r="N57" s="39"/>
      <c r="O57" s="39"/>
      <c r="P57" s="39"/>
      <c r="Q57" s="39"/>
      <c r="R57" s="39"/>
      <c r="S57" s="39"/>
      <c r="T57" s="39"/>
      <c r="U57" s="39"/>
      <c r="V57" s="39"/>
      <c r="W57" s="39"/>
      <c r="X57" s="39"/>
      <c r="Y57" s="39"/>
      <c r="Z57" s="39"/>
      <c r="AC57" s="39"/>
    </row>
    <row r="58" spans="1:29" ht="15">
      <c r="E58" s="64" t="s">
        <v>60</v>
      </c>
      <c r="F58" s="39"/>
      <c r="G58" s="39"/>
      <c r="H58" s="39"/>
      <c r="I58" s="39"/>
      <c r="J58" s="39"/>
      <c r="K58" s="39"/>
      <c r="L58" s="39"/>
      <c r="M58" s="39"/>
      <c r="N58" s="39"/>
      <c r="O58" s="39"/>
      <c r="P58" s="39"/>
      <c r="Q58" s="39"/>
      <c r="R58" s="39"/>
      <c r="S58" s="39"/>
      <c r="T58" s="39"/>
      <c r="U58" s="39"/>
      <c r="V58" s="39"/>
      <c r="W58" s="39"/>
      <c r="X58" s="39"/>
      <c r="Y58" s="39"/>
    </row>
    <row r="59" spans="1:29" ht="15">
      <c r="A59" s="55" t="s">
        <v>987</v>
      </c>
      <c r="D59" s="64" t="str">
        <f>D42</f>
        <v>GSHP - NR</v>
      </c>
      <c r="E59" s="68">
        <f>VLOOKUP($D$42,[2]ACHIEV!$B$9:$X$79,MATCH(E$11,$E$11:$Y$11,0)+2,FALSE)</f>
        <v>2.5643970768378654E-3</v>
      </c>
      <c r="F59" s="68">
        <f>VLOOKUP($D$42,[2]ACHIEV!$B$9:$X$79,MATCH(F$11,$E$11:$Y$11,0)+2,FALSE)</f>
        <v>7.6904586297764643E-3</v>
      </c>
      <c r="G59" s="68">
        <f>VLOOKUP($D$42,[2]ACHIEV!$B$9:$X$79,MATCH(G$11,$E$11:$Y$11,0)+2,FALSE)</f>
        <v>1.6792013047419844E-2</v>
      </c>
      <c r="H59" s="68">
        <f>VLOOKUP($D$42,[2]ACHIEV!$B$9:$X$79,MATCH(H$11,$E$11:$Y$11,0)+2,FALSE)</f>
        <v>3.15969387774655E-2</v>
      </c>
      <c r="I59" s="68">
        <f>VLOOKUP($D$42,[2]ACHIEV!$B$9:$X$79,MATCH(I$11,$E$11:$Y$11,0)+2,FALSE)</f>
        <v>5.406874819795171E-2</v>
      </c>
      <c r="J59" s="68">
        <f>VLOOKUP($D$42,[2]ACHIEV!$B$9:$X$79,MATCH(J$11,$E$11:$Y$11,0)+2,FALSE)</f>
        <v>8.6253181011834101E-2</v>
      </c>
      <c r="K59" s="68">
        <f>VLOOKUP($D$42,[2]ACHIEV!$B$9:$X$79,MATCH(K$11,$E$11:$Y$11,0)+2,FALSE)</f>
        <v>0.1300328481838382</v>
      </c>
      <c r="L59" s="68">
        <f>VLOOKUP($D$42,[2]ACHIEV!$B$9:$X$79,MATCH(L$11,$E$11:$Y$11,0)+2,FALSE)</f>
        <v>0.18678710893858319</v>
      </c>
      <c r="M59" s="68">
        <f>VLOOKUP($D$42,[2]ACHIEV!$B$9:$X$79,MATCH(M$11,$E$11:$Y$11,0)+2,FALSE)</f>
        <v>0.2569823480072907</v>
      </c>
      <c r="N59" s="68">
        <f>VLOOKUP($D$42,[2]ACHIEV!$B$9:$X$79,MATCH(N$11,$E$11:$Y$11,0)+2,FALSE)</f>
        <v>0.33975920985004748</v>
      </c>
      <c r="O59" s="68">
        <f>VLOOKUP($D$42,[2]ACHIEV!$B$9:$X$79,MATCH(O$11,$E$11:$Y$11,0)+2,FALSE)</f>
        <v>0.43262946935754232</v>
      </c>
      <c r="P59" s="68">
        <f>VLOOKUP($D$42,[2]ACHIEV!$B$9:$X$79,MATCH(P$11,$E$11:$Y$11,0)+2,FALSE)</f>
        <v>0.53142594003645804</v>
      </c>
      <c r="Q59" s="68">
        <f>VLOOKUP($D$42,[2]ACHIEV!$B$9:$X$79,MATCH(Q$11,$E$11:$Y$11,0)+2,FALSE)</f>
        <v>0.63063487292644704</v>
      </c>
      <c r="R59" s="68">
        <f>VLOOKUP($D$42,[2]ACHIEV!$B$9:$X$79,MATCH(R$11,$E$11:$Y$11,0)+2,FALSE)</f>
        <v>0.7241560234206913</v>
      </c>
      <c r="S59" s="68">
        <f>VLOOKUP($D$42,[2]ACHIEV!$B$9:$X$79,MATCH(S$11,$E$11:$Y$11,0)+2,FALSE)</f>
        <v>0.80638203131755359</v>
      </c>
      <c r="T59" s="68">
        <f>VLOOKUP($D$42,[2]ACHIEV!$B$9:$X$79,MATCH(T$11,$E$11:$Y$11,0)+2,FALSE)</f>
        <v>0.87331559734491926</v>
      </c>
      <c r="U59" s="68">
        <f>VLOOKUP($D$42,[2]ACHIEV!$B$9:$X$79,MATCH(U$11,$E$11:$Y$11,0)+2,FALSE)</f>
        <v>0.92334516248836807</v>
      </c>
      <c r="V59" s="68">
        <f>VLOOKUP($D$42,[2]ACHIEV!$B$9:$X$79,MATCH(V$11,$E$11:$Y$11,0)+2,FALSE)</f>
        <v>0.95737002770730018</v>
      </c>
      <c r="W59" s="68">
        <f>VLOOKUP($D$42,[2]ACHIEV!$B$9:$X$79,MATCH(W$11,$E$11:$Y$11,0)+2,FALSE)</f>
        <v>0.97821608704807483</v>
      </c>
      <c r="X59" s="68">
        <f>VLOOKUP($D$42,[2]ACHIEV!$B$9:$X$79,MATCH(X$11,$E$11:$Y$11,0)+2,FALSE)</f>
        <v>0.98821608704807484</v>
      </c>
      <c r="Y59" s="68"/>
      <c r="Z59" s="266">
        <v>0.85</v>
      </c>
    </row>
    <row r="60" spans="1:29">
      <c r="D60" s="9" t="str">
        <f>D23</f>
        <v>Single Family</v>
      </c>
      <c r="E60" s="39">
        <f ca="1">(E43+E51)*E$59*$Z$59</f>
        <v>16.640351219611837</v>
      </c>
      <c r="F60" s="39">
        <f t="shared" ref="F60:W60" ca="1" si="19">(F43+F51)*F$59*$Z$59</f>
        <v>49.790002305347024</v>
      </c>
      <c r="G60" s="39">
        <f t="shared" ca="1" si="19"/>
        <v>108.46893097767719</v>
      </c>
      <c r="H60" s="39">
        <f t="shared" ca="1" si="19"/>
        <v>203.63869086740485</v>
      </c>
      <c r="I60" s="39">
        <f t="shared" ca="1" si="19"/>
        <v>347.67566454675932</v>
      </c>
      <c r="J60" s="39">
        <f t="shared" ca="1" si="19"/>
        <v>553.37022837178824</v>
      </c>
      <c r="K60" s="39">
        <f t="shared" ca="1" si="19"/>
        <v>832.35086540437317</v>
      </c>
      <c r="L60" s="39">
        <f t="shared" ca="1" si="19"/>
        <v>1192.924480947378</v>
      </c>
      <c r="M60" s="39">
        <f t="shared" ca="1" si="19"/>
        <v>1637.5027373065714</v>
      </c>
      <c r="N60" s="39">
        <f t="shared" ca="1" si="19"/>
        <v>2160.0443618497502</v>
      </c>
      <c r="O60" s="39">
        <f t="shared" ca="1" si="19"/>
        <v>2744.2281960837367</v>
      </c>
      <c r="P60" s="39">
        <f t="shared" ca="1" si="19"/>
        <v>3363.2531963985966</v>
      </c>
      <c r="Q60" s="39">
        <f t="shared" ca="1" si="19"/>
        <v>3982.0571413367175</v>
      </c>
      <c r="R60" s="39">
        <f t="shared" ca="1" si="19"/>
        <v>4562.2002420498457</v>
      </c>
      <c r="S60" s="39">
        <f t="shared" ca="1" si="19"/>
        <v>5068.6899732090669</v>
      </c>
      <c r="T60" s="39">
        <f t="shared" ca="1" si="19"/>
        <v>6122.4615484548231</v>
      </c>
      <c r="U60" s="39">
        <f t="shared" ca="1" si="19"/>
        <v>6430.0365888045444</v>
      </c>
      <c r="V60" s="39">
        <f t="shared" ca="1" si="19"/>
        <v>6617.4685294235269</v>
      </c>
      <c r="W60" s="39">
        <f t="shared" ca="1" si="19"/>
        <v>6725.4018740661186</v>
      </c>
      <c r="X60" s="39">
        <f ca="1">(X43+X51)*X$59*$Z$59</f>
        <v>6761.5227450305674</v>
      </c>
      <c r="Y60" s="39"/>
    </row>
    <row r="61" spans="1:29">
      <c r="D61" s="9" t="str">
        <f t="shared" ref="D61:D63" si="20">D24</f>
        <v>Multifamily - Low Rise</v>
      </c>
      <c r="E61" s="39">
        <f t="shared" ref="E61:X63" ca="1" si="21">(E44+E52)*E$59*$Z$59</f>
        <v>0</v>
      </c>
      <c r="F61" s="39">
        <f t="shared" ca="1" si="21"/>
        <v>0</v>
      </c>
      <c r="G61" s="39">
        <f t="shared" ca="1" si="21"/>
        <v>0</v>
      </c>
      <c r="H61" s="39">
        <f t="shared" ca="1" si="21"/>
        <v>0</v>
      </c>
      <c r="I61" s="39">
        <f t="shared" ca="1" si="21"/>
        <v>0</v>
      </c>
      <c r="J61" s="39">
        <f t="shared" ca="1" si="21"/>
        <v>0</v>
      </c>
      <c r="K61" s="39">
        <f t="shared" ca="1" si="21"/>
        <v>0</v>
      </c>
      <c r="L61" s="39">
        <f t="shared" ca="1" si="21"/>
        <v>0</v>
      </c>
      <c r="M61" s="39">
        <f t="shared" ca="1" si="21"/>
        <v>0</v>
      </c>
      <c r="N61" s="39">
        <f t="shared" ca="1" si="21"/>
        <v>0</v>
      </c>
      <c r="O61" s="39">
        <f t="shared" ca="1" si="21"/>
        <v>0</v>
      </c>
      <c r="P61" s="39">
        <f t="shared" ca="1" si="21"/>
        <v>0</v>
      </c>
      <c r="Q61" s="39">
        <f t="shared" ca="1" si="21"/>
        <v>0</v>
      </c>
      <c r="R61" s="39">
        <f t="shared" ca="1" si="21"/>
        <v>0</v>
      </c>
      <c r="S61" s="39">
        <f t="shared" ca="1" si="21"/>
        <v>0</v>
      </c>
      <c r="T61" s="39" t="e">
        <f t="shared" ca="1" si="21"/>
        <v>#DIV/0!</v>
      </c>
      <c r="U61" s="39" t="e">
        <f t="shared" ca="1" si="21"/>
        <v>#DIV/0!</v>
      </c>
      <c r="V61" s="39" t="e">
        <f t="shared" ca="1" si="21"/>
        <v>#DIV/0!</v>
      </c>
      <c r="W61" s="39" t="e">
        <f t="shared" ca="1" si="21"/>
        <v>#DIV/0!</v>
      </c>
      <c r="X61" s="39" t="e">
        <f t="shared" ca="1" si="21"/>
        <v>#DIV/0!</v>
      </c>
      <c r="Y61" s="39"/>
    </row>
    <row r="62" spans="1:29">
      <c r="D62" s="9" t="str">
        <f t="shared" si="20"/>
        <v>Multifamily - High Rise</v>
      </c>
      <c r="E62" s="39">
        <f t="shared" ca="1" si="21"/>
        <v>0</v>
      </c>
      <c r="F62" s="39">
        <f t="shared" ca="1" si="21"/>
        <v>0</v>
      </c>
      <c r="G62" s="39">
        <f t="shared" ca="1" si="21"/>
        <v>0</v>
      </c>
      <c r="H62" s="39">
        <f t="shared" ca="1" si="21"/>
        <v>0</v>
      </c>
      <c r="I62" s="39">
        <f t="shared" ca="1" si="21"/>
        <v>0</v>
      </c>
      <c r="J62" s="39">
        <f t="shared" ca="1" si="21"/>
        <v>0</v>
      </c>
      <c r="K62" s="39">
        <f t="shared" ca="1" si="21"/>
        <v>0</v>
      </c>
      <c r="L62" s="39">
        <f t="shared" ca="1" si="21"/>
        <v>0</v>
      </c>
      <c r="M62" s="39">
        <f t="shared" ca="1" si="21"/>
        <v>0</v>
      </c>
      <c r="N62" s="39">
        <f t="shared" ca="1" si="21"/>
        <v>0</v>
      </c>
      <c r="O62" s="39">
        <f t="shared" ca="1" si="21"/>
        <v>0</v>
      </c>
      <c r="P62" s="39">
        <f t="shared" ca="1" si="21"/>
        <v>0</v>
      </c>
      <c r="Q62" s="39">
        <f t="shared" ca="1" si="21"/>
        <v>0</v>
      </c>
      <c r="R62" s="39">
        <f t="shared" ca="1" si="21"/>
        <v>0</v>
      </c>
      <c r="S62" s="39">
        <f t="shared" ca="1" si="21"/>
        <v>0</v>
      </c>
      <c r="T62" s="39" t="e">
        <f t="shared" ca="1" si="21"/>
        <v>#DIV/0!</v>
      </c>
      <c r="U62" s="39" t="e">
        <f t="shared" ca="1" si="21"/>
        <v>#DIV/0!</v>
      </c>
      <c r="V62" s="39" t="e">
        <f t="shared" ca="1" si="21"/>
        <v>#DIV/0!</v>
      </c>
      <c r="W62" s="39" t="e">
        <f t="shared" ca="1" si="21"/>
        <v>#DIV/0!</v>
      </c>
      <c r="X62" s="39" t="e">
        <f t="shared" ca="1" si="21"/>
        <v>#DIV/0!</v>
      </c>
      <c r="Y62" s="39"/>
    </row>
    <row r="63" spans="1:29">
      <c r="D63" s="9" t="str">
        <f t="shared" si="20"/>
        <v>Manufactured</v>
      </c>
      <c r="E63" s="39">
        <f t="shared" ca="1" si="21"/>
        <v>0</v>
      </c>
      <c r="F63" s="39">
        <f t="shared" ca="1" si="21"/>
        <v>0</v>
      </c>
      <c r="G63" s="39">
        <f t="shared" ca="1" si="21"/>
        <v>0</v>
      </c>
      <c r="H63" s="39">
        <f t="shared" ca="1" si="21"/>
        <v>0</v>
      </c>
      <c r="I63" s="39">
        <f t="shared" ca="1" si="21"/>
        <v>0</v>
      </c>
      <c r="J63" s="39">
        <f t="shared" ca="1" si="21"/>
        <v>0</v>
      </c>
      <c r="K63" s="39">
        <f t="shared" ca="1" si="21"/>
        <v>0</v>
      </c>
      <c r="L63" s="39">
        <f t="shared" ca="1" si="21"/>
        <v>0</v>
      </c>
      <c r="M63" s="39">
        <f t="shared" ca="1" si="21"/>
        <v>0</v>
      </c>
      <c r="N63" s="39">
        <f t="shared" ca="1" si="21"/>
        <v>0</v>
      </c>
      <c r="O63" s="39">
        <f t="shared" ca="1" si="21"/>
        <v>0</v>
      </c>
      <c r="P63" s="39">
        <f t="shared" ca="1" si="21"/>
        <v>0</v>
      </c>
      <c r="Q63" s="39">
        <f t="shared" ca="1" si="21"/>
        <v>0</v>
      </c>
      <c r="R63" s="39">
        <f t="shared" ca="1" si="21"/>
        <v>0</v>
      </c>
      <c r="S63" s="39">
        <f t="shared" ca="1" si="21"/>
        <v>0</v>
      </c>
      <c r="T63" s="39" t="e">
        <f t="shared" ca="1" si="21"/>
        <v>#DIV/0!</v>
      </c>
      <c r="U63" s="39" t="e">
        <f t="shared" ca="1" si="21"/>
        <v>#DIV/0!</v>
      </c>
      <c r="V63" s="39" t="e">
        <f t="shared" ca="1" si="21"/>
        <v>#DIV/0!</v>
      </c>
      <c r="W63" s="39" t="e">
        <f t="shared" ca="1" si="21"/>
        <v>#DIV/0!</v>
      </c>
      <c r="X63" s="39" t="e">
        <f t="shared" ca="1" si="21"/>
        <v>#DIV/0!</v>
      </c>
      <c r="Y63" s="39"/>
    </row>
    <row r="65" spans="1:28">
      <c r="E65" s="39">
        <f t="shared" ref="E65:X65" ca="1" si="22">SUM(E60:E63)</f>
        <v>16.640351219611837</v>
      </c>
      <c r="F65" s="39">
        <f t="shared" ca="1" si="22"/>
        <v>49.790002305347024</v>
      </c>
      <c r="G65" s="39">
        <f t="shared" ca="1" si="22"/>
        <v>108.46893097767719</v>
      </c>
      <c r="H65" s="39">
        <f t="shared" ca="1" si="22"/>
        <v>203.63869086740485</v>
      </c>
      <c r="I65" s="39">
        <f t="shared" ca="1" si="22"/>
        <v>347.67566454675932</v>
      </c>
      <c r="J65" s="39">
        <f t="shared" ca="1" si="22"/>
        <v>553.37022837178824</v>
      </c>
      <c r="K65" s="39">
        <f t="shared" ca="1" si="22"/>
        <v>832.35086540437317</v>
      </c>
      <c r="L65" s="39">
        <f t="shared" ca="1" si="22"/>
        <v>1192.924480947378</v>
      </c>
      <c r="M65" s="39">
        <f t="shared" ca="1" si="22"/>
        <v>1637.5027373065714</v>
      </c>
      <c r="N65" s="39">
        <f t="shared" ca="1" si="22"/>
        <v>2160.0443618497502</v>
      </c>
      <c r="O65" s="39">
        <f t="shared" ca="1" si="22"/>
        <v>2744.2281960837367</v>
      </c>
      <c r="P65" s="39">
        <f t="shared" ca="1" si="22"/>
        <v>3363.2531963985966</v>
      </c>
      <c r="Q65" s="39">
        <f t="shared" ca="1" si="22"/>
        <v>3982.0571413367175</v>
      </c>
      <c r="R65" s="39">
        <f t="shared" ca="1" si="22"/>
        <v>4562.2002420498457</v>
      </c>
      <c r="S65" s="39">
        <f t="shared" ca="1" si="22"/>
        <v>5068.6899732090669</v>
      </c>
      <c r="T65" s="39" t="e">
        <f t="shared" ca="1" si="22"/>
        <v>#DIV/0!</v>
      </c>
      <c r="U65" s="39" t="e">
        <f t="shared" ca="1" si="22"/>
        <v>#DIV/0!</v>
      </c>
      <c r="V65" s="39" t="e">
        <f t="shared" ca="1" si="22"/>
        <v>#DIV/0!</v>
      </c>
      <c r="W65" s="39" t="e">
        <f t="shared" ca="1" si="22"/>
        <v>#DIV/0!</v>
      </c>
      <c r="X65" s="39" t="e">
        <f t="shared" ca="1" si="22"/>
        <v>#DIV/0!</v>
      </c>
      <c r="Y65" s="39"/>
    </row>
    <row r="66" spans="1:28">
      <c r="E66" s="39"/>
      <c r="F66" s="39"/>
      <c r="G66" s="39"/>
      <c r="H66" s="39"/>
      <c r="I66" s="39"/>
      <c r="J66" s="39"/>
      <c r="K66" s="39"/>
      <c r="L66" s="39"/>
      <c r="M66" s="39"/>
      <c r="N66" s="39"/>
      <c r="O66" s="39"/>
      <c r="P66" s="39"/>
      <c r="Q66" s="39"/>
      <c r="R66" s="39"/>
      <c r="S66" s="39"/>
      <c r="T66" s="39"/>
      <c r="U66" s="39"/>
      <c r="V66" s="39"/>
      <c r="W66" s="39"/>
      <c r="X66" s="39"/>
      <c r="Y66" s="39"/>
    </row>
    <row r="68" spans="1:28">
      <c r="E68" s="39"/>
      <c r="F68" s="39"/>
      <c r="G68" s="39"/>
      <c r="H68" s="39"/>
      <c r="I68" s="39"/>
      <c r="J68" s="39"/>
      <c r="K68" s="39"/>
      <c r="L68" s="39"/>
      <c r="M68" s="39"/>
      <c r="N68" s="39"/>
      <c r="O68" s="39"/>
      <c r="P68" s="39"/>
      <c r="Q68" s="39"/>
      <c r="R68" s="39"/>
      <c r="S68" s="39"/>
      <c r="T68" s="39"/>
      <c r="U68" s="39"/>
      <c r="V68" s="39"/>
      <c r="W68" s="39"/>
      <c r="X68" s="39"/>
      <c r="Y68" s="39"/>
    </row>
    <row r="70" spans="1:28" customFormat="1">
      <c r="A70" s="9"/>
      <c r="B70" s="9"/>
      <c r="C70" s="9"/>
      <c r="D70" s="9"/>
      <c r="E70" s="9"/>
      <c r="F70" s="9"/>
      <c r="G70" s="9"/>
      <c r="H70" s="9"/>
      <c r="I70" s="9"/>
      <c r="J70" s="9"/>
      <c r="K70" s="9"/>
      <c r="L70" s="9"/>
      <c r="M70" s="9"/>
      <c r="N70" s="9"/>
      <c r="O70" s="9"/>
      <c r="P70" s="9"/>
      <c r="Q70" s="9"/>
      <c r="R70" s="9"/>
      <c r="S70" s="9"/>
      <c r="T70" s="9"/>
      <c r="U70" s="9"/>
      <c r="V70" s="9"/>
      <c r="W70" s="9"/>
      <c r="X70" s="9"/>
      <c r="Y70" s="9"/>
      <c r="Z70" s="9"/>
      <c r="AA70" s="9"/>
      <c r="AB70" s="9"/>
    </row>
    <row r="71" spans="1:28" customFormat="1" ht="15">
      <c r="A71" s="55" t="s">
        <v>61</v>
      </c>
      <c r="B71" s="9"/>
      <c r="C71" s="9"/>
      <c r="D71" s="267" t="s">
        <v>976</v>
      </c>
      <c r="E71" s="9" t="s">
        <v>167</v>
      </c>
      <c r="F71" s="9"/>
      <c r="G71" s="9"/>
      <c r="H71" s="9"/>
      <c r="I71" s="9"/>
      <c r="J71" s="9"/>
      <c r="K71" s="9"/>
      <c r="L71" s="9"/>
      <c r="M71" s="9"/>
      <c r="N71" s="9"/>
      <c r="O71" s="9"/>
      <c r="P71" s="9"/>
      <c r="Q71" s="9"/>
      <c r="R71" s="9"/>
      <c r="S71" s="9"/>
      <c r="T71" s="9"/>
      <c r="U71" s="9"/>
      <c r="V71" s="9"/>
      <c r="W71" s="9"/>
      <c r="X71" s="9"/>
      <c r="Y71" s="9"/>
      <c r="Z71" s="9"/>
      <c r="AA71" s="9"/>
      <c r="AB71" s="9"/>
    </row>
    <row r="72" spans="1:28" customFormat="1" ht="15">
      <c r="A72" s="64" t="s">
        <v>62</v>
      </c>
      <c r="B72" s="64" t="str">
        <f>M_Input_Out!K3</f>
        <v>TRC Net Levelized Cost (Net of All Benefits) in mills/kWh</v>
      </c>
      <c r="C72" s="64"/>
      <c r="D72" s="64">
        <v>1</v>
      </c>
      <c r="E72" s="58">
        <f t="shared" ref="E72:X72" si="23">E11</f>
        <v>2016</v>
      </c>
      <c r="F72" s="59">
        <f t="shared" si="23"/>
        <v>2017</v>
      </c>
      <c r="G72" s="59">
        <f t="shared" si="23"/>
        <v>2018</v>
      </c>
      <c r="H72" s="59">
        <f t="shared" si="23"/>
        <v>2019</v>
      </c>
      <c r="I72" s="59">
        <f t="shared" si="23"/>
        <v>2020</v>
      </c>
      <c r="J72" s="59">
        <f t="shared" si="23"/>
        <v>2021</v>
      </c>
      <c r="K72" s="59">
        <f t="shared" si="23"/>
        <v>2022</v>
      </c>
      <c r="L72" s="59">
        <f t="shared" si="23"/>
        <v>2023</v>
      </c>
      <c r="M72" s="59">
        <f t="shared" si="23"/>
        <v>2024</v>
      </c>
      <c r="N72" s="59">
        <f t="shared" si="23"/>
        <v>2025</v>
      </c>
      <c r="O72" s="59">
        <f t="shared" si="23"/>
        <v>2026</v>
      </c>
      <c r="P72" s="59">
        <f t="shared" si="23"/>
        <v>2027</v>
      </c>
      <c r="Q72" s="59">
        <f t="shared" si="23"/>
        <v>2028</v>
      </c>
      <c r="R72" s="59">
        <f t="shared" si="23"/>
        <v>2029</v>
      </c>
      <c r="S72" s="59">
        <f t="shared" si="23"/>
        <v>2030</v>
      </c>
      <c r="T72" s="59">
        <f t="shared" si="23"/>
        <v>2031</v>
      </c>
      <c r="U72" s="59">
        <f t="shared" si="23"/>
        <v>2032</v>
      </c>
      <c r="V72" s="59">
        <f t="shared" si="23"/>
        <v>2033</v>
      </c>
      <c r="W72" s="59">
        <f t="shared" si="23"/>
        <v>2034</v>
      </c>
      <c r="X72" s="59">
        <f t="shared" si="23"/>
        <v>2035</v>
      </c>
      <c r="Y72" s="60" t="s">
        <v>59</v>
      </c>
      <c r="Z72" s="9"/>
      <c r="AA72" s="9"/>
      <c r="AB72" s="9"/>
    </row>
    <row r="73" spans="1:28" customFormat="1" ht="26.25">
      <c r="A73" s="64" t="str">
        <f>M_Input_Out!C3</f>
        <v>Busbar Savings</v>
      </c>
      <c r="B73" s="64" t="s">
        <v>63</v>
      </c>
      <c r="C73" s="64" t="s">
        <v>64</v>
      </c>
      <c r="D73" s="64" t="s">
        <v>65</v>
      </c>
      <c r="E73" s="61" t="str">
        <f>CONCATENATE("aMW_",E$11)</f>
        <v>aMW_2016</v>
      </c>
      <c r="F73" s="62" t="str">
        <f t="shared" ref="F73:X73" si="24">CONCATENATE("aMW_",F$11)</f>
        <v>aMW_2017</v>
      </c>
      <c r="G73" s="62" t="str">
        <f t="shared" si="24"/>
        <v>aMW_2018</v>
      </c>
      <c r="H73" s="62" t="str">
        <f t="shared" si="24"/>
        <v>aMW_2019</v>
      </c>
      <c r="I73" s="62" t="str">
        <f t="shared" si="24"/>
        <v>aMW_2020</v>
      </c>
      <c r="J73" s="62" t="str">
        <f t="shared" si="24"/>
        <v>aMW_2021</v>
      </c>
      <c r="K73" s="62" t="str">
        <f t="shared" si="24"/>
        <v>aMW_2022</v>
      </c>
      <c r="L73" s="62" t="str">
        <f t="shared" si="24"/>
        <v>aMW_2023</v>
      </c>
      <c r="M73" s="62" t="str">
        <f t="shared" si="24"/>
        <v>aMW_2024</v>
      </c>
      <c r="N73" s="62" t="str">
        <f t="shared" si="24"/>
        <v>aMW_2025</v>
      </c>
      <c r="O73" s="62" t="str">
        <f t="shared" si="24"/>
        <v>aMW_2026</v>
      </c>
      <c r="P73" s="62" t="str">
        <f t="shared" si="24"/>
        <v>aMW_2027</v>
      </c>
      <c r="Q73" s="62" t="str">
        <f t="shared" si="24"/>
        <v>aMW_2028</v>
      </c>
      <c r="R73" s="62" t="str">
        <f t="shared" si="24"/>
        <v>aMW_2029</v>
      </c>
      <c r="S73" s="62" t="str">
        <f t="shared" si="24"/>
        <v>aMW_2030</v>
      </c>
      <c r="T73" s="62" t="str">
        <f t="shared" si="24"/>
        <v>aMW_2031</v>
      </c>
      <c r="U73" s="62" t="str">
        <f t="shared" si="24"/>
        <v>aMW_2032</v>
      </c>
      <c r="V73" s="62" t="str">
        <f t="shared" si="24"/>
        <v>aMW_2033</v>
      </c>
      <c r="W73" s="62" t="str">
        <f t="shared" si="24"/>
        <v>aMW_2034</v>
      </c>
      <c r="X73" s="62" t="str">
        <f t="shared" si="24"/>
        <v>aMW_2035</v>
      </c>
      <c r="Y73" s="63" t="s">
        <v>59</v>
      </c>
      <c r="Z73" s="9"/>
      <c r="AA73" s="268" t="s">
        <v>988</v>
      </c>
      <c r="AB73" s="268"/>
    </row>
    <row r="74" spans="1:28" customFormat="1">
      <c r="A74" s="57"/>
      <c r="B74" s="57"/>
      <c r="C74" s="9"/>
      <c r="D74" s="9"/>
      <c r="E74" s="34"/>
      <c r="F74" s="34"/>
      <c r="G74" s="34"/>
      <c r="H74" s="34"/>
      <c r="I74" s="34"/>
      <c r="J74" s="34"/>
      <c r="K74" s="34"/>
      <c r="L74" s="34"/>
      <c r="M74" s="34"/>
      <c r="N74" s="34"/>
      <c r="O74" s="34"/>
      <c r="P74" s="34"/>
      <c r="Q74" s="34"/>
      <c r="R74" s="34"/>
      <c r="S74" s="34"/>
      <c r="T74" s="34"/>
      <c r="U74" s="34"/>
      <c r="V74" s="34"/>
      <c r="W74" s="34"/>
      <c r="X74" s="34"/>
      <c r="Y74" s="34"/>
      <c r="Z74" s="9"/>
      <c r="AA74" s="34"/>
      <c r="AB74" s="48"/>
    </row>
    <row r="75" spans="1:28" customFormat="1">
      <c r="A75" s="57">
        <f>VLOOKUP($D75,MeasureOutput,3,FALSE)</f>
        <v>3867.7113310152445</v>
      </c>
      <c r="B75" s="57">
        <f>VLOOKUP($D75,MeasureOutput,11,FALSE)</f>
        <v>181.55043025550398</v>
      </c>
      <c r="C75" s="9" t="str">
        <f>D60</f>
        <v>Single Family</v>
      </c>
      <c r="D75" s="9" t="s">
        <v>1175</v>
      </c>
      <c r="E75" s="34">
        <f ca="1">VLOOKUP($C75,$D$60:$Y$64,E$32,FALSE)*$D$72*$A75/8760/1000*VLOOKUP(RIGHT($D75,7),Weighting!$B$14:$C$15,2,FALSE)</f>
        <v>1.2517361005045315E-4</v>
      </c>
      <c r="F75" s="34">
        <f ca="1">VLOOKUP($C75,$D$60:$Y$64,F$32,FALSE)*$D$72*$A75/8760/1000*VLOOKUP(RIGHT($D75,7),Weighting!$B$14:$C$15,2,FALSE)</f>
        <v>3.7453502337350626E-4</v>
      </c>
      <c r="G75" s="34">
        <f ca="1">VLOOKUP($C75,$D$60:$Y$64,G$32,FALSE)*$D$72*$A75/8760/1000*VLOOKUP(RIGHT($D75,7),Weighting!$B$14:$C$15,2,FALSE)</f>
        <v>8.1593516204076855E-4</v>
      </c>
      <c r="H75" s="34">
        <f ca="1">VLOOKUP($C75,$D$60:$Y$64,H$32,FALSE)*$D$72*$A75/8760/1000*VLOOKUP(RIGHT($D75,7),Weighting!$B$14:$C$15,2,FALSE)</f>
        <v>1.5318300524678416E-3</v>
      </c>
      <c r="I75" s="34">
        <f ca="1">VLOOKUP($C75,$D$60:$Y$64,I$32,FALSE)*$D$72*$A75/8760/1000*VLOOKUP(RIGHT($D75,7),Weighting!$B$14:$C$15,2,FALSE)</f>
        <v>2.6153184799799787E-3</v>
      </c>
      <c r="J75" s="34">
        <f ca="1">VLOOKUP($C75,$D$60:$Y$64,J$32,FALSE)*$D$72*$A75/8760/1000*VLOOKUP(RIGHT($D75,7),Weighting!$B$14:$C$15,2,FALSE)</f>
        <v>4.1626134127568139E-3</v>
      </c>
      <c r="K75" s="34">
        <f ca="1">VLOOKUP($C75,$D$60:$Y$64,K$32,FALSE)*$D$72*$A75/8760/1000*VLOOKUP(RIGHT($D75,7),Weighting!$B$14:$C$15,2,FALSE)</f>
        <v>6.2611877163079857E-3</v>
      </c>
      <c r="L75" s="34">
        <f ca="1">VLOOKUP($C75,$D$60:$Y$64,L$32,FALSE)*$D$72*$A75/8760/1000*VLOOKUP(RIGHT($D75,7),Weighting!$B$14:$C$15,2,FALSE)</f>
        <v>8.9735283725116896E-3</v>
      </c>
      <c r="M75" s="34">
        <f ca="1">VLOOKUP($C75,$D$60:$Y$64,M$32,FALSE)*$D$72*$A75/8760/1000*VLOOKUP(RIGHT($D75,7),Weighting!$B$14:$C$15,2,FALSE)</f>
        <v>1.2317776613668356E-2</v>
      </c>
      <c r="N75" s="34">
        <f ca="1">VLOOKUP($C75,$D$60:$Y$64,N$32,FALSE)*$D$72*$A75/8760/1000*VLOOKUP(RIGHT($D75,7),Weighting!$B$14:$C$15,2,FALSE)</f>
        <v>1.6248488212388081E-2</v>
      </c>
      <c r="O75" s="34">
        <f ca="1">VLOOKUP($C75,$D$60:$Y$64,O$32,FALSE)*$D$72*$A75/8760/1000*VLOOKUP(RIGHT($D75,7),Weighting!$B$14:$C$15,2,FALSE)</f>
        <v>2.0642890620072921E-2</v>
      </c>
      <c r="P75" s="34">
        <f ca="1">VLOOKUP($C75,$D$60:$Y$64,P$32,FALSE)*$D$72*$A75/8760/1000*VLOOKUP(RIGHT($D75,7),Weighting!$B$14:$C$15,2,FALSE)</f>
        <v>2.529937851376423E-2</v>
      </c>
      <c r="Q75" s="34">
        <f ca="1">VLOOKUP($C75,$D$60:$Y$64,Q$32,FALSE)*$D$72*$A75/8760/1000*VLOOKUP(RIGHT($D75,7),Weighting!$B$14:$C$15,2,FALSE)</f>
        <v>2.9954203563975716E-2</v>
      </c>
      <c r="R75" s="34">
        <f ca="1">VLOOKUP($C75,$D$60:$Y$64,R$32,FALSE)*$D$72*$A75/8760/1000*VLOOKUP(RIGHT($D75,7),Weighting!$B$14:$C$15,2,FALSE)</f>
        <v>3.4318210387133369E-2</v>
      </c>
      <c r="S75" s="34">
        <f ca="1">VLOOKUP($C75,$D$60:$Y$64,S$32,FALSE)*$D$72*$A75/8760/1000*VLOOKUP(RIGHT($D75,7),Weighting!$B$14:$C$15,2,FALSE)</f>
        <v>3.812817492850451E-2</v>
      </c>
      <c r="T75" s="34">
        <f ca="1">VLOOKUP($C75,$D$60:$Y$64,T$32,FALSE)*$D$72*$A75/8760/1000*VLOOKUP(RIGHT($D75,7),Weighting!$B$14:$C$15,2,FALSE)</f>
        <v>4.6054954267549075E-2</v>
      </c>
      <c r="U75" s="34">
        <f ca="1">VLOOKUP($C75,$D$60:$Y$64,U$32,FALSE)*$D$72*$A75/8760/1000*VLOOKUP(RIGHT($D75,7),Weighting!$B$14:$C$15,2,FALSE)</f>
        <v>4.8368624072583778E-2</v>
      </c>
      <c r="V75" s="34">
        <f ca="1">VLOOKUP($C75,$D$60:$Y$64,V$32,FALSE)*$D$72*$A75/8760/1000*VLOOKUP(RIGHT($D75,7),Weighting!$B$14:$C$15,2,FALSE)</f>
        <v>4.9778542188878665E-2</v>
      </c>
      <c r="W75" s="34">
        <f ca="1">VLOOKUP($C75,$D$60:$Y$64,W$32,FALSE)*$D$72*$A75/8760/1000*VLOOKUP(RIGHT($D75,7),Weighting!$B$14:$C$15,2,FALSE)</f>
        <v>5.0590448513176074E-2</v>
      </c>
      <c r="X75" s="34">
        <f ca="1">VLOOKUP($C75,$D$60:$Y$64,X$32,FALSE)*$D$72*$A75/8760/1000*VLOOKUP(RIGHT($D75,7),Weighting!$B$14:$C$15,2,FALSE)</f>
        <v>5.0862160315235744E-2</v>
      </c>
      <c r="Y75" s="34">
        <f ca="1">(VLOOKUP($C75,$D$43:$Z$46,Y$32+1,FALSE)+VLOOKUP($C75,$D$51:$Z$54,$Y$32+1,FALSE))*$D$72*$A75/8760/1000*VLOOKUP(RIGHT($D75,7),Weighting!$B$14:$C$15,2,FALSE)</f>
        <v>0.726720296998695</v>
      </c>
      <c r="Z75" s="9"/>
      <c r="AA75" s="34">
        <f t="shared" ref="AA75:AA76" ca="1" si="25">SUM(E75:X75)</f>
        <v>0.44742397402641954</v>
      </c>
      <c r="AB75" s="48"/>
    </row>
    <row r="76" spans="1:28" customFormat="1">
      <c r="A76" s="57">
        <f>VLOOKUP($D76,MeasureOutput,3,FALSE)</f>
        <v>2554.7951225840852</v>
      </c>
      <c r="B76" s="57">
        <f>VLOOKUP($D76,MeasureOutput,11,FALSE)</f>
        <v>169.78149233545739</v>
      </c>
      <c r="C76" s="9" t="str">
        <f>C75</f>
        <v>Single Family</v>
      </c>
      <c r="D76" s="9" t="s">
        <v>1176</v>
      </c>
      <c r="E76" s="34">
        <f ca="1">VLOOKUP($C76,$D$60:$Y$64,E$32,FALSE)*$D$72*$A76/8760/1000*VLOOKUP(RIGHT($D76,7),Weighting!$B$14:$C$15,2,FALSE)</f>
        <v>4.7703638614783319E-3</v>
      </c>
      <c r="F76" s="34">
        <f ca="1">VLOOKUP($C76,$D$60:$Y$64,F$32,FALSE)*$D$72*$A76/8760/1000*VLOOKUP(RIGHT($D76,7),Weighting!$B$14:$C$15,2,FALSE)</f>
        <v>1.4273522507170421E-2</v>
      </c>
      <c r="G76" s="34">
        <f ca="1">VLOOKUP($C76,$D$60:$Y$64,G$32,FALSE)*$D$72*$A76/8760/1000*VLOOKUP(RIGHT($D76,7),Weighting!$B$14:$C$15,2,FALSE)</f>
        <v>3.1095273266784393E-2</v>
      </c>
      <c r="H76" s="34">
        <f ca="1">VLOOKUP($C76,$D$60:$Y$64,H$32,FALSE)*$D$72*$A76/8760/1000*VLOOKUP(RIGHT($D76,7),Weighting!$B$14:$C$15,2,FALSE)</f>
        <v>5.8378013714501756E-2</v>
      </c>
      <c r="I76" s="34">
        <f ca="1">VLOOKUP($C76,$D$60:$Y$64,I$32,FALSE)*$D$72*$A76/8760/1000*VLOOKUP(RIGHT($D76,7),Weighting!$B$14:$C$15,2,FALSE)</f>
        <v>9.9669736761001632E-2</v>
      </c>
      <c r="J76" s="34">
        <f ca="1">VLOOKUP($C76,$D$60:$Y$64,J$32,FALSE)*$D$72*$A76/8760/1000*VLOOKUP(RIGHT($D76,7),Weighting!$B$14:$C$15,2,FALSE)</f>
        <v>0.15863711676539766</v>
      </c>
      <c r="K76" s="34">
        <f ca="1">VLOOKUP($C76,$D$60:$Y$64,K$32,FALSE)*$D$72*$A76/8760/1000*VLOOKUP(RIGHT($D76,7),Weighting!$B$14:$C$15,2,FALSE)</f>
        <v>0.23861374294285231</v>
      </c>
      <c r="L76" s="34">
        <f ca="1">VLOOKUP($C76,$D$60:$Y$64,L$32,FALSE)*$D$72*$A76/8760/1000*VLOOKUP(RIGHT($D76,7),Weighting!$B$14:$C$15,2,FALSE)</f>
        <v>0.34198099296589934</v>
      </c>
      <c r="M76" s="34">
        <f ca="1">VLOOKUP($C76,$D$60:$Y$64,M$32,FALSE)*$D$72*$A76/8760/1000*VLOOKUP(RIGHT($D76,7),Weighting!$B$14:$C$15,2,FALSE)</f>
        <v>0.46943022884713675</v>
      </c>
      <c r="N76" s="34">
        <f ca="1">VLOOKUP($C76,$D$60:$Y$64,N$32,FALSE)*$D$72*$A76/8760/1000*VLOOKUP(RIGHT($D76,7),Weighting!$B$14:$C$15,2,FALSE)</f>
        <v>0.61922957195842399</v>
      </c>
      <c r="O76" s="34">
        <f ca="1">VLOOKUP($C76,$D$60:$Y$64,O$32,FALSE)*$D$72*$A76/8760/1000*VLOOKUP(RIGHT($D76,7),Weighting!$B$14:$C$15,2,FALSE)</f>
        <v>0.78670016284386457</v>
      </c>
      <c r="P76" s="34">
        <f ca="1">VLOOKUP($C76,$D$60:$Y$64,P$32,FALSE)*$D$72*$A76/8760/1000*VLOOKUP(RIGHT($D76,7),Weighting!$B$14:$C$15,2,FALSE)</f>
        <v>0.96415882653921581</v>
      </c>
      <c r="Q76" s="34">
        <f ca="1">VLOOKUP($C76,$D$60:$Y$64,Q$32,FALSE)*$D$72*$A76/8760/1000*VLOOKUP(RIGHT($D76,7),Weighting!$B$14:$C$15,2,FALSE)</f>
        <v>1.1415541193016661</v>
      </c>
      <c r="R76" s="34">
        <f ca="1">VLOOKUP($C76,$D$60:$Y$64,R$32,FALSE)*$D$72*$A76/8760/1000*VLOOKUP(RIGHT($D76,7),Weighting!$B$14:$C$15,2,FALSE)</f>
        <v>1.3078663350478221</v>
      </c>
      <c r="S76" s="34">
        <f ca="1">VLOOKUP($C76,$D$60:$Y$64,S$32,FALSE)*$D$72*$A76/8760/1000*VLOOKUP(RIGHT($D76,7),Weighting!$B$14:$C$15,2,FALSE)</f>
        <v>1.4530640101356069</v>
      </c>
      <c r="T76" s="34">
        <f ca="1">VLOOKUP($C76,$D$60:$Y$64,T$32,FALSE)*$D$72*$A76/8760/1000*VLOOKUP(RIGHT($D76,7),Weighting!$B$14:$C$15,2,FALSE)</f>
        <v>1.7551534176524939</v>
      </c>
      <c r="U76" s="34">
        <f ca="1">VLOOKUP($C76,$D$60:$Y$64,U$32,FALSE)*$D$72*$A76/8760/1000*VLOOKUP(RIGHT($D76,7),Weighting!$B$14:$C$15,2,FALSE)</f>
        <v>1.8433273292372325</v>
      </c>
      <c r="V76" s="34">
        <f ca="1">VLOOKUP($C76,$D$60:$Y$64,V$32,FALSE)*$D$72*$A76/8760/1000*VLOOKUP(RIGHT($D76,7),Weighting!$B$14:$C$15,2,FALSE)</f>
        <v>1.8970592814187324</v>
      </c>
      <c r="W76" s="34">
        <f ca="1">VLOOKUP($C76,$D$60:$Y$64,W$32,FALSE)*$D$72*$A76/8760/1000*VLOOKUP(RIGHT($D76,7),Weighting!$B$14:$C$15,2,FALSE)</f>
        <v>1.9280010157569285</v>
      </c>
      <c r="X76" s="34">
        <f ca="1">VLOOKUP($C76,$D$60:$Y$64,X$32,FALSE)*$D$72*$A76/8760/1000*VLOOKUP(RIGHT($D76,7),Weighting!$B$14:$C$15,2,FALSE)</f>
        <v>1.9383559472857086</v>
      </c>
      <c r="Y76" s="34">
        <f ca="1">(VLOOKUP($C76,$D$43:$Z$46,Y$32+1,FALSE)+VLOOKUP($C76,$D$51:$Z$54,$Y$32+1,FALSE))*$D$72*$A76/8760/1000*VLOOKUP(RIGHT($D76,7),Weighting!$B$14:$C$15,2,FALSE)</f>
        <v>27.695296483085055</v>
      </c>
      <c r="Z76" s="9"/>
      <c r="AA76" s="34">
        <f t="shared" ca="1" si="25"/>
        <v>17.051319008809916</v>
      </c>
      <c r="AB76" s="48"/>
    </row>
    <row r="77" spans="1:28" customFormat="1">
      <c r="A77" s="57"/>
      <c r="B77" s="57"/>
      <c r="C77" s="9"/>
      <c r="D77" s="9"/>
      <c r="E77" s="34"/>
      <c r="F77" s="34"/>
      <c r="G77" s="34"/>
      <c r="H77" s="34"/>
      <c r="I77" s="34"/>
      <c r="J77" s="34"/>
      <c r="K77" s="34"/>
      <c r="L77" s="34"/>
      <c r="M77" s="34"/>
      <c r="N77" s="34"/>
      <c r="O77" s="34"/>
      <c r="P77" s="34"/>
      <c r="Q77" s="34"/>
      <c r="R77" s="34"/>
      <c r="S77" s="34"/>
      <c r="T77" s="34"/>
      <c r="U77" s="34"/>
      <c r="V77" s="34"/>
      <c r="W77" s="34"/>
      <c r="X77" s="34"/>
      <c r="Y77" s="34"/>
      <c r="Z77" s="9"/>
      <c r="AA77" s="34"/>
      <c r="AB77" s="48"/>
    </row>
    <row r="78" spans="1:28" customFormat="1">
      <c r="A78" s="9"/>
      <c r="B78" s="9"/>
      <c r="C78" s="9"/>
      <c r="D78" s="9"/>
      <c r="E78" s="9"/>
      <c r="F78" s="9"/>
      <c r="G78" s="9"/>
      <c r="H78" s="9"/>
      <c r="I78" s="9"/>
      <c r="J78" s="9"/>
      <c r="K78" s="9"/>
      <c r="L78" s="9"/>
      <c r="M78" s="9"/>
      <c r="N78" s="9"/>
      <c r="O78" s="9"/>
      <c r="P78" s="9"/>
      <c r="Q78" s="9"/>
      <c r="R78" s="9"/>
      <c r="S78" s="9"/>
      <c r="T78" s="9"/>
      <c r="U78" s="9"/>
      <c r="V78" s="9"/>
      <c r="W78" s="9"/>
      <c r="X78" s="9"/>
      <c r="Y78" s="9"/>
      <c r="Z78" s="9"/>
      <c r="AA78" s="9"/>
      <c r="AB78" s="9"/>
    </row>
    <row r="79" spans="1:28" customFormat="1">
      <c r="A79" s="9"/>
      <c r="B79" s="67">
        <f ca="1">SUMPRODUCT(B74:B77,AA74:AA77)/AA79</f>
        <v>170.08241137743784</v>
      </c>
      <c r="C79" s="9"/>
      <c r="D79" s="48"/>
      <c r="E79" s="39">
        <f ca="1">SUM(E74:E77)</f>
        <v>4.8955374715287849E-3</v>
      </c>
      <c r="F79" s="39">
        <f t="shared" ref="F79:Y79" ca="1" si="26">SUM(F74:F77)</f>
        <v>1.4648057530543927E-2</v>
      </c>
      <c r="G79" s="39">
        <f t="shared" ca="1" si="26"/>
        <v>3.1911208428825159E-2</v>
      </c>
      <c r="H79" s="39">
        <f t="shared" ca="1" si="26"/>
        <v>5.9909843766969596E-2</v>
      </c>
      <c r="I79" s="39">
        <f t="shared" ca="1" si="26"/>
        <v>0.10228505524098161</v>
      </c>
      <c r="J79" s="39">
        <f t="shared" ca="1" si="26"/>
        <v>0.16279973017815447</v>
      </c>
      <c r="K79" s="39">
        <f t="shared" ca="1" si="26"/>
        <v>0.2448749306591603</v>
      </c>
      <c r="L79" s="39">
        <f t="shared" ca="1" si="26"/>
        <v>0.35095452133841104</v>
      </c>
      <c r="M79" s="39">
        <f t="shared" ca="1" si="26"/>
        <v>0.4817480054608051</v>
      </c>
      <c r="N79" s="39">
        <f t="shared" ca="1" si="26"/>
        <v>0.6354780601708121</v>
      </c>
      <c r="O79" s="39">
        <f t="shared" ca="1" si="26"/>
        <v>0.80734305346393753</v>
      </c>
      <c r="P79" s="39">
        <f t="shared" ca="1" si="26"/>
        <v>0.98945820505297999</v>
      </c>
      <c r="Q79" s="39">
        <f t="shared" ca="1" si="26"/>
        <v>1.1715083228656418</v>
      </c>
      <c r="R79" s="39">
        <f t="shared" ca="1" si="26"/>
        <v>1.3421845454349555</v>
      </c>
      <c r="S79" s="39">
        <f t="shared" ca="1" si="26"/>
        <v>1.4911921850641114</v>
      </c>
      <c r="T79" s="39">
        <f t="shared" ca="1" si="26"/>
        <v>1.8012083719200429</v>
      </c>
      <c r="U79" s="39">
        <f t="shared" ca="1" si="26"/>
        <v>1.8916959533098163</v>
      </c>
      <c r="V79" s="39">
        <f t="shared" ca="1" si="26"/>
        <v>1.9468378236076109</v>
      </c>
      <c r="W79" s="39">
        <f t="shared" ca="1" si="26"/>
        <v>1.9785914642701046</v>
      </c>
      <c r="X79" s="39">
        <f ca="1">SUM(X74:X77)</f>
        <v>1.9892181076009443</v>
      </c>
      <c r="Y79" s="39">
        <f t="shared" ca="1" si="26"/>
        <v>28.422016780083752</v>
      </c>
      <c r="Z79" s="39"/>
      <c r="AA79" s="39">
        <f ca="1">SUM(E79:X79)</f>
        <v>17.498742982836337</v>
      </c>
      <c r="AB79" s="34"/>
    </row>
    <row r="80" spans="1:28" customFormat="1">
      <c r="A80" s="9"/>
      <c r="B80" s="9"/>
      <c r="C80" s="9"/>
      <c r="D80" s="9"/>
      <c r="E80" s="9"/>
      <c r="F80" s="9"/>
      <c r="G80" s="9"/>
      <c r="H80" s="9"/>
      <c r="I80" s="9"/>
      <c r="J80" s="9"/>
      <c r="K80" s="9"/>
      <c r="L80" s="9"/>
      <c r="M80" s="9"/>
      <c r="N80" s="9"/>
      <c r="O80" s="9"/>
      <c r="P80" s="9"/>
      <c r="Q80" s="9"/>
      <c r="R80" s="9"/>
      <c r="S80" s="9"/>
      <c r="T80" s="9"/>
      <c r="U80" s="9"/>
      <c r="V80" s="9"/>
      <c r="W80" s="9"/>
      <c r="X80" s="9"/>
      <c r="Y80" s="9"/>
      <c r="Z80" s="9"/>
      <c r="AA80" s="9"/>
      <c r="AB80" s="9"/>
    </row>
    <row r="81" spans="1:28" customFormat="1">
      <c r="A81" s="9"/>
      <c r="B81" s="9"/>
      <c r="C81" s="9"/>
      <c r="D81" s="9"/>
      <c r="E81" s="9"/>
      <c r="F81" s="9"/>
      <c r="G81" s="9"/>
      <c r="H81" s="9"/>
      <c r="I81" s="9"/>
      <c r="J81" s="9"/>
      <c r="K81" s="9"/>
      <c r="L81" s="9"/>
      <c r="M81" s="9"/>
      <c r="N81" s="9"/>
      <c r="O81" s="9"/>
      <c r="P81" s="9"/>
      <c r="Q81" s="9"/>
      <c r="R81" s="9"/>
      <c r="S81" s="9"/>
      <c r="T81" s="9"/>
      <c r="U81" s="9"/>
      <c r="V81" s="9"/>
      <c r="W81" s="9"/>
      <c r="X81" s="9"/>
      <c r="Y81" s="9"/>
      <c r="Z81" s="9"/>
      <c r="AA81" s="9"/>
      <c r="AB81" s="9"/>
    </row>
    <row r="82" spans="1:28" customFormat="1" ht="15">
      <c r="A82" s="55" t="s">
        <v>66</v>
      </c>
      <c r="B82" s="9"/>
      <c r="C82" s="9"/>
      <c r="D82" s="9"/>
      <c r="E82" s="9"/>
      <c r="F82" s="9"/>
      <c r="G82" s="9"/>
      <c r="H82" s="9"/>
      <c r="I82" s="9"/>
      <c r="J82" s="9"/>
      <c r="K82" s="9"/>
      <c r="L82" s="9"/>
      <c r="M82" s="9"/>
      <c r="N82" s="9"/>
      <c r="O82" s="9"/>
      <c r="P82" s="9"/>
      <c r="Q82" s="9"/>
      <c r="R82" s="9"/>
      <c r="S82" s="9"/>
      <c r="T82" s="9"/>
      <c r="U82" s="9"/>
      <c r="V82" s="9"/>
      <c r="W82" s="9"/>
      <c r="X82" s="9"/>
      <c r="Y82" s="9"/>
      <c r="Z82" s="9"/>
      <c r="AA82" s="9"/>
      <c r="AB82" s="9"/>
    </row>
    <row r="83" spans="1:28" customFormat="1" ht="15">
      <c r="A83" s="9"/>
      <c r="B83" s="9"/>
      <c r="C83" s="9"/>
      <c r="D83" s="9"/>
      <c r="E83" s="58">
        <f t="shared" ref="E83:X83" si="27">E11</f>
        <v>2016</v>
      </c>
      <c r="F83" s="59">
        <f t="shared" si="27"/>
        <v>2017</v>
      </c>
      <c r="G83" s="59">
        <f t="shared" si="27"/>
        <v>2018</v>
      </c>
      <c r="H83" s="59">
        <f t="shared" si="27"/>
        <v>2019</v>
      </c>
      <c r="I83" s="59">
        <f t="shared" si="27"/>
        <v>2020</v>
      </c>
      <c r="J83" s="59">
        <f t="shared" si="27"/>
        <v>2021</v>
      </c>
      <c r="K83" s="59">
        <f t="shared" si="27"/>
        <v>2022</v>
      </c>
      <c r="L83" s="59">
        <f t="shared" si="27"/>
        <v>2023</v>
      </c>
      <c r="M83" s="59">
        <f t="shared" si="27"/>
        <v>2024</v>
      </c>
      <c r="N83" s="59">
        <f t="shared" si="27"/>
        <v>2025</v>
      </c>
      <c r="O83" s="59">
        <f t="shared" si="27"/>
        <v>2026</v>
      </c>
      <c r="P83" s="59">
        <f t="shared" si="27"/>
        <v>2027</v>
      </c>
      <c r="Q83" s="59">
        <f t="shared" si="27"/>
        <v>2028</v>
      </c>
      <c r="R83" s="59">
        <f t="shared" si="27"/>
        <v>2029</v>
      </c>
      <c r="S83" s="59">
        <f t="shared" si="27"/>
        <v>2030</v>
      </c>
      <c r="T83" s="59">
        <f t="shared" si="27"/>
        <v>2031</v>
      </c>
      <c r="U83" s="59">
        <f t="shared" si="27"/>
        <v>2032</v>
      </c>
      <c r="V83" s="59">
        <f t="shared" si="27"/>
        <v>2033</v>
      </c>
      <c r="W83" s="59">
        <f t="shared" si="27"/>
        <v>2034</v>
      </c>
      <c r="X83" s="59">
        <f t="shared" si="27"/>
        <v>2035</v>
      </c>
      <c r="Y83" s="60" t="s">
        <v>59</v>
      </c>
      <c r="Z83" s="9"/>
      <c r="AA83" s="9"/>
      <c r="AB83" s="9"/>
    </row>
    <row r="84" spans="1:28" customFormat="1" ht="15">
      <c r="A84" s="9"/>
      <c r="B84" s="9"/>
      <c r="C84" s="49" t="s">
        <v>63</v>
      </c>
      <c r="D84" s="49" t="s">
        <v>63</v>
      </c>
      <c r="E84" s="61" t="str">
        <f>CONCATENATE("aMW_",E$11)</f>
        <v>aMW_2016</v>
      </c>
      <c r="F84" s="62" t="str">
        <f t="shared" ref="F84:X84" si="28">CONCATENATE("aMW_",F$11)</f>
        <v>aMW_2017</v>
      </c>
      <c r="G84" s="62" t="str">
        <f t="shared" si="28"/>
        <v>aMW_2018</v>
      </c>
      <c r="H84" s="62" t="str">
        <f t="shared" si="28"/>
        <v>aMW_2019</v>
      </c>
      <c r="I84" s="62" t="str">
        <f t="shared" si="28"/>
        <v>aMW_2020</v>
      </c>
      <c r="J84" s="62" t="str">
        <f t="shared" si="28"/>
        <v>aMW_2021</v>
      </c>
      <c r="K84" s="62" t="str">
        <f t="shared" si="28"/>
        <v>aMW_2022</v>
      </c>
      <c r="L84" s="62" t="str">
        <f t="shared" si="28"/>
        <v>aMW_2023</v>
      </c>
      <c r="M84" s="62" t="str">
        <f t="shared" si="28"/>
        <v>aMW_2024</v>
      </c>
      <c r="N84" s="62" t="str">
        <f t="shared" si="28"/>
        <v>aMW_2025</v>
      </c>
      <c r="O84" s="62" t="str">
        <f t="shared" si="28"/>
        <v>aMW_2026</v>
      </c>
      <c r="P84" s="62" t="str">
        <f t="shared" si="28"/>
        <v>aMW_2027</v>
      </c>
      <c r="Q84" s="62" t="str">
        <f t="shared" si="28"/>
        <v>aMW_2028</v>
      </c>
      <c r="R84" s="62" t="str">
        <f t="shared" si="28"/>
        <v>aMW_2029</v>
      </c>
      <c r="S84" s="62" t="str">
        <f t="shared" si="28"/>
        <v>aMW_2030</v>
      </c>
      <c r="T84" s="62" t="str">
        <f t="shared" si="28"/>
        <v>aMW_2031</v>
      </c>
      <c r="U84" s="62" t="str">
        <f t="shared" si="28"/>
        <v>aMW_2032</v>
      </c>
      <c r="V84" s="62" t="str">
        <f t="shared" si="28"/>
        <v>aMW_2033</v>
      </c>
      <c r="W84" s="62" t="str">
        <f t="shared" si="28"/>
        <v>aMW_2034</v>
      </c>
      <c r="X84" s="62" t="str">
        <f t="shared" si="28"/>
        <v>aMW_2035</v>
      </c>
      <c r="Y84" s="63" t="s">
        <v>59</v>
      </c>
      <c r="Z84" s="9"/>
      <c r="AA84" s="9"/>
      <c r="AB84" s="9"/>
    </row>
    <row r="85" spans="1:28" customFormat="1">
      <c r="A85" s="9"/>
      <c r="B85" s="9" t="s">
        <v>67</v>
      </c>
      <c r="C85" s="50" t="s">
        <v>68</v>
      </c>
      <c r="D85" s="50" t="s">
        <v>69</v>
      </c>
      <c r="E85" s="39">
        <f>DSUM($B$73:$Y$77,E$73,$C$84:$D85)</f>
        <v>0</v>
      </c>
      <c r="F85" s="39">
        <f>DSUM($B$73:$Y$77,F$73,$C$84:$D85)</f>
        <v>0</v>
      </c>
      <c r="G85" s="39">
        <f>DSUM($B$73:$Y$77,G$73,$C$84:$D85)</f>
        <v>0</v>
      </c>
      <c r="H85" s="39">
        <f>DSUM($B$73:$Y$77,H$73,$C$84:$D85)</f>
        <v>0</v>
      </c>
      <c r="I85" s="39">
        <f>DSUM($B$73:$Y$77,I$73,$C$84:$D85)</f>
        <v>0</v>
      </c>
      <c r="J85" s="39">
        <f>DSUM($B$73:$Y$77,J$73,$C$84:$D85)</f>
        <v>0</v>
      </c>
      <c r="K85" s="39">
        <f>DSUM($B$73:$Y$77,K$73,$C$84:$D85)</f>
        <v>0</v>
      </c>
      <c r="L85" s="39">
        <f>DSUM($B$73:$Y$77,L$73,$C$84:$D85)</f>
        <v>0</v>
      </c>
      <c r="M85" s="39">
        <f>DSUM($B$73:$Y$77,M$73,$C$84:$D85)</f>
        <v>0</v>
      </c>
      <c r="N85" s="39">
        <f>DSUM($B$73:$Y$77,N$73,$C$84:$D85)</f>
        <v>0</v>
      </c>
      <c r="O85" s="39">
        <f>DSUM($B$73:$Y$77,O$73,$C$84:$D85)</f>
        <v>0</v>
      </c>
      <c r="P85" s="39">
        <f>DSUM($B$73:$Y$77,P$73,$C$84:$D85)</f>
        <v>0</v>
      </c>
      <c r="Q85" s="39">
        <f>DSUM($B$73:$Y$77,Q$73,$C$84:$D85)</f>
        <v>0</v>
      </c>
      <c r="R85" s="39">
        <f>DSUM($B$73:$Y$77,R$73,$C$84:$D85)</f>
        <v>0</v>
      </c>
      <c r="S85" s="39">
        <f>DSUM($B$73:$Y$77,S$73,$C$84:$D85)</f>
        <v>0</v>
      </c>
      <c r="T85" s="39">
        <f>DSUM($B$73:$Y$77,T$73,$C$84:$D85)</f>
        <v>0</v>
      </c>
      <c r="U85" s="39">
        <f>DSUM($B$73:$Y$77,U$73,$C$84:$D85)</f>
        <v>0</v>
      </c>
      <c r="V85" s="39">
        <f>DSUM($B$73:$Y$77,V$73,$C$84:$D85)</f>
        <v>0</v>
      </c>
      <c r="W85" s="39">
        <f>DSUM($B$73:$Y$77,W$73,$C$84:$D85)</f>
        <v>0</v>
      </c>
      <c r="X85" s="39">
        <f>DSUM($B$73:$Y$77,X$73,$C$84:$D85)</f>
        <v>0</v>
      </c>
      <c r="Y85" s="39">
        <f>DSUM($B$73:$Y$77,Y$73,$C$84:$D85)</f>
        <v>0</v>
      </c>
      <c r="Z85" s="9"/>
      <c r="AA85" s="9"/>
      <c r="AB85" s="9"/>
    </row>
    <row r="86" spans="1:28" customFormat="1">
      <c r="A86" s="9"/>
      <c r="B86" s="9" t="s">
        <v>205</v>
      </c>
      <c r="C86" s="50" t="s">
        <v>70</v>
      </c>
      <c r="D86" s="50" t="s">
        <v>71</v>
      </c>
      <c r="E86" s="39">
        <f>DSUM($B$73:$Y$77,E$73,$C$84:$D86)</f>
        <v>0</v>
      </c>
      <c r="F86" s="39">
        <f>DSUM($B$73:$Y$77,F$73,$C$84:$D86)</f>
        <v>0</v>
      </c>
      <c r="G86" s="39">
        <f>DSUM($B$73:$Y$77,G$73,$C$84:$D86)</f>
        <v>0</v>
      </c>
      <c r="H86" s="39">
        <f>DSUM($B$73:$Y$77,H$73,$C$84:$D86)</f>
        <v>0</v>
      </c>
      <c r="I86" s="39">
        <f>DSUM($B$73:$Y$77,I$73,$C$84:$D86)</f>
        <v>0</v>
      </c>
      <c r="J86" s="39">
        <f>DSUM($B$73:$Y$77,J$73,$C$84:$D86)</f>
        <v>0</v>
      </c>
      <c r="K86" s="39">
        <f>DSUM($B$73:$Y$77,K$73,$C$84:$D86)</f>
        <v>0</v>
      </c>
      <c r="L86" s="39">
        <f>DSUM($B$73:$Y$77,L$73,$C$84:$D86)</f>
        <v>0</v>
      </c>
      <c r="M86" s="39">
        <f>DSUM($B$73:$Y$77,M$73,$C$84:$D86)</f>
        <v>0</v>
      </c>
      <c r="N86" s="39">
        <f>DSUM($B$73:$Y$77,N$73,$C$84:$D86)</f>
        <v>0</v>
      </c>
      <c r="O86" s="39">
        <f>DSUM($B$73:$Y$77,O$73,$C$84:$D86)</f>
        <v>0</v>
      </c>
      <c r="P86" s="39">
        <f>DSUM($B$73:$Y$77,P$73,$C$84:$D86)</f>
        <v>0</v>
      </c>
      <c r="Q86" s="39">
        <f>DSUM($B$73:$Y$77,Q$73,$C$84:$D86)</f>
        <v>0</v>
      </c>
      <c r="R86" s="39">
        <f>DSUM($B$73:$Y$77,R$73,$C$84:$D86)</f>
        <v>0</v>
      </c>
      <c r="S86" s="39">
        <f>DSUM($B$73:$Y$77,S$73,$C$84:$D86)</f>
        <v>0</v>
      </c>
      <c r="T86" s="39">
        <f>DSUM($B$73:$Y$77,T$73,$C$84:$D86)</f>
        <v>0</v>
      </c>
      <c r="U86" s="39">
        <f>DSUM($B$73:$Y$77,U$73,$C$84:$D86)</f>
        <v>0</v>
      </c>
      <c r="V86" s="39">
        <f>DSUM($B$73:$Y$77,V$73,$C$84:$D86)</f>
        <v>0</v>
      </c>
      <c r="W86" s="39">
        <f>DSUM($B$73:$Y$77,W$73,$C$84:$D86)</f>
        <v>0</v>
      </c>
      <c r="X86" s="39">
        <f>DSUM($B$73:$Y$77,X$73,$C$84:$D86)</f>
        <v>0</v>
      </c>
      <c r="Y86" s="39">
        <f>DSUM($B$73:$Y$77,Y$73,$C$84:$D86)</f>
        <v>0</v>
      </c>
      <c r="Z86" s="9"/>
      <c r="AA86" s="9"/>
      <c r="AB86" s="9"/>
    </row>
    <row r="87" spans="1:28" customFormat="1">
      <c r="A87" s="9"/>
      <c r="B87" s="9" t="s">
        <v>72</v>
      </c>
      <c r="C87" s="50" t="s">
        <v>73</v>
      </c>
      <c r="D87" s="50" t="s">
        <v>74</v>
      </c>
      <c r="E87" s="39">
        <f>DSUM($B$73:$Y$77,E$73,$C$84:$D87)</f>
        <v>0</v>
      </c>
      <c r="F87" s="39">
        <f>DSUM($B$73:$Y$77,F$73,$C$84:$D87)</f>
        <v>0</v>
      </c>
      <c r="G87" s="39">
        <f>DSUM($B$73:$Y$77,G$73,$C$84:$D87)</f>
        <v>0</v>
      </c>
      <c r="H87" s="39">
        <f>DSUM($B$73:$Y$77,H$73,$C$84:$D87)</f>
        <v>0</v>
      </c>
      <c r="I87" s="39">
        <f>DSUM($B$73:$Y$77,I$73,$C$84:$D87)</f>
        <v>0</v>
      </c>
      <c r="J87" s="39">
        <f>DSUM($B$73:$Y$77,J$73,$C$84:$D87)</f>
        <v>0</v>
      </c>
      <c r="K87" s="39">
        <f>DSUM($B$73:$Y$77,K$73,$C$84:$D87)</f>
        <v>0</v>
      </c>
      <c r="L87" s="39">
        <f>DSUM($B$73:$Y$77,L$73,$C$84:$D87)</f>
        <v>0</v>
      </c>
      <c r="M87" s="39">
        <f>DSUM($B$73:$Y$77,M$73,$C$84:$D87)</f>
        <v>0</v>
      </c>
      <c r="N87" s="39">
        <f>DSUM($B$73:$Y$77,N$73,$C$84:$D87)</f>
        <v>0</v>
      </c>
      <c r="O87" s="39">
        <f>DSUM($B$73:$Y$77,O$73,$C$84:$D87)</f>
        <v>0</v>
      </c>
      <c r="P87" s="39">
        <f>DSUM($B$73:$Y$77,P$73,$C$84:$D87)</f>
        <v>0</v>
      </c>
      <c r="Q87" s="39">
        <f>DSUM($B$73:$Y$77,Q$73,$C$84:$D87)</f>
        <v>0</v>
      </c>
      <c r="R87" s="39">
        <f>DSUM($B$73:$Y$77,R$73,$C$84:$D87)</f>
        <v>0</v>
      </c>
      <c r="S87" s="39">
        <f>DSUM($B$73:$Y$77,S$73,$C$84:$D87)</f>
        <v>0</v>
      </c>
      <c r="T87" s="39">
        <f>DSUM($B$73:$Y$77,T$73,$C$84:$D87)</f>
        <v>0</v>
      </c>
      <c r="U87" s="39">
        <f>DSUM($B$73:$Y$77,U$73,$C$84:$D87)</f>
        <v>0</v>
      </c>
      <c r="V87" s="39">
        <f>DSUM($B$73:$Y$77,V$73,$C$84:$D87)</f>
        <v>0</v>
      </c>
      <c r="W87" s="39">
        <f>DSUM($B$73:$Y$77,W$73,$C$84:$D87)</f>
        <v>0</v>
      </c>
      <c r="X87" s="39">
        <f>DSUM($B$73:$Y$77,X$73,$C$84:$D87)</f>
        <v>0</v>
      </c>
      <c r="Y87" s="39">
        <f>DSUM($B$73:$Y$77,Y$73,$C$84:$D87)</f>
        <v>0</v>
      </c>
      <c r="Z87" s="9"/>
      <c r="AA87" s="9"/>
      <c r="AB87" s="9"/>
    </row>
    <row r="88" spans="1:28" customFormat="1">
      <c r="A88" s="9"/>
      <c r="B88" s="9" t="s">
        <v>75</v>
      </c>
      <c r="C88" s="50" t="s">
        <v>76</v>
      </c>
      <c r="D88" s="50" t="s">
        <v>77</v>
      </c>
      <c r="E88" s="39">
        <f>DSUM($B$73:$Y$77,E$73,$C$84:$D88)</f>
        <v>0</v>
      </c>
      <c r="F88" s="39">
        <f>DSUM($B$73:$Y$77,F$73,$C$84:$D88)</f>
        <v>0</v>
      </c>
      <c r="G88" s="39">
        <f>DSUM($B$73:$Y$77,G$73,$C$84:$D88)</f>
        <v>0</v>
      </c>
      <c r="H88" s="39">
        <f>DSUM($B$73:$Y$77,H$73,$C$84:$D88)</f>
        <v>0</v>
      </c>
      <c r="I88" s="39">
        <f>DSUM($B$73:$Y$77,I$73,$C$84:$D88)</f>
        <v>0</v>
      </c>
      <c r="J88" s="39">
        <f>DSUM($B$73:$Y$77,J$73,$C$84:$D88)</f>
        <v>0</v>
      </c>
      <c r="K88" s="39">
        <f>DSUM($B$73:$Y$77,K$73,$C$84:$D88)</f>
        <v>0</v>
      </c>
      <c r="L88" s="39">
        <f>DSUM($B$73:$Y$77,L$73,$C$84:$D88)</f>
        <v>0</v>
      </c>
      <c r="M88" s="39">
        <f>DSUM($B$73:$Y$77,M$73,$C$84:$D88)</f>
        <v>0</v>
      </c>
      <c r="N88" s="39">
        <f>DSUM($B$73:$Y$77,N$73,$C$84:$D88)</f>
        <v>0</v>
      </c>
      <c r="O88" s="39">
        <f>DSUM($B$73:$Y$77,O$73,$C$84:$D88)</f>
        <v>0</v>
      </c>
      <c r="P88" s="39">
        <f>DSUM($B$73:$Y$77,P$73,$C$84:$D88)</f>
        <v>0</v>
      </c>
      <c r="Q88" s="39">
        <f>DSUM($B$73:$Y$77,Q$73,$C$84:$D88)</f>
        <v>0</v>
      </c>
      <c r="R88" s="39">
        <f>DSUM($B$73:$Y$77,R$73,$C$84:$D88)</f>
        <v>0</v>
      </c>
      <c r="S88" s="39">
        <f>DSUM($B$73:$Y$77,S$73,$C$84:$D88)</f>
        <v>0</v>
      </c>
      <c r="T88" s="39">
        <f>DSUM($B$73:$Y$77,T$73,$C$84:$D88)</f>
        <v>0</v>
      </c>
      <c r="U88" s="39">
        <f>DSUM($B$73:$Y$77,U$73,$C$84:$D88)</f>
        <v>0</v>
      </c>
      <c r="V88" s="39">
        <f>DSUM($B$73:$Y$77,V$73,$C$84:$D88)</f>
        <v>0</v>
      </c>
      <c r="W88" s="39">
        <f>DSUM($B$73:$Y$77,W$73,$C$84:$D88)</f>
        <v>0</v>
      </c>
      <c r="X88" s="39">
        <f>DSUM($B$73:$Y$77,X$73,$C$84:$D88)</f>
        <v>0</v>
      </c>
      <c r="Y88" s="39">
        <f>DSUM($B$73:$Y$77,Y$73,$C$84:$D88)</f>
        <v>0</v>
      </c>
      <c r="Z88" s="9"/>
      <c r="AA88" s="9"/>
      <c r="AB88" s="9"/>
    </row>
    <row r="89" spans="1:28" customFormat="1">
      <c r="A89" s="9"/>
      <c r="B89" s="9" t="s">
        <v>78</v>
      </c>
      <c r="C89" s="50" t="s">
        <v>79</v>
      </c>
      <c r="D89" s="50" t="s">
        <v>80</v>
      </c>
      <c r="E89" s="39">
        <f>DSUM($B$73:$Y$77,E$73,$C$84:$D89)</f>
        <v>0</v>
      </c>
      <c r="F89" s="39">
        <f>DSUM($B$73:$Y$77,F$73,$C$84:$D89)</f>
        <v>0</v>
      </c>
      <c r="G89" s="39">
        <f>DSUM($B$73:$Y$77,G$73,$C$84:$D89)</f>
        <v>0</v>
      </c>
      <c r="H89" s="39">
        <f>DSUM($B$73:$Y$77,H$73,$C$84:$D89)</f>
        <v>0</v>
      </c>
      <c r="I89" s="39">
        <f>DSUM($B$73:$Y$77,I$73,$C$84:$D89)</f>
        <v>0</v>
      </c>
      <c r="J89" s="39">
        <f>DSUM($B$73:$Y$77,J$73,$C$84:$D89)</f>
        <v>0</v>
      </c>
      <c r="K89" s="39">
        <f>DSUM($B$73:$Y$77,K$73,$C$84:$D89)</f>
        <v>0</v>
      </c>
      <c r="L89" s="39">
        <f>DSUM($B$73:$Y$77,L$73,$C$84:$D89)</f>
        <v>0</v>
      </c>
      <c r="M89" s="39">
        <f>DSUM($B$73:$Y$77,M$73,$C$84:$D89)</f>
        <v>0</v>
      </c>
      <c r="N89" s="39">
        <f>DSUM($B$73:$Y$77,N$73,$C$84:$D89)</f>
        <v>0</v>
      </c>
      <c r="O89" s="39">
        <f>DSUM($B$73:$Y$77,O$73,$C$84:$D89)</f>
        <v>0</v>
      </c>
      <c r="P89" s="39">
        <f>DSUM($B$73:$Y$77,P$73,$C$84:$D89)</f>
        <v>0</v>
      </c>
      <c r="Q89" s="39">
        <f>DSUM($B$73:$Y$77,Q$73,$C$84:$D89)</f>
        <v>0</v>
      </c>
      <c r="R89" s="39">
        <f>DSUM($B$73:$Y$77,R$73,$C$84:$D89)</f>
        <v>0</v>
      </c>
      <c r="S89" s="39">
        <f>DSUM($B$73:$Y$77,S$73,$C$84:$D89)</f>
        <v>0</v>
      </c>
      <c r="T89" s="39">
        <f>DSUM($B$73:$Y$77,T$73,$C$84:$D89)</f>
        <v>0</v>
      </c>
      <c r="U89" s="39">
        <f>DSUM($B$73:$Y$77,U$73,$C$84:$D89)</f>
        <v>0</v>
      </c>
      <c r="V89" s="39">
        <f>DSUM($B$73:$Y$77,V$73,$C$84:$D89)</f>
        <v>0</v>
      </c>
      <c r="W89" s="39">
        <f>DSUM($B$73:$Y$77,W$73,$C$84:$D89)</f>
        <v>0</v>
      </c>
      <c r="X89" s="39">
        <f>DSUM($B$73:$Y$77,X$73,$C$84:$D89)</f>
        <v>0</v>
      </c>
      <c r="Y89" s="39">
        <f>DSUM($B$73:$Y$77,Y$73,$C$84:$D89)</f>
        <v>0</v>
      </c>
      <c r="Z89" s="9"/>
      <c r="AA89" s="9"/>
      <c r="AB89" s="9"/>
    </row>
    <row r="90" spans="1:28" customFormat="1">
      <c r="A90" s="9"/>
      <c r="B90" s="9" t="s">
        <v>81</v>
      </c>
      <c r="C90" s="50" t="s">
        <v>82</v>
      </c>
      <c r="D90" s="50" t="s">
        <v>83</v>
      </c>
      <c r="E90" s="39">
        <f>DSUM($B$73:$Y$77,E$73,$C$84:$D90)</f>
        <v>0</v>
      </c>
      <c r="F90" s="39">
        <f>DSUM($B$73:$Y$77,F$73,$C$84:$D90)</f>
        <v>0</v>
      </c>
      <c r="G90" s="39">
        <f>DSUM($B$73:$Y$77,G$73,$C$84:$D90)</f>
        <v>0</v>
      </c>
      <c r="H90" s="39">
        <f>DSUM($B$73:$Y$77,H$73,$C$84:$D90)</f>
        <v>0</v>
      </c>
      <c r="I90" s="39">
        <f>DSUM($B$73:$Y$77,I$73,$C$84:$D90)</f>
        <v>0</v>
      </c>
      <c r="J90" s="39">
        <f>DSUM($B$73:$Y$77,J$73,$C$84:$D90)</f>
        <v>0</v>
      </c>
      <c r="K90" s="39">
        <f>DSUM($B$73:$Y$77,K$73,$C$84:$D90)</f>
        <v>0</v>
      </c>
      <c r="L90" s="39">
        <f>DSUM($B$73:$Y$77,L$73,$C$84:$D90)</f>
        <v>0</v>
      </c>
      <c r="M90" s="39">
        <f>DSUM($B$73:$Y$77,M$73,$C$84:$D90)</f>
        <v>0</v>
      </c>
      <c r="N90" s="39">
        <f>DSUM($B$73:$Y$77,N$73,$C$84:$D90)</f>
        <v>0</v>
      </c>
      <c r="O90" s="39">
        <f>DSUM($B$73:$Y$77,O$73,$C$84:$D90)</f>
        <v>0</v>
      </c>
      <c r="P90" s="39">
        <f>DSUM($B$73:$Y$77,P$73,$C$84:$D90)</f>
        <v>0</v>
      </c>
      <c r="Q90" s="39">
        <f>DSUM($B$73:$Y$77,Q$73,$C$84:$D90)</f>
        <v>0</v>
      </c>
      <c r="R90" s="39">
        <f>DSUM($B$73:$Y$77,R$73,$C$84:$D90)</f>
        <v>0</v>
      </c>
      <c r="S90" s="39">
        <f>DSUM($B$73:$Y$77,S$73,$C$84:$D90)</f>
        <v>0</v>
      </c>
      <c r="T90" s="39">
        <f>DSUM($B$73:$Y$77,T$73,$C$84:$D90)</f>
        <v>0</v>
      </c>
      <c r="U90" s="39">
        <f>DSUM($B$73:$Y$77,U$73,$C$84:$D90)</f>
        <v>0</v>
      </c>
      <c r="V90" s="39">
        <f>DSUM($B$73:$Y$77,V$73,$C$84:$D90)</f>
        <v>0</v>
      </c>
      <c r="W90" s="39">
        <f>DSUM($B$73:$Y$77,W$73,$C$84:$D90)</f>
        <v>0</v>
      </c>
      <c r="X90" s="39">
        <f>DSUM($B$73:$Y$77,X$73,$C$84:$D90)</f>
        <v>0</v>
      </c>
      <c r="Y90" s="39">
        <f>DSUM($B$73:$Y$77,Y$73,$C$84:$D90)</f>
        <v>0</v>
      </c>
      <c r="Z90" s="9"/>
      <c r="AA90" s="9"/>
      <c r="AB90" s="9"/>
    </row>
    <row r="91" spans="1:28" customFormat="1">
      <c r="A91" s="9"/>
      <c r="B91" s="9" t="s">
        <v>84</v>
      </c>
      <c r="C91" s="50" t="s">
        <v>85</v>
      </c>
      <c r="D91" s="50" t="s">
        <v>86</v>
      </c>
      <c r="E91" s="39">
        <f>DSUM($B$73:$Y$77,E$73,$C$84:$D91)</f>
        <v>0</v>
      </c>
      <c r="F91" s="39">
        <f>DSUM($B$73:$Y$77,F$73,$C$84:$D91)</f>
        <v>0</v>
      </c>
      <c r="G91" s="39">
        <f>DSUM($B$73:$Y$77,G$73,$C$84:$D91)</f>
        <v>0</v>
      </c>
      <c r="H91" s="39">
        <f>DSUM($B$73:$Y$77,H$73,$C$84:$D91)</f>
        <v>0</v>
      </c>
      <c r="I91" s="39">
        <f>DSUM($B$73:$Y$77,I$73,$C$84:$D91)</f>
        <v>0</v>
      </c>
      <c r="J91" s="39">
        <f>DSUM($B$73:$Y$77,J$73,$C$84:$D91)</f>
        <v>0</v>
      </c>
      <c r="K91" s="39">
        <f>DSUM($B$73:$Y$77,K$73,$C$84:$D91)</f>
        <v>0</v>
      </c>
      <c r="L91" s="39">
        <f>DSUM($B$73:$Y$77,L$73,$C$84:$D91)</f>
        <v>0</v>
      </c>
      <c r="M91" s="39">
        <f>DSUM($B$73:$Y$77,M$73,$C$84:$D91)</f>
        <v>0</v>
      </c>
      <c r="N91" s="39">
        <f>DSUM($B$73:$Y$77,N$73,$C$84:$D91)</f>
        <v>0</v>
      </c>
      <c r="O91" s="39">
        <f>DSUM($B$73:$Y$77,O$73,$C$84:$D91)</f>
        <v>0</v>
      </c>
      <c r="P91" s="39">
        <f>DSUM($B$73:$Y$77,P$73,$C$84:$D91)</f>
        <v>0</v>
      </c>
      <c r="Q91" s="39">
        <f>DSUM($B$73:$Y$77,Q$73,$C$84:$D91)</f>
        <v>0</v>
      </c>
      <c r="R91" s="39">
        <f>DSUM($B$73:$Y$77,R$73,$C$84:$D91)</f>
        <v>0</v>
      </c>
      <c r="S91" s="39">
        <f>DSUM($B$73:$Y$77,S$73,$C$84:$D91)</f>
        <v>0</v>
      </c>
      <c r="T91" s="39">
        <f>DSUM($B$73:$Y$77,T$73,$C$84:$D91)</f>
        <v>0</v>
      </c>
      <c r="U91" s="39">
        <f>DSUM($B$73:$Y$77,U$73,$C$84:$D91)</f>
        <v>0</v>
      </c>
      <c r="V91" s="39">
        <f>DSUM($B$73:$Y$77,V$73,$C$84:$D91)</f>
        <v>0</v>
      </c>
      <c r="W91" s="39">
        <f>DSUM($B$73:$Y$77,W$73,$C$84:$D91)</f>
        <v>0</v>
      </c>
      <c r="X91" s="39">
        <f>DSUM($B$73:$Y$77,X$73,$C$84:$D91)</f>
        <v>0</v>
      </c>
      <c r="Y91" s="39">
        <f>DSUM($B$73:$Y$77,Y$73,$C$84:$D91)</f>
        <v>0</v>
      </c>
      <c r="Z91" s="9"/>
      <c r="AA91" s="9"/>
      <c r="AB91" s="9"/>
    </row>
    <row r="92" spans="1:28" customFormat="1">
      <c r="A92" s="9"/>
      <c r="B92" s="9" t="s">
        <v>87</v>
      </c>
      <c r="C92" s="50" t="s">
        <v>88</v>
      </c>
      <c r="D92" s="50" t="s">
        <v>89</v>
      </c>
      <c r="E92" s="39">
        <f>DSUM($B$73:$Y$77,E$73,$C$84:$D92)</f>
        <v>0</v>
      </c>
      <c r="F92" s="39">
        <f>DSUM($B$73:$Y$77,F$73,$C$84:$D92)</f>
        <v>0</v>
      </c>
      <c r="G92" s="39">
        <f>DSUM($B$73:$Y$77,G$73,$C$84:$D92)</f>
        <v>0</v>
      </c>
      <c r="H92" s="39">
        <f>DSUM($B$73:$Y$77,H$73,$C$84:$D92)</f>
        <v>0</v>
      </c>
      <c r="I92" s="39">
        <f>DSUM($B$73:$Y$77,I$73,$C$84:$D92)</f>
        <v>0</v>
      </c>
      <c r="J92" s="39">
        <f>DSUM($B$73:$Y$77,J$73,$C$84:$D92)</f>
        <v>0</v>
      </c>
      <c r="K92" s="39">
        <f>DSUM($B$73:$Y$77,K$73,$C$84:$D92)</f>
        <v>0</v>
      </c>
      <c r="L92" s="39">
        <f>DSUM($B$73:$Y$77,L$73,$C$84:$D92)</f>
        <v>0</v>
      </c>
      <c r="M92" s="39">
        <f>DSUM($B$73:$Y$77,M$73,$C$84:$D92)</f>
        <v>0</v>
      </c>
      <c r="N92" s="39">
        <f>DSUM($B$73:$Y$77,N$73,$C$84:$D92)</f>
        <v>0</v>
      </c>
      <c r="O92" s="39">
        <f>DSUM($B$73:$Y$77,O$73,$C$84:$D92)</f>
        <v>0</v>
      </c>
      <c r="P92" s="39">
        <f>DSUM($B$73:$Y$77,P$73,$C$84:$D92)</f>
        <v>0</v>
      </c>
      <c r="Q92" s="39">
        <f>DSUM($B$73:$Y$77,Q$73,$C$84:$D92)</f>
        <v>0</v>
      </c>
      <c r="R92" s="39">
        <f>DSUM($B$73:$Y$77,R$73,$C$84:$D92)</f>
        <v>0</v>
      </c>
      <c r="S92" s="39">
        <f>DSUM($B$73:$Y$77,S$73,$C$84:$D92)</f>
        <v>0</v>
      </c>
      <c r="T92" s="39">
        <f>DSUM($B$73:$Y$77,T$73,$C$84:$D92)</f>
        <v>0</v>
      </c>
      <c r="U92" s="39">
        <f>DSUM($B$73:$Y$77,U$73,$C$84:$D92)</f>
        <v>0</v>
      </c>
      <c r="V92" s="39">
        <f>DSUM($B$73:$Y$77,V$73,$C$84:$D92)</f>
        <v>0</v>
      </c>
      <c r="W92" s="39">
        <f>DSUM($B$73:$Y$77,W$73,$C$84:$D92)</f>
        <v>0</v>
      </c>
      <c r="X92" s="39">
        <f>DSUM($B$73:$Y$77,X$73,$C$84:$D92)</f>
        <v>0</v>
      </c>
      <c r="Y92" s="39">
        <f>DSUM($B$73:$Y$77,Y$73,$C$84:$D92)</f>
        <v>0</v>
      </c>
      <c r="Z92" s="9"/>
      <c r="AA92" s="9"/>
      <c r="AB92" s="9"/>
    </row>
    <row r="93" spans="1:28" customFormat="1">
      <c r="A93" s="9"/>
      <c r="B93" s="9" t="s">
        <v>90</v>
      </c>
      <c r="C93" s="50" t="s">
        <v>91</v>
      </c>
      <c r="D93" s="50" t="s">
        <v>92</v>
      </c>
      <c r="E93" s="39">
        <f>DSUM($B$73:$Y$77,E$73,$C$84:$D93)</f>
        <v>0</v>
      </c>
      <c r="F93" s="39">
        <f>DSUM($B$73:$Y$77,F$73,$C$84:$D93)</f>
        <v>0</v>
      </c>
      <c r="G93" s="39">
        <f>DSUM($B$73:$Y$77,G$73,$C$84:$D93)</f>
        <v>0</v>
      </c>
      <c r="H93" s="39">
        <f>DSUM($B$73:$Y$77,H$73,$C$84:$D93)</f>
        <v>0</v>
      </c>
      <c r="I93" s="39">
        <f>DSUM($B$73:$Y$77,I$73,$C$84:$D93)</f>
        <v>0</v>
      </c>
      <c r="J93" s="39">
        <f>DSUM($B$73:$Y$77,J$73,$C$84:$D93)</f>
        <v>0</v>
      </c>
      <c r="K93" s="39">
        <f>DSUM($B$73:$Y$77,K$73,$C$84:$D93)</f>
        <v>0</v>
      </c>
      <c r="L93" s="39">
        <f>DSUM($B$73:$Y$77,L$73,$C$84:$D93)</f>
        <v>0</v>
      </c>
      <c r="M93" s="39">
        <f>DSUM($B$73:$Y$77,M$73,$C$84:$D93)</f>
        <v>0</v>
      </c>
      <c r="N93" s="39">
        <f>DSUM($B$73:$Y$77,N$73,$C$84:$D93)</f>
        <v>0</v>
      </c>
      <c r="O93" s="39">
        <f>DSUM($B$73:$Y$77,O$73,$C$84:$D93)</f>
        <v>0</v>
      </c>
      <c r="P93" s="39">
        <f>DSUM($B$73:$Y$77,P$73,$C$84:$D93)</f>
        <v>0</v>
      </c>
      <c r="Q93" s="39">
        <f>DSUM($B$73:$Y$77,Q$73,$C$84:$D93)</f>
        <v>0</v>
      </c>
      <c r="R93" s="39">
        <f>DSUM($B$73:$Y$77,R$73,$C$84:$D93)</f>
        <v>0</v>
      </c>
      <c r="S93" s="39">
        <f>DSUM($B$73:$Y$77,S$73,$C$84:$D93)</f>
        <v>0</v>
      </c>
      <c r="T93" s="39">
        <f>DSUM($B$73:$Y$77,T$73,$C$84:$D93)</f>
        <v>0</v>
      </c>
      <c r="U93" s="39">
        <f>DSUM($B$73:$Y$77,U$73,$C$84:$D93)</f>
        <v>0</v>
      </c>
      <c r="V93" s="39">
        <f>DSUM($B$73:$Y$77,V$73,$C$84:$D93)</f>
        <v>0</v>
      </c>
      <c r="W93" s="39">
        <f>DSUM($B$73:$Y$77,W$73,$C$84:$D93)</f>
        <v>0</v>
      </c>
      <c r="X93" s="39">
        <f>DSUM($B$73:$Y$77,X$73,$C$84:$D93)</f>
        <v>0</v>
      </c>
      <c r="Y93" s="39">
        <f>DSUM($B$73:$Y$77,Y$73,$C$84:$D93)</f>
        <v>0</v>
      </c>
      <c r="Z93" s="9"/>
      <c r="AA93" s="9"/>
      <c r="AB93" s="9"/>
    </row>
    <row r="94" spans="1:28" customFormat="1">
      <c r="A94" s="9"/>
      <c r="B94" s="9" t="s">
        <v>93</v>
      </c>
      <c r="C94" s="50" t="s">
        <v>94</v>
      </c>
      <c r="D94" s="50" t="s">
        <v>95</v>
      </c>
      <c r="E94" s="39">
        <f>DSUM($B$73:$Y$77,E$73,$C$84:$D94)</f>
        <v>0</v>
      </c>
      <c r="F94" s="39">
        <f>DSUM($B$73:$Y$77,F$73,$C$84:$D94)</f>
        <v>0</v>
      </c>
      <c r="G94" s="39">
        <f>DSUM($B$73:$Y$77,G$73,$C$84:$D94)</f>
        <v>0</v>
      </c>
      <c r="H94" s="39">
        <f>DSUM($B$73:$Y$77,H$73,$C$84:$D94)</f>
        <v>0</v>
      </c>
      <c r="I94" s="39">
        <f>DSUM($B$73:$Y$77,I$73,$C$84:$D94)</f>
        <v>0</v>
      </c>
      <c r="J94" s="39">
        <f>DSUM($B$73:$Y$77,J$73,$C$84:$D94)</f>
        <v>0</v>
      </c>
      <c r="K94" s="39">
        <f>DSUM($B$73:$Y$77,K$73,$C$84:$D94)</f>
        <v>0</v>
      </c>
      <c r="L94" s="39">
        <f>DSUM($B$73:$Y$77,L$73,$C$84:$D94)</f>
        <v>0</v>
      </c>
      <c r="M94" s="39">
        <f>DSUM($B$73:$Y$77,M$73,$C$84:$D94)</f>
        <v>0</v>
      </c>
      <c r="N94" s="39">
        <f>DSUM($B$73:$Y$77,N$73,$C$84:$D94)</f>
        <v>0</v>
      </c>
      <c r="O94" s="39">
        <f>DSUM($B$73:$Y$77,O$73,$C$84:$D94)</f>
        <v>0</v>
      </c>
      <c r="P94" s="39">
        <f>DSUM($B$73:$Y$77,P$73,$C$84:$D94)</f>
        <v>0</v>
      </c>
      <c r="Q94" s="39">
        <f>DSUM($B$73:$Y$77,Q$73,$C$84:$D94)</f>
        <v>0</v>
      </c>
      <c r="R94" s="39">
        <f>DSUM($B$73:$Y$77,R$73,$C$84:$D94)</f>
        <v>0</v>
      </c>
      <c r="S94" s="39">
        <f>DSUM($B$73:$Y$77,S$73,$C$84:$D94)</f>
        <v>0</v>
      </c>
      <c r="T94" s="39">
        <f>DSUM($B$73:$Y$77,T$73,$C$84:$D94)</f>
        <v>0</v>
      </c>
      <c r="U94" s="39">
        <f>DSUM($B$73:$Y$77,U$73,$C$84:$D94)</f>
        <v>0</v>
      </c>
      <c r="V94" s="39">
        <f>DSUM($B$73:$Y$77,V$73,$C$84:$D94)</f>
        <v>0</v>
      </c>
      <c r="W94" s="39">
        <f>DSUM($B$73:$Y$77,W$73,$C$84:$D94)</f>
        <v>0</v>
      </c>
      <c r="X94" s="39">
        <f>DSUM($B$73:$Y$77,X$73,$C$84:$D94)</f>
        <v>0</v>
      </c>
      <c r="Y94" s="39">
        <f>DSUM($B$73:$Y$77,Y$73,$C$84:$D94)</f>
        <v>0</v>
      </c>
      <c r="Z94" s="9"/>
      <c r="AA94" s="9"/>
      <c r="AB94" s="9"/>
    </row>
    <row r="95" spans="1:28" customFormat="1">
      <c r="A95" s="9"/>
      <c r="B95" s="9" t="s">
        <v>96</v>
      </c>
      <c r="C95" s="50" t="s">
        <v>97</v>
      </c>
      <c r="D95" s="50" t="s">
        <v>98</v>
      </c>
      <c r="E95" s="39">
        <f>DSUM($B$73:$Y$77,E$73,$C$84:$D95)</f>
        <v>0</v>
      </c>
      <c r="F95" s="39">
        <f>DSUM($B$73:$Y$77,F$73,$C$84:$D95)</f>
        <v>0</v>
      </c>
      <c r="G95" s="39">
        <f>DSUM($B$73:$Y$77,G$73,$C$84:$D95)</f>
        <v>0</v>
      </c>
      <c r="H95" s="39">
        <f>DSUM($B$73:$Y$77,H$73,$C$84:$D95)</f>
        <v>0</v>
      </c>
      <c r="I95" s="39">
        <f>DSUM($B$73:$Y$77,I$73,$C$84:$D95)</f>
        <v>0</v>
      </c>
      <c r="J95" s="39">
        <f>DSUM($B$73:$Y$77,J$73,$C$84:$D95)</f>
        <v>0</v>
      </c>
      <c r="K95" s="39">
        <f>DSUM($B$73:$Y$77,K$73,$C$84:$D95)</f>
        <v>0</v>
      </c>
      <c r="L95" s="39">
        <f>DSUM($B$73:$Y$77,L$73,$C$84:$D95)</f>
        <v>0</v>
      </c>
      <c r="M95" s="39">
        <f>DSUM($B$73:$Y$77,M$73,$C$84:$D95)</f>
        <v>0</v>
      </c>
      <c r="N95" s="39">
        <f>DSUM($B$73:$Y$77,N$73,$C$84:$D95)</f>
        <v>0</v>
      </c>
      <c r="O95" s="39">
        <f>DSUM($B$73:$Y$77,O$73,$C$84:$D95)</f>
        <v>0</v>
      </c>
      <c r="P95" s="39">
        <f>DSUM($B$73:$Y$77,P$73,$C$84:$D95)</f>
        <v>0</v>
      </c>
      <c r="Q95" s="39">
        <f>DSUM($B$73:$Y$77,Q$73,$C$84:$D95)</f>
        <v>0</v>
      </c>
      <c r="R95" s="39">
        <f>DSUM($B$73:$Y$77,R$73,$C$84:$D95)</f>
        <v>0</v>
      </c>
      <c r="S95" s="39">
        <f>DSUM($B$73:$Y$77,S$73,$C$84:$D95)</f>
        <v>0</v>
      </c>
      <c r="T95" s="39">
        <f>DSUM($B$73:$Y$77,T$73,$C$84:$D95)</f>
        <v>0</v>
      </c>
      <c r="U95" s="39">
        <f>DSUM($B$73:$Y$77,U$73,$C$84:$D95)</f>
        <v>0</v>
      </c>
      <c r="V95" s="39">
        <f>DSUM($B$73:$Y$77,V$73,$C$84:$D95)</f>
        <v>0</v>
      </c>
      <c r="W95" s="39">
        <f>DSUM($B$73:$Y$77,W$73,$C$84:$D95)</f>
        <v>0</v>
      </c>
      <c r="X95" s="39">
        <f>DSUM($B$73:$Y$77,X$73,$C$84:$D95)</f>
        <v>0</v>
      </c>
      <c r="Y95" s="39">
        <f>DSUM($B$73:$Y$77,Y$73,$C$84:$D95)</f>
        <v>0</v>
      </c>
      <c r="Z95" s="9"/>
      <c r="AA95" s="9"/>
      <c r="AB95" s="9"/>
    </row>
    <row r="96" spans="1:28" customFormat="1">
      <c r="A96" s="9"/>
      <c r="B96" s="9" t="s">
        <v>99</v>
      </c>
      <c r="C96" s="50" t="s">
        <v>100</v>
      </c>
      <c r="D96" s="50" t="s">
        <v>101</v>
      </c>
      <c r="E96" s="39">
        <f>DSUM($B$73:$Y$77,E$73,$C$84:$D96)</f>
        <v>0</v>
      </c>
      <c r="F96" s="39">
        <f>DSUM($B$73:$Y$77,F$73,$C$84:$D96)</f>
        <v>0</v>
      </c>
      <c r="G96" s="39">
        <f>DSUM($B$73:$Y$77,G$73,$C$84:$D96)</f>
        <v>0</v>
      </c>
      <c r="H96" s="39">
        <f>DSUM($B$73:$Y$77,H$73,$C$84:$D96)</f>
        <v>0</v>
      </c>
      <c r="I96" s="39">
        <f>DSUM($B$73:$Y$77,I$73,$C$84:$D96)</f>
        <v>0</v>
      </c>
      <c r="J96" s="39">
        <f>DSUM($B$73:$Y$77,J$73,$C$84:$D96)</f>
        <v>0</v>
      </c>
      <c r="K96" s="39">
        <f>DSUM($B$73:$Y$77,K$73,$C$84:$D96)</f>
        <v>0</v>
      </c>
      <c r="L96" s="39">
        <f>DSUM($B$73:$Y$77,L$73,$C$84:$D96)</f>
        <v>0</v>
      </c>
      <c r="M96" s="39">
        <f>DSUM($B$73:$Y$77,M$73,$C$84:$D96)</f>
        <v>0</v>
      </c>
      <c r="N96" s="39">
        <f>DSUM($B$73:$Y$77,N$73,$C$84:$D96)</f>
        <v>0</v>
      </c>
      <c r="O96" s="39">
        <f>DSUM($B$73:$Y$77,O$73,$C$84:$D96)</f>
        <v>0</v>
      </c>
      <c r="P96" s="39">
        <f>DSUM($B$73:$Y$77,P$73,$C$84:$D96)</f>
        <v>0</v>
      </c>
      <c r="Q96" s="39">
        <f>DSUM($B$73:$Y$77,Q$73,$C$84:$D96)</f>
        <v>0</v>
      </c>
      <c r="R96" s="39">
        <f>DSUM($B$73:$Y$77,R$73,$C$84:$D96)</f>
        <v>0</v>
      </c>
      <c r="S96" s="39">
        <f>DSUM($B$73:$Y$77,S$73,$C$84:$D96)</f>
        <v>0</v>
      </c>
      <c r="T96" s="39">
        <f>DSUM($B$73:$Y$77,T$73,$C$84:$D96)</f>
        <v>0</v>
      </c>
      <c r="U96" s="39">
        <f>DSUM($B$73:$Y$77,U$73,$C$84:$D96)</f>
        <v>0</v>
      </c>
      <c r="V96" s="39">
        <f>DSUM($B$73:$Y$77,V$73,$C$84:$D96)</f>
        <v>0</v>
      </c>
      <c r="W96" s="39">
        <f>DSUM($B$73:$Y$77,W$73,$C$84:$D96)</f>
        <v>0</v>
      </c>
      <c r="X96" s="39">
        <f>DSUM($B$73:$Y$77,X$73,$C$84:$D96)</f>
        <v>0</v>
      </c>
      <c r="Y96" s="39">
        <f>DSUM($B$73:$Y$77,Y$73,$C$84:$D96)</f>
        <v>0</v>
      </c>
      <c r="Z96" s="9"/>
      <c r="AA96" s="9"/>
      <c r="AB96" s="9"/>
    </row>
    <row r="97" spans="1:28" customFormat="1">
      <c r="A97" s="9"/>
      <c r="B97" s="9" t="s">
        <v>102</v>
      </c>
      <c r="C97" s="50" t="s">
        <v>103</v>
      </c>
      <c r="D97" s="50" t="s">
        <v>104</v>
      </c>
      <c r="E97" s="39">
        <f>DSUM($B$73:$Y$77,E$73,$C$84:$D97)</f>
        <v>0</v>
      </c>
      <c r="F97" s="39">
        <f>DSUM($B$73:$Y$77,F$73,$C$84:$D97)</f>
        <v>0</v>
      </c>
      <c r="G97" s="39">
        <f>DSUM($B$73:$Y$77,G$73,$C$84:$D97)</f>
        <v>0</v>
      </c>
      <c r="H97" s="39">
        <f>DSUM($B$73:$Y$77,H$73,$C$84:$D97)</f>
        <v>0</v>
      </c>
      <c r="I97" s="39">
        <f>DSUM($B$73:$Y$77,I$73,$C$84:$D97)</f>
        <v>0</v>
      </c>
      <c r="J97" s="39">
        <f>DSUM($B$73:$Y$77,J$73,$C$84:$D97)</f>
        <v>0</v>
      </c>
      <c r="K97" s="39">
        <f>DSUM($B$73:$Y$77,K$73,$C$84:$D97)</f>
        <v>0</v>
      </c>
      <c r="L97" s="39">
        <f>DSUM($B$73:$Y$77,L$73,$C$84:$D97)</f>
        <v>0</v>
      </c>
      <c r="M97" s="39">
        <f>DSUM($B$73:$Y$77,M$73,$C$84:$D97)</f>
        <v>0</v>
      </c>
      <c r="N97" s="39">
        <f>DSUM($B$73:$Y$77,N$73,$C$84:$D97)</f>
        <v>0</v>
      </c>
      <c r="O97" s="39">
        <f>DSUM($B$73:$Y$77,O$73,$C$84:$D97)</f>
        <v>0</v>
      </c>
      <c r="P97" s="39">
        <f>DSUM($B$73:$Y$77,P$73,$C$84:$D97)</f>
        <v>0</v>
      </c>
      <c r="Q97" s="39">
        <f>DSUM($B$73:$Y$77,Q$73,$C$84:$D97)</f>
        <v>0</v>
      </c>
      <c r="R97" s="39">
        <f>DSUM($B$73:$Y$77,R$73,$C$84:$D97)</f>
        <v>0</v>
      </c>
      <c r="S97" s="39">
        <f>DSUM($B$73:$Y$77,S$73,$C$84:$D97)</f>
        <v>0</v>
      </c>
      <c r="T97" s="39">
        <f>DSUM($B$73:$Y$77,T$73,$C$84:$D97)</f>
        <v>0</v>
      </c>
      <c r="U97" s="39">
        <f>DSUM($B$73:$Y$77,U$73,$C$84:$D97)</f>
        <v>0</v>
      </c>
      <c r="V97" s="39">
        <f>DSUM($B$73:$Y$77,V$73,$C$84:$D97)</f>
        <v>0</v>
      </c>
      <c r="W97" s="39">
        <f>DSUM($B$73:$Y$77,W$73,$C$84:$D97)</f>
        <v>0</v>
      </c>
      <c r="X97" s="39">
        <f>DSUM($B$73:$Y$77,X$73,$C$84:$D97)</f>
        <v>0</v>
      </c>
      <c r="Y97" s="39">
        <f>DSUM($B$73:$Y$77,Y$73,$C$84:$D97)</f>
        <v>0</v>
      </c>
      <c r="Z97" s="9"/>
      <c r="AA97" s="9"/>
      <c r="AB97" s="9"/>
    </row>
    <row r="98" spans="1:28" customFormat="1">
      <c r="A98" s="9"/>
      <c r="B98" s="9" t="s">
        <v>105</v>
      </c>
      <c r="C98" s="50" t="s">
        <v>106</v>
      </c>
      <c r="D98" s="50" t="s">
        <v>107</v>
      </c>
      <c r="E98" s="39">
        <f>DSUM($B$73:$Y$77,E$73,$C$84:$D98)</f>
        <v>0</v>
      </c>
      <c r="F98" s="39">
        <f>DSUM($B$73:$Y$77,F$73,$C$84:$D98)</f>
        <v>0</v>
      </c>
      <c r="G98" s="39">
        <f>DSUM($B$73:$Y$77,G$73,$C$84:$D98)</f>
        <v>0</v>
      </c>
      <c r="H98" s="39">
        <f>DSUM($B$73:$Y$77,H$73,$C$84:$D98)</f>
        <v>0</v>
      </c>
      <c r="I98" s="39">
        <f>DSUM($B$73:$Y$77,I$73,$C$84:$D98)</f>
        <v>0</v>
      </c>
      <c r="J98" s="39">
        <f>DSUM($B$73:$Y$77,J$73,$C$84:$D98)</f>
        <v>0</v>
      </c>
      <c r="K98" s="39">
        <f>DSUM($B$73:$Y$77,K$73,$C$84:$D98)</f>
        <v>0</v>
      </c>
      <c r="L98" s="39">
        <f>DSUM($B$73:$Y$77,L$73,$C$84:$D98)</f>
        <v>0</v>
      </c>
      <c r="M98" s="39">
        <f>DSUM($B$73:$Y$77,M$73,$C$84:$D98)</f>
        <v>0</v>
      </c>
      <c r="N98" s="39">
        <f>DSUM($B$73:$Y$77,N$73,$C$84:$D98)</f>
        <v>0</v>
      </c>
      <c r="O98" s="39">
        <f>DSUM($B$73:$Y$77,O$73,$C$84:$D98)</f>
        <v>0</v>
      </c>
      <c r="P98" s="39">
        <f>DSUM($B$73:$Y$77,P$73,$C$84:$D98)</f>
        <v>0</v>
      </c>
      <c r="Q98" s="39">
        <f>DSUM($B$73:$Y$77,Q$73,$C$84:$D98)</f>
        <v>0</v>
      </c>
      <c r="R98" s="39">
        <f>DSUM($B$73:$Y$77,R$73,$C$84:$D98)</f>
        <v>0</v>
      </c>
      <c r="S98" s="39">
        <f>DSUM($B$73:$Y$77,S$73,$C$84:$D98)</f>
        <v>0</v>
      </c>
      <c r="T98" s="39">
        <f>DSUM($B$73:$Y$77,T$73,$C$84:$D98)</f>
        <v>0</v>
      </c>
      <c r="U98" s="39">
        <f>DSUM($B$73:$Y$77,U$73,$C$84:$D98)</f>
        <v>0</v>
      </c>
      <c r="V98" s="39">
        <f>DSUM($B$73:$Y$77,V$73,$C$84:$D98)</f>
        <v>0</v>
      </c>
      <c r="W98" s="39">
        <f>DSUM($B$73:$Y$77,W$73,$C$84:$D98)</f>
        <v>0</v>
      </c>
      <c r="X98" s="39">
        <f>DSUM($B$73:$Y$77,X$73,$C$84:$D98)</f>
        <v>0</v>
      </c>
      <c r="Y98" s="39">
        <f>DSUM($B$73:$Y$77,Y$73,$C$84:$D98)</f>
        <v>0</v>
      </c>
      <c r="Z98" s="9"/>
      <c r="AA98" s="9"/>
      <c r="AB98" s="9"/>
    </row>
    <row r="99" spans="1:28" customFormat="1">
      <c r="A99" s="9"/>
      <c r="B99" s="9" t="s">
        <v>108</v>
      </c>
      <c r="C99" s="50" t="s">
        <v>109</v>
      </c>
      <c r="D99" s="50" t="s">
        <v>110</v>
      </c>
      <c r="E99" s="39">
        <f>DSUM($B$73:$Y$77,E$73,$C$84:$D99)</f>
        <v>0</v>
      </c>
      <c r="F99" s="39">
        <f>DSUM($B$73:$Y$77,F$73,$C$84:$D99)</f>
        <v>0</v>
      </c>
      <c r="G99" s="39">
        <f>DSUM($B$73:$Y$77,G$73,$C$84:$D99)</f>
        <v>0</v>
      </c>
      <c r="H99" s="39">
        <f>DSUM($B$73:$Y$77,H$73,$C$84:$D99)</f>
        <v>0</v>
      </c>
      <c r="I99" s="39">
        <f>DSUM($B$73:$Y$77,I$73,$C$84:$D99)</f>
        <v>0</v>
      </c>
      <c r="J99" s="39">
        <f>DSUM($B$73:$Y$77,J$73,$C$84:$D99)</f>
        <v>0</v>
      </c>
      <c r="K99" s="39">
        <f>DSUM($B$73:$Y$77,K$73,$C$84:$D99)</f>
        <v>0</v>
      </c>
      <c r="L99" s="39">
        <f>DSUM($B$73:$Y$77,L$73,$C$84:$D99)</f>
        <v>0</v>
      </c>
      <c r="M99" s="39">
        <f>DSUM($B$73:$Y$77,M$73,$C$84:$D99)</f>
        <v>0</v>
      </c>
      <c r="N99" s="39">
        <f>DSUM($B$73:$Y$77,N$73,$C$84:$D99)</f>
        <v>0</v>
      </c>
      <c r="O99" s="39">
        <f>DSUM($B$73:$Y$77,O$73,$C$84:$D99)</f>
        <v>0</v>
      </c>
      <c r="P99" s="39">
        <f>DSUM($B$73:$Y$77,P$73,$C$84:$D99)</f>
        <v>0</v>
      </c>
      <c r="Q99" s="39">
        <f>DSUM($B$73:$Y$77,Q$73,$C$84:$D99)</f>
        <v>0</v>
      </c>
      <c r="R99" s="39">
        <f>DSUM($B$73:$Y$77,R$73,$C$84:$D99)</f>
        <v>0</v>
      </c>
      <c r="S99" s="39">
        <f>DSUM($B$73:$Y$77,S$73,$C$84:$D99)</f>
        <v>0</v>
      </c>
      <c r="T99" s="39">
        <f>DSUM($B$73:$Y$77,T$73,$C$84:$D99)</f>
        <v>0</v>
      </c>
      <c r="U99" s="39">
        <f>DSUM($B$73:$Y$77,U$73,$C$84:$D99)</f>
        <v>0</v>
      </c>
      <c r="V99" s="39">
        <f>DSUM($B$73:$Y$77,V$73,$C$84:$D99)</f>
        <v>0</v>
      </c>
      <c r="W99" s="39">
        <f>DSUM($B$73:$Y$77,W$73,$C$84:$D99)</f>
        <v>0</v>
      </c>
      <c r="X99" s="39">
        <f>DSUM($B$73:$Y$77,X$73,$C$84:$D99)</f>
        <v>0</v>
      </c>
      <c r="Y99" s="39">
        <f>DSUM($B$73:$Y$77,Y$73,$C$84:$D99)</f>
        <v>0</v>
      </c>
      <c r="Z99" s="9"/>
      <c r="AA99" s="9"/>
      <c r="AB99" s="9"/>
    </row>
    <row r="100" spans="1:28" customFormat="1">
      <c r="A100" s="9"/>
      <c r="B100" s="9" t="s">
        <v>111</v>
      </c>
      <c r="C100" s="50" t="s">
        <v>112</v>
      </c>
      <c r="D100" s="50" t="s">
        <v>113</v>
      </c>
      <c r="E100" s="39">
        <f>DSUM($B$73:$Y$77,E$73,$C$84:$D100)</f>
        <v>0</v>
      </c>
      <c r="F100" s="39">
        <f>DSUM($B$73:$Y$77,F$73,$C$84:$D100)</f>
        <v>0</v>
      </c>
      <c r="G100" s="39">
        <f>DSUM($B$73:$Y$77,G$73,$C$84:$D100)</f>
        <v>0</v>
      </c>
      <c r="H100" s="39">
        <f>DSUM($B$73:$Y$77,H$73,$C$84:$D100)</f>
        <v>0</v>
      </c>
      <c r="I100" s="39">
        <f>DSUM($B$73:$Y$77,I$73,$C$84:$D100)</f>
        <v>0</v>
      </c>
      <c r="J100" s="39">
        <f>DSUM($B$73:$Y$77,J$73,$C$84:$D100)</f>
        <v>0</v>
      </c>
      <c r="K100" s="39">
        <f>DSUM($B$73:$Y$77,K$73,$C$84:$D100)</f>
        <v>0</v>
      </c>
      <c r="L100" s="39">
        <f>DSUM($B$73:$Y$77,L$73,$C$84:$D100)</f>
        <v>0</v>
      </c>
      <c r="M100" s="39">
        <f>DSUM($B$73:$Y$77,M$73,$C$84:$D100)</f>
        <v>0</v>
      </c>
      <c r="N100" s="39">
        <f>DSUM($B$73:$Y$77,N$73,$C$84:$D100)</f>
        <v>0</v>
      </c>
      <c r="O100" s="39">
        <f>DSUM($B$73:$Y$77,O$73,$C$84:$D100)</f>
        <v>0</v>
      </c>
      <c r="P100" s="39">
        <f>DSUM($B$73:$Y$77,P$73,$C$84:$D100)</f>
        <v>0</v>
      </c>
      <c r="Q100" s="39">
        <f>DSUM($B$73:$Y$77,Q$73,$C$84:$D100)</f>
        <v>0</v>
      </c>
      <c r="R100" s="39">
        <f>DSUM($B$73:$Y$77,R$73,$C$84:$D100)</f>
        <v>0</v>
      </c>
      <c r="S100" s="39">
        <f>DSUM($B$73:$Y$77,S$73,$C$84:$D100)</f>
        <v>0</v>
      </c>
      <c r="T100" s="39">
        <f>DSUM($B$73:$Y$77,T$73,$C$84:$D100)</f>
        <v>0</v>
      </c>
      <c r="U100" s="39">
        <f>DSUM($B$73:$Y$77,U$73,$C$84:$D100)</f>
        <v>0</v>
      </c>
      <c r="V100" s="39">
        <f>DSUM($B$73:$Y$77,V$73,$C$84:$D100)</f>
        <v>0</v>
      </c>
      <c r="W100" s="39">
        <f>DSUM($B$73:$Y$77,W$73,$C$84:$D100)</f>
        <v>0</v>
      </c>
      <c r="X100" s="39">
        <f>DSUM($B$73:$Y$77,X$73,$C$84:$D100)</f>
        <v>0</v>
      </c>
      <c r="Y100" s="39">
        <f>DSUM($B$73:$Y$77,Y$73,$C$84:$D100)</f>
        <v>0</v>
      </c>
      <c r="Z100" s="9"/>
      <c r="AA100" s="9"/>
      <c r="AB100" s="9"/>
    </row>
    <row r="101" spans="1:28" customFormat="1">
      <c r="A101" s="9"/>
      <c r="B101" s="9" t="s">
        <v>114</v>
      </c>
      <c r="C101" s="50" t="s">
        <v>115</v>
      </c>
      <c r="D101" s="50" t="s">
        <v>116</v>
      </c>
      <c r="E101" s="39">
        <f>DSUM($B$73:$Y$77,E$73,$C$84:$D101)</f>
        <v>0</v>
      </c>
      <c r="F101" s="39">
        <f>DSUM($B$73:$Y$77,F$73,$C$84:$D101)</f>
        <v>0</v>
      </c>
      <c r="G101" s="39">
        <f>DSUM($B$73:$Y$77,G$73,$C$84:$D101)</f>
        <v>0</v>
      </c>
      <c r="H101" s="39">
        <f>DSUM($B$73:$Y$77,H$73,$C$84:$D101)</f>
        <v>0</v>
      </c>
      <c r="I101" s="39">
        <f>DSUM($B$73:$Y$77,I$73,$C$84:$D101)</f>
        <v>0</v>
      </c>
      <c r="J101" s="39">
        <f>DSUM($B$73:$Y$77,J$73,$C$84:$D101)</f>
        <v>0</v>
      </c>
      <c r="K101" s="39">
        <f>DSUM($B$73:$Y$77,K$73,$C$84:$D101)</f>
        <v>0</v>
      </c>
      <c r="L101" s="39">
        <f>DSUM($B$73:$Y$77,L$73,$C$84:$D101)</f>
        <v>0</v>
      </c>
      <c r="M101" s="39">
        <f>DSUM($B$73:$Y$77,M$73,$C$84:$D101)</f>
        <v>0</v>
      </c>
      <c r="N101" s="39">
        <f>DSUM($B$73:$Y$77,N$73,$C$84:$D101)</f>
        <v>0</v>
      </c>
      <c r="O101" s="39">
        <f>DSUM($B$73:$Y$77,O$73,$C$84:$D101)</f>
        <v>0</v>
      </c>
      <c r="P101" s="39">
        <f>DSUM($B$73:$Y$77,P$73,$C$84:$D101)</f>
        <v>0</v>
      </c>
      <c r="Q101" s="39">
        <f>DSUM($B$73:$Y$77,Q$73,$C$84:$D101)</f>
        <v>0</v>
      </c>
      <c r="R101" s="39">
        <f>DSUM($B$73:$Y$77,R$73,$C$84:$D101)</f>
        <v>0</v>
      </c>
      <c r="S101" s="39">
        <f>DSUM($B$73:$Y$77,S$73,$C$84:$D101)</f>
        <v>0</v>
      </c>
      <c r="T101" s="39">
        <f>DSUM($B$73:$Y$77,T$73,$C$84:$D101)</f>
        <v>0</v>
      </c>
      <c r="U101" s="39">
        <f>DSUM($B$73:$Y$77,U$73,$C$84:$D101)</f>
        <v>0</v>
      </c>
      <c r="V101" s="39">
        <f>DSUM($B$73:$Y$77,V$73,$C$84:$D101)</f>
        <v>0</v>
      </c>
      <c r="W101" s="39">
        <f>DSUM($B$73:$Y$77,W$73,$C$84:$D101)</f>
        <v>0</v>
      </c>
      <c r="X101" s="39">
        <f>DSUM($B$73:$Y$77,X$73,$C$84:$D101)</f>
        <v>0</v>
      </c>
      <c r="Y101" s="39">
        <f>DSUM($B$73:$Y$77,Y$73,$C$84:$D101)</f>
        <v>0</v>
      </c>
      <c r="Z101" s="9"/>
      <c r="AA101" s="9"/>
      <c r="AB101" s="9"/>
    </row>
    <row r="102" spans="1:28" customFormat="1">
      <c r="A102" s="9"/>
      <c r="B102" s="9" t="s">
        <v>117</v>
      </c>
      <c r="C102" s="50" t="s">
        <v>118</v>
      </c>
      <c r="D102" s="50" t="s">
        <v>119</v>
      </c>
      <c r="E102" s="39">
        <f ca="1">DSUM($B$73:$Y$77,E$73,$C$84:$D102)</f>
        <v>4.7703638614783319E-3</v>
      </c>
      <c r="F102" s="39">
        <f ca="1">DSUM($B$73:$Y$77,F$73,$C$84:$D102)</f>
        <v>1.4273522507170421E-2</v>
      </c>
      <c r="G102" s="39">
        <f ca="1">DSUM($B$73:$Y$77,G$73,$C$84:$D102)</f>
        <v>3.1095273266784393E-2</v>
      </c>
      <c r="H102" s="39">
        <f ca="1">DSUM($B$73:$Y$77,H$73,$C$84:$D102)</f>
        <v>5.8378013714501756E-2</v>
      </c>
      <c r="I102" s="39">
        <f ca="1">DSUM($B$73:$Y$77,I$73,$C$84:$D102)</f>
        <v>9.9669736761001632E-2</v>
      </c>
      <c r="J102" s="39">
        <f ca="1">DSUM($B$73:$Y$77,J$73,$C$84:$D102)</f>
        <v>0.15863711676539766</v>
      </c>
      <c r="K102" s="39">
        <f ca="1">DSUM($B$73:$Y$77,K$73,$C$84:$D102)</f>
        <v>0.23861374294285231</v>
      </c>
      <c r="L102" s="39">
        <f ca="1">DSUM($B$73:$Y$77,L$73,$C$84:$D102)</f>
        <v>0.34198099296589934</v>
      </c>
      <c r="M102" s="39">
        <f ca="1">DSUM($B$73:$Y$77,M$73,$C$84:$D102)</f>
        <v>0.46943022884713675</v>
      </c>
      <c r="N102" s="39">
        <f ca="1">DSUM($B$73:$Y$77,N$73,$C$84:$D102)</f>
        <v>0.61922957195842399</v>
      </c>
      <c r="O102" s="39">
        <f ca="1">DSUM($B$73:$Y$77,O$73,$C$84:$D102)</f>
        <v>0.78670016284386457</v>
      </c>
      <c r="P102" s="39">
        <f ca="1">DSUM($B$73:$Y$77,P$73,$C$84:$D102)</f>
        <v>0.96415882653921581</v>
      </c>
      <c r="Q102" s="39">
        <f ca="1">DSUM($B$73:$Y$77,Q$73,$C$84:$D102)</f>
        <v>1.1415541193016661</v>
      </c>
      <c r="R102" s="39">
        <f ca="1">DSUM($B$73:$Y$77,R$73,$C$84:$D102)</f>
        <v>1.3078663350478221</v>
      </c>
      <c r="S102" s="39">
        <f ca="1">DSUM($B$73:$Y$77,S$73,$C$84:$D102)</f>
        <v>1.4530640101356069</v>
      </c>
      <c r="T102" s="39">
        <f ca="1">DSUM($B$73:$Y$77,T$73,$C$84:$D102)</f>
        <v>1.7551534176524939</v>
      </c>
      <c r="U102" s="39">
        <f ca="1">DSUM($B$73:$Y$77,U$73,$C$84:$D102)</f>
        <v>1.8433273292372325</v>
      </c>
      <c r="V102" s="39">
        <f ca="1">DSUM($B$73:$Y$77,V$73,$C$84:$D102)</f>
        <v>1.8970592814187324</v>
      </c>
      <c r="W102" s="39">
        <f ca="1">DSUM($B$73:$Y$77,W$73,$C$84:$D102)</f>
        <v>1.9280010157569285</v>
      </c>
      <c r="X102" s="39">
        <f ca="1">DSUM($B$73:$Y$77,X$73,$C$84:$D102)</f>
        <v>1.9383559472857086</v>
      </c>
      <c r="Y102" s="39">
        <f ca="1">DSUM($B$73:$Y$77,Y$73,$C$84:$D102)</f>
        <v>27.695296483085055</v>
      </c>
      <c r="Z102" s="9"/>
      <c r="AA102" s="9"/>
      <c r="AB102" s="9"/>
    </row>
    <row r="103" spans="1:28" customFormat="1">
      <c r="A103" s="9"/>
      <c r="B103" s="9" t="s">
        <v>120</v>
      </c>
      <c r="C103" s="50" t="s">
        <v>121</v>
      </c>
      <c r="D103" s="50" t="s">
        <v>122</v>
      </c>
      <c r="E103" s="39">
        <f ca="1">DSUM($B$73:$Y$77,E$73,$C$84:$D103)</f>
        <v>4.7703638614783319E-3</v>
      </c>
      <c r="F103" s="39">
        <f ca="1">DSUM($B$73:$Y$77,F$73,$C$84:$D103)</f>
        <v>1.4273522507170421E-2</v>
      </c>
      <c r="G103" s="39">
        <f ca="1">DSUM($B$73:$Y$77,G$73,$C$84:$D103)</f>
        <v>3.1095273266784393E-2</v>
      </c>
      <c r="H103" s="39">
        <f ca="1">DSUM($B$73:$Y$77,H$73,$C$84:$D103)</f>
        <v>5.8378013714501756E-2</v>
      </c>
      <c r="I103" s="39">
        <f ca="1">DSUM($B$73:$Y$77,I$73,$C$84:$D103)</f>
        <v>9.9669736761001632E-2</v>
      </c>
      <c r="J103" s="39">
        <f ca="1">DSUM($B$73:$Y$77,J$73,$C$84:$D103)</f>
        <v>0.15863711676539766</v>
      </c>
      <c r="K103" s="39">
        <f ca="1">DSUM($B$73:$Y$77,K$73,$C$84:$D103)</f>
        <v>0.23861374294285231</v>
      </c>
      <c r="L103" s="39">
        <f ca="1">DSUM($B$73:$Y$77,L$73,$C$84:$D103)</f>
        <v>0.34198099296589934</v>
      </c>
      <c r="M103" s="39">
        <f ca="1">DSUM($B$73:$Y$77,M$73,$C$84:$D103)</f>
        <v>0.46943022884713675</v>
      </c>
      <c r="N103" s="39">
        <f ca="1">DSUM($B$73:$Y$77,N$73,$C$84:$D103)</f>
        <v>0.61922957195842399</v>
      </c>
      <c r="O103" s="39">
        <f ca="1">DSUM($B$73:$Y$77,O$73,$C$84:$D103)</f>
        <v>0.78670016284386457</v>
      </c>
      <c r="P103" s="39">
        <f ca="1">DSUM($B$73:$Y$77,P$73,$C$84:$D103)</f>
        <v>0.96415882653921581</v>
      </c>
      <c r="Q103" s="39">
        <f ca="1">DSUM($B$73:$Y$77,Q$73,$C$84:$D103)</f>
        <v>1.1415541193016661</v>
      </c>
      <c r="R103" s="39">
        <f ca="1">DSUM($B$73:$Y$77,R$73,$C$84:$D103)</f>
        <v>1.3078663350478221</v>
      </c>
      <c r="S103" s="39">
        <f ca="1">DSUM($B$73:$Y$77,S$73,$C$84:$D103)</f>
        <v>1.4530640101356069</v>
      </c>
      <c r="T103" s="39">
        <f ca="1">DSUM($B$73:$Y$77,T$73,$C$84:$D103)</f>
        <v>1.7551534176524939</v>
      </c>
      <c r="U103" s="39">
        <f ca="1">DSUM($B$73:$Y$77,U$73,$C$84:$D103)</f>
        <v>1.8433273292372325</v>
      </c>
      <c r="V103" s="39">
        <f ca="1">DSUM($B$73:$Y$77,V$73,$C$84:$D103)</f>
        <v>1.8970592814187324</v>
      </c>
      <c r="W103" s="39">
        <f ca="1">DSUM($B$73:$Y$77,W$73,$C$84:$D103)</f>
        <v>1.9280010157569285</v>
      </c>
      <c r="X103" s="39">
        <f ca="1">DSUM($B$73:$Y$77,X$73,$C$84:$D103)</f>
        <v>1.9383559472857086</v>
      </c>
      <c r="Y103" s="39">
        <f ca="1">DSUM($B$73:$Y$77,Y$73,$C$84:$D103)</f>
        <v>27.695296483085055</v>
      </c>
      <c r="Z103" s="9"/>
      <c r="AA103" s="9"/>
      <c r="AB103" s="9"/>
    </row>
    <row r="104" spans="1:28" customFormat="1">
      <c r="A104" s="9"/>
      <c r="B104" s="9" t="s">
        <v>123</v>
      </c>
      <c r="C104" s="50" t="s">
        <v>124</v>
      </c>
      <c r="D104" s="50" t="s">
        <v>125</v>
      </c>
      <c r="E104" s="39">
        <f ca="1">DSUM($B$73:$Y$77,E$73,$C$84:$D104)</f>
        <v>4.8955374715287849E-3</v>
      </c>
      <c r="F104" s="39">
        <f ca="1">DSUM($B$73:$Y$77,F$73,$C$84:$D104)</f>
        <v>1.4648057530543927E-2</v>
      </c>
      <c r="G104" s="39">
        <f ca="1">DSUM($B$73:$Y$77,G$73,$C$84:$D104)</f>
        <v>3.1911208428825159E-2</v>
      </c>
      <c r="H104" s="39">
        <f ca="1">DSUM($B$73:$Y$77,H$73,$C$84:$D104)</f>
        <v>5.9909843766969596E-2</v>
      </c>
      <c r="I104" s="39">
        <f ca="1">DSUM($B$73:$Y$77,I$73,$C$84:$D104)</f>
        <v>0.10228505524098161</v>
      </c>
      <c r="J104" s="39">
        <f ca="1">DSUM($B$73:$Y$77,J$73,$C$84:$D104)</f>
        <v>0.16279973017815447</v>
      </c>
      <c r="K104" s="39">
        <f ca="1">DSUM($B$73:$Y$77,K$73,$C$84:$D104)</f>
        <v>0.2448749306591603</v>
      </c>
      <c r="L104" s="39">
        <f ca="1">DSUM($B$73:$Y$77,L$73,$C$84:$D104)</f>
        <v>0.35095452133841104</v>
      </c>
      <c r="M104" s="39">
        <f ca="1">DSUM($B$73:$Y$77,M$73,$C$84:$D104)</f>
        <v>0.4817480054608051</v>
      </c>
      <c r="N104" s="39">
        <f ca="1">DSUM($B$73:$Y$77,N$73,$C$84:$D104)</f>
        <v>0.6354780601708121</v>
      </c>
      <c r="O104" s="39">
        <f ca="1">DSUM($B$73:$Y$77,O$73,$C$84:$D104)</f>
        <v>0.80734305346393753</v>
      </c>
      <c r="P104" s="39">
        <f ca="1">DSUM($B$73:$Y$77,P$73,$C$84:$D104)</f>
        <v>0.98945820505297999</v>
      </c>
      <c r="Q104" s="39">
        <f ca="1">DSUM($B$73:$Y$77,Q$73,$C$84:$D104)</f>
        <v>1.1715083228656418</v>
      </c>
      <c r="R104" s="39">
        <f ca="1">DSUM($B$73:$Y$77,R$73,$C$84:$D104)</f>
        <v>1.3421845454349555</v>
      </c>
      <c r="S104" s="39">
        <f ca="1">DSUM($B$73:$Y$77,S$73,$C$84:$D104)</f>
        <v>1.4911921850641114</v>
      </c>
      <c r="T104" s="39">
        <f ca="1">DSUM($B$73:$Y$77,T$73,$C$84:$D104)</f>
        <v>1.8012083719200429</v>
      </c>
      <c r="U104" s="39">
        <f ca="1">DSUM($B$73:$Y$77,U$73,$C$84:$D104)</f>
        <v>1.8916959533098163</v>
      </c>
      <c r="V104" s="39">
        <f ca="1">DSUM($B$73:$Y$77,V$73,$C$84:$D104)</f>
        <v>1.9468378236076109</v>
      </c>
      <c r="W104" s="39">
        <f ca="1">DSUM($B$73:$Y$77,W$73,$C$84:$D104)</f>
        <v>1.9785914642701046</v>
      </c>
      <c r="X104" s="39">
        <f ca="1">DSUM($B$73:$Y$77,X$73,$C$84:$D104)</f>
        <v>1.9892181076009443</v>
      </c>
      <c r="Y104" s="39">
        <f ca="1">DSUM($B$73:$Y$77,Y$73,$C$84:$D104)</f>
        <v>28.422016780083752</v>
      </c>
      <c r="Z104" s="9"/>
      <c r="AA104" s="9"/>
      <c r="AB104" s="9"/>
    </row>
    <row r="105" spans="1:28" customFormat="1">
      <c r="A105" s="9"/>
      <c r="B105" s="9" t="s">
        <v>126</v>
      </c>
      <c r="C105" s="50" t="s">
        <v>127</v>
      </c>
      <c r="D105" s="50" t="s">
        <v>128</v>
      </c>
      <c r="E105" s="39">
        <f ca="1">DSUM($B$73:$Y$77,E$73,$C$84:$D105)</f>
        <v>4.8955374715287849E-3</v>
      </c>
      <c r="F105" s="39">
        <f ca="1">DSUM($B$73:$Y$77,F$73,$C$84:$D105)</f>
        <v>1.4648057530543927E-2</v>
      </c>
      <c r="G105" s="39">
        <f ca="1">DSUM($B$73:$Y$77,G$73,$C$84:$D105)</f>
        <v>3.1911208428825159E-2</v>
      </c>
      <c r="H105" s="39">
        <f ca="1">DSUM($B$73:$Y$77,H$73,$C$84:$D105)</f>
        <v>5.9909843766969596E-2</v>
      </c>
      <c r="I105" s="39">
        <f ca="1">DSUM($B$73:$Y$77,I$73,$C$84:$D105)</f>
        <v>0.10228505524098161</v>
      </c>
      <c r="J105" s="39">
        <f ca="1">DSUM($B$73:$Y$77,J$73,$C$84:$D105)</f>
        <v>0.16279973017815447</v>
      </c>
      <c r="K105" s="39">
        <f ca="1">DSUM($B$73:$Y$77,K$73,$C$84:$D105)</f>
        <v>0.2448749306591603</v>
      </c>
      <c r="L105" s="39">
        <f ca="1">DSUM($B$73:$Y$77,L$73,$C$84:$D105)</f>
        <v>0.35095452133841104</v>
      </c>
      <c r="M105" s="39">
        <f ca="1">DSUM($B$73:$Y$77,M$73,$C$84:$D105)</f>
        <v>0.4817480054608051</v>
      </c>
      <c r="N105" s="39">
        <f ca="1">DSUM($B$73:$Y$77,N$73,$C$84:$D105)</f>
        <v>0.6354780601708121</v>
      </c>
      <c r="O105" s="39">
        <f ca="1">DSUM($B$73:$Y$77,O$73,$C$84:$D105)</f>
        <v>0.80734305346393753</v>
      </c>
      <c r="P105" s="39">
        <f ca="1">DSUM($B$73:$Y$77,P$73,$C$84:$D105)</f>
        <v>0.98945820505297999</v>
      </c>
      <c r="Q105" s="39">
        <f ca="1">DSUM($B$73:$Y$77,Q$73,$C$84:$D105)</f>
        <v>1.1715083228656418</v>
      </c>
      <c r="R105" s="39">
        <f ca="1">DSUM($B$73:$Y$77,R$73,$C$84:$D105)</f>
        <v>1.3421845454349555</v>
      </c>
      <c r="S105" s="39">
        <f ca="1">DSUM($B$73:$Y$77,S$73,$C$84:$D105)</f>
        <v>1.4911921850641114</v>
      </c>
      <c r="T105" s="39">
        <f ca="1">DSUM($B$73:$Y$77,T$73,$C$84:$D105)</f>
        <v>1.8012083719200429</v>
      </c>
      <c r="U105" s="39">
        <f ca="1">DSUM($B$73:$Y$77,U$73,$C$84:$D105)</f>
        <v>1.8916959533098163</v>
      </c>
      <c r="V105" s="39">
        <f ca="1">DSUM($B$73:$Y$77,V$73,$C$84:$D105)</f>
        <v>1.9468378236076109</v>
      </c>
      <c r="W105" s="39">
        <f ca="1">DSUM($B$73:$Y$77,W$73,$C$84:$D105)</f>
        <v>1.9785914642701046</v>
      </c>
      <c r="X105" s="39">
        <f ca="1">DSUM($B$73:$Y$77,X$73,$C$84:$D105)</f>
        <v>1.9892181076009443</v>
      </c>
      <c r="Y105" s="39">
        <f ca="1">DSUM($B$73:$Y$77,Y$73,$C$84:$D105)</f>
        <v>28.422016780083752</v>
      </c>
      <c r="Z105" s="9"/>
      <c r="AA105" s="9"/>
      <c r="AB105" s="9"/>
    </row>
    <row r="106" spans="1:28" customFormat="1">
      <c r="A106" s="9"/>
      <c r="B106" s="9" t="s">
        <v>171</v>
      </c>
      <c r="C106" s="50" t="s">
        <v>129</v>
      </c>
      <c r="D106" s="50" t="s">
        <v>172</v>
      </c>
      <c r="E106" s="39">
        <f ca="1">DSUM($B$73:$Y$77,E$73,$C$84:$D106)</f>
        <v>4.8955374715287849E-3</v>
      </c>
      <c r="F106" s="39">
        <f ca="1">DSUM($B$73:$Y$77,F$73,$C$84:$D106)</f>
        <v>1.4648057530543927E-2</v>
      </c>
      <c r="G106" s="39">
        <f ca="1">DSUM($B$73:$Y$77,G$73,$C$84:$D106)</f>
        <v>3.1911208428825159E-2</v>
      </c>
      <c r="H106" s="39">
        <f ca="1">DSUM($B$73:$Y$77,H$73,$C$84:$D106)</f>
        <v>5.9909843766969596E-2</v>
      </c>
      <c r="I106" s="39">
        <f ca="1">DSUM($B$73:$Y$77,I$73,$C$84:$D106)</f>
        <v>0.10228505524098161</v>
      </c>
      <c r="J106" s="39">
        <f ca="1">DSUM($B$73:$Y$77,J$73,$C$84:$D106)</f>
        <v>0.16279973017815447</v>
      </c>
      <c r="K106" s="39">
        <f ca="1">DSUM($B$73:$Y$77,K$73,$C$84:$D106)</f>
        <v>0.2448749306591603</v>
      </c>
      <c r="L106" s="39">
        <f ca="1">DSUM($B$73:$Y$77,L$73,$C$84:$D106)</f>
        <v>0.35095452133841104</v>
      </c>
      <c r="M106" s="39">
        <f ca="1">DSUM($B$73:$Y$77,M$73,$C$84:$D106)</f>
        <v>0.4817480054608051</v>
      </c>
      <c r="N106" s="39">
        <f ca="1">DSUM($B$73:$Y$77,N$73,$C$84:$D106)</f>
        <v>0.6354780601708121</v>
      </c>
      <c r="O106" s="39">
        <f ca="1">DSUM($B$73:$Y$77,O$73,$C$84:$D106)</f>
        <v>0.80734305346393753</v>
      </c>
      <c r="P106" s="39">
        <f ca="1">DSUM($B$73:$Y$77,P$73,$C$84:$D106)</f>
        <v>0.98945820505297999</v>
      </c>
      <c r="Q106" s="39">
        <f ca="1">DSUM($B$73:$Y$77,Q$73,$C$84:$D106)</f>
        <v>1.1715083228656418</v>
      </c>
      <c r="R106" s="39">
        <f ca="1">DSUM($B$73:$Y$77,R$73,$C$84:$D106)</f>
        <v>1.3421845454349555</v>
      </c>
      <c r="S106" s="39">
        <f ca="1">DSUM($B$73:$Y$77,S$73,$C$84:$D106)</f>
        <v>1.4911921850641114</v>
      </c>
      <c r="T106" s="39">
        <f ca="1">DSUM($B$73:$Y$77,T$73,$C$84:$D106)</f>
        <v>1.8012083719200429</v>
      </c>
      <c r="U106" s="39">
        <f ca="1">DSUM($B$73:$Y$77,U$73,$C$84:$D106)</f>
        <v>1.8916959533098163</v>
      </c>
      <c r="V106" s="39">
        <f ca="1">DSUM($B$73:$Y$77,V$73,$C$84:$D106)</f>
        <v>1.9468378236076109</v>
      </c>
      <c r="W106" s="39">
        <f ca="1">DSUM($B$73:$Y$77,W$73,$C$84:$D106)</f>
        <v>1.9785914642701046</v>
      </c>
      <c r="X106" s="39">
        <f ca="1">DSUM($B$73:$Y$77,X$73,$C$84:$D106)</f>
        <v>1.9892181076009443</v>
      </c>
      <c r="Y106" s="39">
        <f ca="1">DSUM($B$73:$Y$77,Y$73,$C$84:$D106)</f>
        <v>28.422016780083752</v>
      </c>
      <c r="Z106" s="9"/>
      <c r="AA106" s="9"/>
      <c r="AB106" s="9"/>
    </row>
    <row r="107" spans="1:28" customFormat="1">
      <c r="A107" s="9"/>
      <c r="B107" s="9" t="s">
        <v>173</v>
      </c>
      <c r="C107" s="50" t="s">
        <v>174</v>
      </c>
      <c r="D107" s="50" t="s">
        <v>175</v>
      </c>
      <c r="E107" s="39">
        <f ca="1">DSUM($B$73:$Y$77,E$73,$C$84:$D107)</f>
        <v>4.8955374715287849E-3</v>
      </c>
      <c r="F107" s="39">
        <f ca="1">DSUM($B$73:$Y$77,F$73,$C$84:$D107)</f>
        <v>1.4648057530543927E-2</v>
      </c>
      <c r="G107" s="39">
        <f ca="1">DSUM($B$73:$Y$77,G$73,$C$84:$D107)</f>
        <v>3.1911208428825159E-2</v>
      </c>
      <c r="H107" s="39">
        <f ca="1">DSUM($B$73:$Y$77,H$73,$C$84:$D107)</f>
        <v>5.9909843766969596E-2</v>
      </c>
      <c r="I107" s="39">
        <f ca="1">DSUM($B$73:$Y$77,I$73,$C$84:$D107)</f>
        <v>0.10228505524098161</v>
      </c>
      <c r="J107" s="39">
        <f ca="1">DSUM($B$73:$Y$77,J$73,$C$84:$D107)</f>
        <v>0.16279973017815447</v>
      </c>
      <c r="K107" s="39">
        <f ca="1">DSUM($B$73:$Y$77,K$73,$C$84:$D107)</f>
        <v>0.2448749306591603</v>
      </c>
      <c r="L107" s="39">
        <f ca="1">DSUM($B$73:$Y$77,L$73,$C$84:$D107)</f>
        <v>0.35095452133841104</v>
      </c>
      <c r="M107" s="39">
        <f ca="1">DSUM($B$73:$Y$77,M$73,$C$84:$D107)</f>
        <v>0.4817480054608051</v>
      </c>
      <c r="N107" s="39">
        <f ca="1">DSUM($B$73:$Y$77,N$73,$C$84:$D107)</f>
        <v>0.6354780601708121</v>
      </c>
      <c r="O107" s="39">
        <f ca="1">DSUM($B$73:$Y$77,O$73,$C$84:$D107)</f>
        <v>0.80734305346393753</v>
      </c>
      <c r="P107" s="39">
        <f ca="1">DSUM($B$73:$Y$77,P$73,$C$84:$D107)</f>
        <v>0.98945820505297999</v>
      </c>
      <c r="Q107" s="39">
        <f ca="1">DSUM($B$73:$Y$77,Q$73,$C$84:$D107)</f>
        <v>1.1715083228656418</v>
      </c>
      <c r="R107" s="39">
        <f ca="1">DSUM($B$73:$Y$77,R$73,$C$84:$D107)</f>
        <v>1.3421845454349555</v>
      </c>
      <c r="S107" s="39">
        <f ca="1">DSUM($B$73:$Y$77,S$73,$C$84:$D107)</f>
        <v>1.4911921850641114</v>
      </c>
      <c r="T107" s="39">
        <f ca="1">DSUM($B$73:$Y$77,T$73,$C$84:$D107)</f>
        <v>1.8012083719200429</v>
      </c>
      <c r="U107" s="39">
        <f ca="1">DSUM($B$73:$Y$77,U$73,$C$84:$D107)</f>
        <v>1.8916959533098163</v>
      </c>
      <c r="V107" s="39">
        <f ca="1">DSUM($B$73:$Y$77,V$73,$C$84:$D107)</f>
        <v>1.9468378236076109</v>
      </c>
      <c r="W107" s="39">
        <f ca="1">DSUM($B$73:$Y$77,W$73,$C$84:$D107)</f>
        <v>1.9785914642701046</v>
      </c>
      <c r="X107" s="39">
        <f ca="1">DSUM($B$73:$Y$77,X$73,$C$84:$D107)</f>
        <v>1.9892181076009443</v>
      </c>
      <c r="Y107" s="39">
        <f ca="1">DSUM($B$73:$Y$77,Y$73,$C$84:$D107)</f>
        <v>28.422016780083752</v>
      </c>
      <c r="Z107" s="9"/>
      <c r="AA107" s="9"/>
      <c r="AB107" s="9"/>
    </row>
    <row r="108" spans="1:28" customFormat="1">
      <c r="A108" s="9"/>
      <c r="B108" s="9" t="s">
        <v>176</v>
      </c>
      <c r="C108" s="50" t="s">
        <v>177</v>
      </c>
      <c r="D108" s="50" t="s">
        <v>178</v>
      </c>
      <c r="E108" s="39">
        <f ca="1">DSUM($B$73:$Y$77,E$73,$C$84:$D108)</f>
        <v>4.8955374715287849E-3</v>
      </c>
      <c r="F108" s="39">
        <f ca="1">DSUM($B$73:$Y$77,F$73,$C$84:$D108)</f>
        <v>1.4648057530543927E-2</v>
      </c>
      <c r="G108" s="39">
        <f ca="1">DSUM($B$73:$Y$77,G$73,$C$84:$D108)</f>
        <v>3.1911208428825159E-2</v>
      </c>
      <c r="H108" s="39">
        <f ca="1">DSUM($B$73:$Y$77,H$73,$C$84:$D108)</f>
        <v>5.9909843766969596E-2</v>
      </c>
      <c r="I108" s="39">
        <f ca="1">DSUM($B$73:$Y$77,I$73,$C$84:$D108)</f>
        <v>0.10228505524098161</v>
      </c>
      <c r="J108" s="39">
        <f ca="1">DSUM($B$73:$Y$77,J$73,$C$84:$D108)</f>
        <v>0.16279973017815447</v>
      </c>
      <c r="K108" s="39">
        <f ca="1">DSUM($B$73:$Y$77,K$73,$C$84:$D108)</f>
        <v>0.2448749306591603</v>
      </c>
      <c r="L108" s="39">
        <f ca="1">DSUM($B$73:$Y$77,L$73,$C$84:$D108)</f>
        <v>0.35095452133841104</v>
      </c>
      <c r="M108" s="39">
        <f ca="1">DSUM($B$73:$Y$77,M$73,$C$84:$D108)</f>
        <v>0.4817480054608051</v>
      </c>
      <c r="N108" s="39">
        <f ca="1">DSUM($B$73:$Y$77,N$73,$C$84:$D108)</f>
        <v>0.6354780601708121</v>
      </c>
      <c r="O108" s="39">
        <f ca="1">DSUM($B$73:$Y$77,O$73,$C$84:$D108)</f>
        <v>0.80734305346393753</v>
      </c>
      <c r="P108" s="39">
        <f ca="1">DSUM($B$73:$Y$77,P$73,$C$84:$D108)</f>
        <v>0.98945820505297999</v>
      </c>
      <c r="Q108" s="39">
        <f ca="1">DSUM($B$73:$Y$77,Q$73,$C$84:$D108)</f>
        <v>1.1715083228656418</v>
      </c>
      <c r="R108" s="39">
        <f ca="1">DSUM($B$73:$Y$77,R$73,$C$84:$D108)</f>
        <v>1.3421845454349555</v>
      </c>
      <c r="S108" s="39">
        <f ca="1">DSUM($B$73:$Y$77,S$73,$C$84:$D108)</f>
        <v>1.4911921850641114</v>
      </c>
      <c r="T108" s="39">
        <f ca="1">DSUM($B$73:$Y$77,T$73,$C$84:$D108)</f>
        <v>1.8012083719200429</v>
      </c>
      <c r="U108" s="39">
        <f ca="1">DSUM($B$73:$Y$77,U$73,$C$84:$D108)</f>
        <v>1.8916959533098163</v>
      </c>
      <c r="V108" s="39">
        <f ca="1">DSUM($B$73:$Y$77,V$73,$C$84:$D108)</f>
        <v>1.9468378236076109</v>
      </c>
      <c r="W108" s="39">
        <f ca="1">DSUM($B$73:$Y$77,W$73,$C$84:$D108)</f>
        <v>1.9785914642701046</v>
      </c>
      <c r="X108" s="39">
        <f ca="1">DSUM($B$73:$Y$77,X$73,$C$84:$D108)</f>
        <v>1.9892181076009443</v>
      </c>
      <c r="Y108" s="39">
        <f ca="1">DSUM($B$73:$Y$77,Y$73,$C$84:$D108)</f>
        <v>28.422016780083752</v>
      </c>
      <c r="Z108" s="9"/>
      <c r="AA108" s="9"/>
      <c r="AB108" s="9"/>
    </row>
    <row r="109" spans="1:28" customFormat="1">
      <c r="A109" s="9"/>
      <c r="B109" s="9" t="s">
        <v>179</v>
      </c>
      <c r="C109" s="50" t="s">
        <v>180</v>
      </c>
      <c r="D109" s="50" t="s">
        <v>181</v>
      </c>
      <c r="E109" s="39">
        <f ca="1">DSUM($B$73:$Y$77,E$73,$C$84:$D109)</f>
        <v>4.8955374715287849E-3</v>
      </c>
      <c r="F109" s="39">
        <f ca="1">DSUM($B$73:$Y$77,F$73,$C$84:$D109)</f>
        <v>1.4648057530543927E-2</v>
      </c>
      <c r="G109" s="39">
        <f ca="1">DSUM($B$73:$Y$77,G$73,$C$84:$D109)</f>
        <v>3.1911208428825159E-2</v>
      </c>
      <c r="H109" s="39">
        <f ca="1">DSUM($B$73:$Y$77,H$73,$C$84:$D109)</f>
        <v>5.9909843766969596E-2</v>
      </c>
      <c r="I109" s="39">
        <f ca="1">DSUM($B$73:$Y$77,I$73,$C$84:$D109)</f>
        <v>0.10228505524098161</v>
      </c>
      <c r="J109" s="39">
        <f ca="1">DSUM($B$73:$Y$77,J$73,$C$84:$D109)</f>
        <v>0.16279973017815447</v>
      </c>
      <c r="K109" s="39">
        <f ca="1">DSUM($B$73:$Y$77,K$73,$C$84:$D109)</f>
        <v>0.2448749306591603</v>
      </c>
      <c r="L109" s="39">
        <f ca="1">DSUM($B$73:$Y$77,L$73,$C$84:$D109)</f>
        <v>0.35095452133841104</v>
      </c>
      <c r="M109" s="39">
        <f ca="1">DSUM($B$73:$Y$77,M$73,$C$84:$D109)</f>
        <v>0.4817480054608051</v>
      </c>
      <c r="N109" s="39">
        <f ca="1">DSUM($B$73:$Y$77,N$73,$C$84:$D109)</f>
        <v>0.6354780601708121</v>
      </c>
      <c r="O109" s="39">
        <f ca="1">DSUM($B$73:$Y$77,O$73,$C$84:$D109)</f>
        <v>0.80734305346393753</v>
      </c>
      <c r="P109" s="39">
        <f ca="1">DSUM($B$73:$Y$77,P$73,$C$84:$D109)</f>
        <v>0.98945820505297999</v>
      </c>
      <c r="Q109" s="39">
        <f ca="1">DSUM($B$73:$Y$77,Q$73,$C$84:$D109)</f>
        <v>1.1715083228656418</v>
      </c>
      <c r="R109" s="39">
        <f ca="1">DSUM($B$73:$Y$77,R$73,$C$84:$D109)</f>
        <v>1.3421845454349555</v>
      </c>
      <c r="S109" s="39">
        <f ca="1">DSUM($B$73:$Y$77,S$73,$C$84:$D109)</f>
        <v>1.4911921850641114</v>
      </c>
      <c r="T109" s="39">
        <f ca="1">DSUM($B$73:$Y$77,T$73,$C$84:$D109)</f>
        <v>1.8012083719200429</v>
      </c>
      <c r="U109" s="39">
        <f ca="1">DSUM($B$73:$Y$77,U$73,$C$84:$D109)</f>
        <v>1.8916959533098163</v>
      </c>
      <c r="V109" s="39">
        <f ca="1">DSUM($B$73:$Y$77,V$73,$C$84:$D109)</f>
        <v>1.9468378236076109</v>
      </c>
      <c r="W109" s="39">
        <f ca="1">DSUM($B$73:$Y$77,W$73,$C$84:$D109)</f>
        <v>1.9785914642701046</v>
      </c>
      <c r="X109" s="39">
        <f ca="1">DSUM($B$73:$Y$77,X$73,$C$84:$D109)</f>
        <v>1.9892181076009443</v>
      </c>
      <c r="Y109" s="39">
        <f ca="1">DSUM($B$73:$Y$77,Y$73,$C$84:$D109)</f>
        <v>28.422016780083752</v>
      </c>
      <c r="Z109" s="9"/>
      <c r="AA109" s="9"/>
      <c r="AB109" s="9"/>
    </row>
    <row r="110" spans="1:28" customFormat="1">
      <c r="A110" s="9"/>
      <c r="B110" s="9" t="s">
        <v>182</v>
      </c>
      <c r="C110" s="50" t="s">
        <v>183</v>
      </c>
      <c r="D110" s="50" t="s">
        <v>184</v>
      </c>
      <c r="E110" s="39">
        <f ca="1">DSUM($B$73:$Y$77,E$73,$C$84:$D110)</f>
        <v>4.8955374715287849E-3</v>
      </c>
      <c r="F110" s="39">
        <f ca="1">DSUM($B$73:$Y$77,F$73,$C$84:$D110)</f>
        <v>1.4648057530543927E-2</v>
      </c>
      <c r="G110" s="39">
        <f ca="1">DSUM($B$73:$Y$77,G$73,$C$84:$D110)</f>
        <v>3.1911208428825159E-2</v>
      </c>
      <c r="H110" s="39">
        <f ca="1">DSUM($B$73:$Y$77,H$73,$C$84:$D110)</f>
        <v>5.9909843766969596E-2</v>
      </c>
      <c r="I110" s="39">
        <f ca="1">DSUM($B$73:$Y$77,I$73,$C$84:$D110)</f>
        <v>0.10228505524098161</v>
      </c>
      <c r="J110" s="39">
        <f ca="1">DSUM($B$73:$Y$77,J$73,$C$84:$D110)</f>
        <v>0.16279973017815447</v>
      </c>
      <c r="K110" s="39">
        <f ca="1">DSUM($B$73:$Y$77,K$73,$C$84:$D110)</f>
        <v>0.2448749306591603</v>
      </c>
      <c r="L110" s="39">
        <f ca="1">DSUM($B$73:$Y$77,L$73,$C$84:$D110)</f>
        <v>0.35095452133841104</v>
      </c>
      <c r="M110" s="39">
        <f ca="1">DSUM($B$73:$Y$77,M$73,$C$84:$D110)</f>
        <v>0.4817480054608051</v>
      </c>
      <c r="N110" s="39">
        <f ca="1">DSUM($B$73:$Y$77,N$73,$C$84:$D110)</f>
        <v>0.6354780601708121</v>
      </c>
      <c r="O110" s="39">
        <f ca="1">DSUM($B$73:$Y$77,O$73,$C$84:$D110)</f>
        <v>0.80734305346393753</v>
      </c>
      <c r="P110" s="39">
        <f ca="1">DSUM($B$73:$Y$77,P$73,$C$84:$D110)</f>
        <v>0.98945820505297999</v>
      </c>
      <c r="Q110" s="39">
        <f ca="1">DSUM($B$73:$Y$77,Q$73,$C$84:$D110)</f>
        <v>1.1715083228656418</v>
      </c>
      <c r="R110" s="39">
        <f ca="1">DSUM($B$73:$Y$77,R$73,$C$84:$D110)</f>
        <v>1.3421845454349555</v>
      </c>
      <c r="S110" s="39">
        <f ca="1">DSUM($B$73:$Y$77,S$73,$C$84:$D110)</f>
        <v>1.4911921850641114</v>
      </c>
      <c r="T110" s="39">
        <f ca="1">DSUM($B$73:$Y$77,T$73,$C$84:$D110)</f>
        <v>1.8012083719200429</v>
      </c>
      <c r="U110" s="39">
        <f ca="1">DSUM($B$73:$Y$77,U$73,$C$84:$D110)</f>
        <v>1.8916959533098163</v>
      </c>
      <c r="V110" s="39">
        <f ca="1">DSUM($B$73:$Y$77,V$73,$C$84:$D110)</f>
        <v>1.9468378236076109</v>
      </c>
      <c r="W110" s="39">
        <f ca="1">DSUM($B$73:$Y$77,W$73,$C$84:$D110)</f>
        <v>1.9785914642701046</v>
      </c>
      <c r="X110" s="39">
        <f ca="1">DSUM($B$73:$Y$77,X$73,$C$84:$D110)</f>
        <v>1.9892181076009443</v>
      </c>
      <c r="Y110" s="39">
        <f ca="1">DSUM($B$73:$Y$77,Y$73,$C$84:$D110)</f>
        <v>28.422016780083752</v>
      </c>
      <c r="Z110" s="9"/>
      <c r="AA110" s="9"/>
      <c r="AB110" s="9"/>
    </row>
    <row r="111" spans="1:28" customFormat="1">
      <c r="A111" s="9"/>
      <c r="B111" s="9" t="s">
        <v>185</v>
      </c>
      <c r="C111" s="50" t="s">
        <v>186</v>
      </c>
      <c r="D111" s="50" t="s">
        <v>187</v>
      </c>
      <c r="E111" s="39">
        <f ca="1">DSUM($B$73:$Y$77,E$73,$C$84:$D111)</f>
        <v>4.8955374715287849E-3</v>
      </c>
      <c r="F111" s="39">
        <f ca="1">DSUM($B$73:$Y$77,F$73,$C$84:$D111)</f>
        <v>1.4648057530543927E-2</v>
      </c>
      <c r="G111" s="39">
        <f ca="1">DSUM($B$73:$Y$77,G$73,$C$84:$D111)</f>
        <v>3.1911208428825159E-2</v>
      </c>
      <c r="H111" s="39">
        <f ca="1">DSUM($B$73:$Y$77,H$73,$C$84:$D111)</f>
        <v>5.9909843766969596E-2</v>
      </c>
      <c r="I111" s="39">
        <f ca="1">DSUM($B$73:$Y$77,I$73,$C$84:$D111)</f>
        <v>0.10228505524098161</v>
      </c>
      <c r="J111" s="39">
        <f ca="1">DSUM($B$73:$Y$77,J$73,$C$84:$D111)</f>
        <v>0.16279973017815447</v>
      </c>
      <c r="K111" s="39">
        <f ca="1">DSUM($B$73:$Y$77,K$73,$C$84:$D111)</f>
        <v>0.2448749306591603</v>
      </c>
      <c r="L111" s="39">
        <f ca="1">DSUM($B$73:$Y$77,L$73,$C$84:$D111)</f>
        <v>0.35095452133841104</v>
      </c>
      <c r="M111" s="39">
        <f ca="1">DSUM($B$73:$Y$77,M$73,$C$84:$D111)</f>
        <v>0.4817480054608051</v>
      </c>
      <c r="N111" s="39">
        <f ca="1">DSUM($B$73:$Y$77,N$73,$C$84:$D111)</f>
        <v>0.6354780601708121</v>
      </c>
      <c r="O111" s="39">
        <f ca="1">DSUM($B$73:$Y$77,O$73,$C$84:$D111)</f>
        <v>0.80734305346393753</v>
      </c>
      <c r="P111" s="39">
        <f ca="1">DSUM($B$73:$Y$77,P$73,$C$84:$D111)</f>
        <v>0.98945820505297999</v>
      </c>
      <c r="Q111" s="39">
        <f ca="1">DSUM($B$73:$Y$77,Q$73,$C$84:$D111)</f>
        <v>1.1715083228656418</v>
      </c>
      <c r="R111" s="39">
        <f ca="1">DSUM($B$73:$Y$77,R$73,$C$84:$D111)</f>
        <v>1.3421845454349555</v>
      </c>
      <c r="S111" s="39">
        <f ca="1">DSUM($B$73:$Y$77,S$73,$C$84:$D111)</f>
        <v>1.4911921850641114</v>
      </c>
      <c r="T111" s="39">
        <f ca="1">DSUM($B$73:$Y$77,T$73,$C$84:$D111)</f>
        <v>1.8012083719200429</v>
      </c>
      <c r="U111" s="39">
        <f ca="1">DSUM($B$73:$Y$77,U$73,$C$84:$D111)</f>
        <v>1.8916959533098163</v>
      </c>
      <c r="V111" s="39">
        <f ca="1">DSUM($B$73:$Y$77,V$73,$C$84:$D111)</f>
        <v>1.9468378236076109</v>
      </c>
      <c r="W111" s="39">
        <f ca="1">DSUM($B$73:$Y$77,W$73,$C$84:$D111)</f>
        <v>1.9785914642701046</v>
      </c>
      <c r="X111" s="39">
        <f ca="1">DSUM($B$73:$Y$77,X$73,$C$84:$D111)</f>
        <v>1.9892181076009443</v>
      </c>
      <c r="Y111" s="39">
        <f ca="1">DSUM($B$73:$Y$77,Y$73,$C$84:$D111)</f>
        <v>28.422016780083752</v>
      </c>
      <c r="Z111" s="9"/>
      <c r="AA111" s="9"/>
      <c r="AB111" s="9"/>
    </row>
    <row r="112" spans="1:28" customFormat="1">
      <c r="A112" s="9"/>
      <c r="B112" s="9" t="s">
        <v>188</v>
      </c>
      <c r="C112" s="50" t="s">
        <v>189</v>
      </c>
      <c r="D112" s="50" t="s">
        <v>190</v>
      </c>
      <c r="E112" s="39">
        <f ca="1">DSUM($B$73:$Y$77,E$73,$C$84:$D112)</f>
        <v>4.8955374715287849E-3</v>
      </c>
      <c r="F112" s="39">
        <f ca="1">DSUM($B$73:$Y$77,F$73,$C$84:$D112)</f>
        <v>1.4648057530543927E-2</v>
      </c>
      <c r="G112" s="39">
        <f ca="1">DSUM($B$73:$Y$77,G$73,$C$84:$D112)</f>
        <v>3.1911208428825159E-2</v>
      </c>
      <c r="H112" s="39">
        <f ca="1">DSUM($B$73:$Y$77,H$73,$C$84:$D112)</f>
        <v>5.9909843766969596E-2</v>
      </c>
      <c r="I112" s="39">
        <f ca="1">DSUM($B$73:$Y$77,I$73,$C$84:$D112)</f>
        <v>0.10228505524098161</v>
      </c>
      <c r="J112" s="39">
        <f ca="1">DSUM($B$73:$Y$77,J$73,$C$84:$D112)</f>
        <v>0.16279973017815447</v>
      </c>
      <c r="K112" s="39">
        <f ca="1">DSUM($B$73:$Y$77,K$73,$C$84:$D112)</f>
        <v>0.2448749306591603</v>
      </c>
      <c r="L112" s="39">
        <f ca="1">DSUM($B$73:$Y$77,L$73,$C$84:$D112)</f>
        <v>0.35095452133841104</v>
      </c>
      <c r="M112" s="39">
        <f ca="1">DSUM($B$73:$Y$77,M$73,$C$84:$D112)</f>
        <v>0.4817480054608051</v>
      </c>
      <c r="N112" s="39">
        <f ca="1">DSUM($B$73:$Y$77,N$73,$C$84:$D112)</f>
        <v>0.6354780601708121</v>
      </c>
      <c r="O112" s="39">
        <f ca="1">DSUM($B$73:$Y$77,O$73,$C$84:$D112)</f>
        <v>0.80734305346393753</v>
      </c>
      <c r="P112" s="39">
        <f ca="1">DSUM($B$73:$Y$77,P$73,$C$84:$D112)</f>
        <v>0.98945820505297999</v>
      </c>
      <c r="Q112" s="39">
        <f ca="1">DSUM($B$73:$Y$77,Q$73,$C$84:$D112)</f>
        <v>1.1715083228656418</v>
      </c>
      <c r="R112" s="39">
        <f ca="1">DSUM($B$73:$Y$77,R$73,$C$84:$D112)</f>
        <v>1.3421845454349555</v>
      </c>
      <c r="S112" s="39">
        <f ca="1">DSUM($B$73:$Y$77,S$73,$C$84:$D112)</f>
        <v>1.4911921850641114</v>
      </c>
      <c r="T112" s="39">
        <f ca="1">DSUM($B$73:$Y$77,T$73,$C$84:$D112)</f>
        <v>1.8012083719200429</v>
      </c>
      <c r="U112" s="39">
        <f ca="1">DSUM($B$73:$Y$77,U$73,$C$84:$D112)</f>
        <v>1.8916959533098163</v>
      </c>
      <c r="V112" s="39">
        <f ca="1">DSUM($B$73:$Y$77,V$73,$C$84:$D112)</f>
        <v>1.9468378236076109</v>
      </c>
      <c r="W112" s="39">
        <f ca="1">DSUM($B$73:$Y$77,W$73,$C$84:$D112)</f>
        <v>1.9785914642701046</v>
      </c>
      <c r="X112" s="39">
        <f ca="1">DSUM($B$73:$Y$77,X$73,$C$84:$D112)</f>
        <v>1.9892181076009443</v>
      </c>
      <c r="Y112" s="39">
        <f ca="1">DSUM($B$73:$Y$77,Y$73,$C$84:$D112)</f>
        <v>28.422016780083752</v>
      </c>
      <c r="Z112" s="9"/>
      <c r="AA112" s="9"/>
      <c r="AB112" s="9"/>
    </row>
    <row r="113" spans="1:28" customFormat="1">
      <c r="A113" s="9"/>
      <c r="B113" s="9" t="s">
        <v>191</v>
      </c>
      <c r="C113" s="50" t="s">
        <v>192</v>
      </c>
      <c r="D113" s="50" t="s">
        <v>193</v>
      </c>
      <c r="E113" s="39">
        <f ca="1">DSUM($B$73:$Y$77,E$73,$C$84:$D113)</f>
        <v>4.8955374715287849E-3</v>
      </c>
      <c r="F113" s="39">
        <f ca="1">DSUM($B$73:$Y$77,F$73,$C$84:$D113)</f>
        <v>1.4648057530543927E-2</v>
      </c>
      <c r="G113" s="39">
        <f ca="1">DSUM($B$73:$Y$77,G$73,$C$84:$D113)</f>
        <v>3.1911208428825159E-2</v>
      </c>
      <c r="H113" s="39">
        <f ca="1">DSUM($B$73:$Y$77,H$73,$C$84:$D113)</f>
        <v>5.9909843766969596E-2</v>
      </c>
      <c r="I113" s="39">
        <f ca="1">DSUM($B$73:$Y$77,I$73,$C$84:$D113)</f>
        <v>0.10228505524098161</v>
      </c>
      <c r="J113" s="39">
        <f ca="1">DSUM($B$73:$Y$77,J$73,$C$84:$D113)</f>
        <v>0.16279973017815447</v>
      </c>
      <c r="K113" s="39">
        <f ca="1">DSUM($B$73:$Y$77,K$73,$C$84:$D113)</f>
        <v>0.2448749306591603</v>
      </c>
      <c r="L113" s="39">
        <f ca="1">DSUM($B$73:$Y$77,L$73,$C$84:$D113)</f>
        <v>0.35095452133841104</v>
      </c>
      <c r="M113" s="39">
        <f ca="1">DSUM($B$73:$Y$77,M$73,$C$84:$D113)</f>
        <v>0.4817480054608051</v>
      </c>
      <c r="N113" s="39">
        <f ca="1">DSUM($B$73:$Y$77,N$73,$C$84:$D113)</f>
        <v>0.6354780601708121</v>
      </c>
      <c r="O113" s="39">
        <f ca="1">DSUM($B$73:$Y$77,O$73,$C$84:$D113)</f>
        <v>0.80734305346393753</v>
      </c>
      <c r="P113" s="39">
        <f ca="1">DSUM($B$73:$Y$77,P$73,$C$84:$D113)</f>
        <v>0.98945820505297999</v>
      </c>
      <c r="Q113" s="39">
        <f ca="1">DSUM($B$73:$Y$77,Q$73,$C$84:$D113)</f>
        <v>1.1715083228656418</v>
      </c>
      <c r="R113" s="39">
        <f ca="1">DSUM($B$73:$Y$77,R$73,$C$84:$D113)</f>
        <v>1.3421845454349555</v>
      </c>
      <c r="S113" s="39">
        <f ca="1">DSUM($B$73:$Y$77,S$73,$C$84:$D113)</f>
        <v>1.4911921850641114</v>
      </c>
      <c r="T113" s="39">
        <f ca="1">DSUM($B$73:$Y$77,T$73,$C$84:$D113)</f>
        <v>1.8012083719200429</v>
      </c>
      <c r="U113" s="39">
        <f ca="1">DSUM($B$73:$Y$77,U$73,$C$84:$D113)</f>
        <v>1.8916959533098163</v>
      </c>
      <c r="V113" s="39">
        <f ca="1">DSUM($B$73:$Y$77,V$73,$C$84:$D113)</f>
        <v>1.9468378236076109</v>
      </c>
      <c r="W113" s="39">
        <f ca="1">DSUM($B$73:$Y$77,W$73,$C$84:$D113)</f>
        <v>1.9785914642701046</v>
      </c>
      <c r="X113" s="39">
        <f ca="1">DSUM($B$73:$Y$77,X$73,$C$84:$D113)</f>
        <v>1.9892181076009443</v>
      </c>
      <c r="Y113" s="39">
        <f ca="1">DSUM($B$73:$Y$77,Y$73,$C$84:$D113)</f>
        <v>28.422016780083752</v>
      </c>
      <c r="Z113" s="9"/>
      <c r="AA113" s="9"/>
      <c r="AB113" s="9"/>
    </row>
    <row r="114" spans="1:28" customFormat="1">
      <c r="A114" s="9"/>
      <c r="B114" s="9" t="s">
        <v>194</v>
      </c>
      <c r="C114" s="50" t="s">
        <v>195</v>
      </c>
      <c r="D114" s="50" t="s">
        <v>196</v>
      </c>
      <c r="E114" s="39">
        <f ca="1">DSUM($B$73:$Y$77,E$73,$C$84:$D114)</f>
        <v>4.8955374715287849E-3</v>
      </c>
      <c r="F114" s="39">
        <f ca="1">DSUM($B$73:$Y$77,F$73,$C$84:$D114)</f>
        <v>1.4648057530543927E-2</v>
      </c>
      <c r="G114" s="39">
        <f ca="1">DSUM($B$73:$Y$77,G$73,$C$84:$D114)</f>
        <v>3.1911208428825159E-2</v>
      </c>
      <c r="H114" s="39">
        <f ca="1">DSUM($B$73:$Y$77,H$73,$C$84:$D114)</f>
        <v>5.9909843766969596E-2</v>
      </c>
      <c r="I114" s="39">
        <f ca="1">DSUM($B$73:$Y$77,I$73,$C$84:$D114)</f>
        <v>0.10228505524098161</v>
      </c>
      <c r="J114" s="39">
        <f ca="1">DSUM($B$73:$Y$77,J$73,$C$84:$D114)</f>
        <v>0.16279973017815447</v>
      </c>
      <c r="K114" s="39">
        <f ca="1">DSUM($B$73:$Y$77,K$73,$C$84:$D114)</f>
        <v>0.2448749306591603</v>
      </c>
      <c r="L114" s="39">
        <f ca="1">DSUM($B$73:$Y$77,L$73,$C$84:$D114)</f>
        <v>0.35095452133841104</v>
      </c>
      <c r="M114" s="39">
        <f ca="1">DSUM($B$73:$Y$77,M$73,$C$84:$D114)</f>
        <v>0.4817480054608051</v>
      </c>
      <c r="N114" s="39">
        <f ca="1">DSUM($B$73:$Y$77,N$73,$C$84:$D114)</f>
        <v>0.6354780601708121</v>
      </c>
      <c r="O114" s="39">
        <f ca="1">DSUM($B$73:$Y$77,O$73,$C$84:$D114)</f>
        <v>0.80734305346393753</v>
      </c>
      <c r="P114" s="39">
        <f ca="1">DSUM($B$73:$Y$77,P$73,$C$84:$D114)</f>
        <v>0.98945820505297999</v>
      </c>
      <c r="Q114" s="39">
        <f ca="1">DSUM($B$73:$Y$77,Q$73,$C$84:$D114)</f>
        <v>1.1715083228656418</v>
      </c>
      <c r="R114" s="39">
        <f ca="1">DSUM($B$73:$Y$77,R$73,$C$84:$D114)</f>
        <v>1.3421845454349555</v>
      </c>
      <c r="S114" s="39">
        <f ca="1">DSUM($B$73:$Y$77,S$73,$C$84:$D114)</f>
        <v>1.4911921850641114</v>
      </c>
      <c r="T114" s="39">
        <f ca="1">DSUM($B$73:$Y$77,T$73,$C$84:$D114)</f>
        <v>1.8012083719200429</v>
      </c>
      <c r="U114" s="39">
        <f ca="1">DSUM($B$73:$Y$77,U$73,$C$84:$D114)</f>
        <v>1.8916959533098163</v>
      </c>
      <c r="V114" s="39">
        <f ca="1">DSUM($B$73:$Y$77,V$73,$C$84:$D114)</f>
        <v>1.9468378236076109</v>
      </c>
      <c r="W114" s="39">
        <f ca="1">DSUM($B$73:$Y$77,W$73,$C$84:$D114)</f>
        <v>1.9785914642701046</v>
      </c>
      <c r="X114" s="39">
        <f ca="1">DSUM($B$73:$Y$77,X$73,$C$84:$D114)</f>
        <v>1.9892181076009443</v>
      </c>
      <c r="Y114" s="39">
        <f ca="1">DSUM($B$73:$Y$77,Y$73,$C$84:$D114)</f>
        <v>28.422016780083752</v>
      </c>
      <c r="Z114" s="9"/>
      <c r="AA114" s="9"/>
      <c r="AB114" s="9"/>
    </row>
    <row r="115" spans="1:28" customFormat="1">
      <c r="A115" s="9"/>
      <c r="B115" s="9" t="s">
        <v>197</v>
      </c>
      <c r="C115" s="50" t="s">
        <v>198</v>
      </c>
      <c r="D115" s="50" t="s">
        <v>199</v>
      </c>
      <c r="E115" s="39">
        <f ca="1">DSUM($B$73:$Y$77,E$73,$C$84:$D115)</f>
        <v>4.8955374715287849E-3</v>
      </c>
      <c r="F115" s="39">
        <f ca="1">DSUM($B$73:$Y$77,F$73,$C$84:$D115)</f>
        <v>1.4648057530543927E-2</v>
      </c>
      <c r="G115" s="39">
        <f ca="1">DSUM($B$73:$Y$77,G$73,$C$84:$D115)</f>
        <v>3.1911208428825159E-2</v>
      </c>
      <c r="H115" s="39">
        <f ca="1">DSUM($B$73:$Y$77,H$73,$C$84:$D115)</f>
        <v>5.9909843766969596E-2</v>
      </c>
      <c r="I115" s="39">
        <f ca="1">DSUM($B$73:$Y$77,I$73,$C$84:$D115)</f>
        <v>0.10228505524098161</v>
      </c>
      <c r="J115" s="39">
        <f ca="1">DSUM($B$73:$Y$77,J$73,$C$84:$D115)</f>
        <v>0.16279973017815447</v>
      </c>
      <c r="K115" s="39">
        <f ca="1">DSUM($B$73:$Y$77,K$73,$C$84:$D115)</f>
        <v>0.2448749306591603</v>
      </c>
      <c r="L115" s="39">
        <f ca="1">DSUM($B$73:$Y$77,L$73,$C$84:$D115)</f>
        <v>0.35095452133841104</v>
      </c>
      <c r="M115" s="39">
        <f ca="1">DSUM($B$73:$Y$77,M$73,$C$84:$D115)</f>
        <v>0.4817480054608051</v>
      </c>
      <c r="N115" s="39">
        <f ca="1">DSUM($B$73:$Y$77,N$73,$C$84:$D115)</f>
        <v>0.6354780601708121</v>
      </c>
      <c r="O115" s="39">
        <f ca="1">DSUM($B$73:$Y$77,O$73,$C$84:$D115)</f>
        <v>0.80734305346393753</v>
      </c>
      <c r="P115" s="39">
        <f ca="1">DSUM($B$73:$Y$77,P$73,$C$84:$D115)</f>
        <v>0.98945820505297999</v>
      </c>
      <c r="Q115" s="39">
        <f ca="1">DSUM($B$73:$Y$77,Q$73,$C$84:$D115)</f>
        <v>1.1715083228656418</v>
      </c>
      <c r="R115" s="39">
        <f ca="1">DSUM($B$73:$Y$77,R$73,$C$84:$D115)</f>
        <v>1.3421845454349555</v>
      </c>
      <c r="S115" s="39">
        <f ca="1">DSUM($B$73:$Y$77,S$73,$C$84:$D115)</f>
        <v>1.4911921850641114</v>
      </c>
      <c r="T115" s="39">
        <f ca="1">DSUM($B$73:$Y$77,T$73,$C$84:$D115)</f>
        <v>1.8012083719200429</v>
      </c>
      <c r="U115" s="39">
        <f ca="1">DSUM($B$73:$Y$77,U$73,$C$84:$D115)</f>
        <v>1.8916959533098163</v>
      </c>
      <c r="V115" s="39">
        <f ca="1">DSUM($B$73:$Y$77,V$73,$C$84:$D115)</f>
        <v>1.9468378236076109</v>
      </c>
      <c r="W115" s="39">
        <f ca="1">DSUM($B$73:$Y$77,W$73,$C$84:$D115)</f>
        <v>1.9785914642701046</v>
      </c>
      <c r="X115" s="39">
        <f ca="1">DSUM($B$73:$Y$77,X$73,$C$84:$D115)</f>
        <v>1.9892181076009443</v>
      </c>
      <c r="Y115" s="39">
        <f ca="1">DSUM($B$73:$Y$77,Y$73,$C$84:$D115)</f>
        <v>28.422016780083752</v>
      </c>
      <c r="Z115" s="9"/>
      <c r="AA115" s="9"/>
      <c r="AB115" s="9"/>
    </row>
    <row r="116" spans="1:28" customFormat="1">
      <c r="A116" s="9"/>
      <c r="B116" s="9" t="s">
        <v>200</v>
      </c>
      <c r="C116" s="50" t="s">
        <v>201</v>
      </c>
      <c r="D116" s="50" t="s">
        <v>130</v>
      </c>
      <c r="E116" s="39">
        <f ca="1">DSUM($B$73:$Y$77,E$73,$C$84:$D116)</f>
        <v>4.8955374715287849E-3</v>
      </c>
      <c r="F116" s="39">
        <f ca="1">DSUM($B$73:$Y$77,F$73,$C$84:$D116)</f>
        <v>1.4648057530543927E-2</v>
      </c>
      <c r="G116" s="39">
        <f ca="1">DSUM($B$73:$Y$77,G$73,$C$84:$D116)</f>
        <v>3.1911208428825159E-2</v>
      </c>
      <c r="H116" s="39">
        <f ca="1">DSUM($B$73:$Y$77,H$73,$C$84:$D116)</f>
        <v>5.9909843766969596E-2</v>
      </c>
      <c r="I116" s="39">
        <f ca="1">DSUM($B$73:$Y$77,I$73,$C$84:$D116)</f>
        <v>0.10228505524098161</v>
      </c>
      <c r="J116" s="39">
        <f ca="1">DSUM($B$73:$Y$77,J$73,$C$84:$D116)</f>
        <v>0.16279973017815447</v>
      </c>
      <c r="K116" s="39">
        <f ca="1">DSUM($B$73:$Y$77,K$73,$C$84:$D116)</f>
        <v>0.2448749306591603</v>
      </c>
      <c r="L116" s="39">
        <f ca="1">DSUM($B$73:$Y$77,L$73,$C$84:$D116)</f>
        <v>0.35095452133841104</v>
      </c>
      <c r="M116" s="39">
        <f ca="1">DSUM($B$73:$Y$77,M$73,$C$84:$D116)</f>
        <v>0.4817480054608051</v>
      </c>
      <c r="N116" s="39">
        <f ca="1">DSUM($B$73:$Y$77,N$73,$C$84:$D116)</f>
        <v>0.6354780601708121</v>
      </c>
      <c r="O116" s="39">
        <f ca="1">DSUM($B$73:$Y$77,O$73,$C$84:$D116)</f>
        <v>0.80734305346393753</v>
      </c>
      <c r="P116" s="39">
        <f ca="1">DSUM($B$73:$Y$77,P$73,$C$84:$D116)</f>
        <v>0.98945820505297999</v>
      </c>
      <c r="Q116" s="39">
        <f ca="1">DSUM($B$73:$Y$77,Q$73,$C$84:$D116)</f>
        <v>1.1715083228656418</v>
      </c>
      <c r="R116" s="39">
        <f ca="1">DSUM($B$73:$Y$77,R$73,$C$84:$D116)</f>
        <v>1.3421845454349555</v>
      </c>
      <c r="S116" s="39">
        <f ca="1">DSUM($B$73:$Y$77,S$73,$C$84:$D116)</f>
        <v>1.4911921850641114</v>
      </c>
      <c r="T116" s="39">
        <f ca="1">DSUM($B$73:$Y$77,T$73,$C$84:$D116)</f>
        <v>1.8012083719200429</v>
      </c>
      <c r="U116" s="39">
        <f ca="1">DSUM($B$73:$Y$77,U$73,$C$84:$D116)</f>
        <v>1.8916959533098163</v>
      </c>
      <c r="V116" s="39">
        <f ca="1">DSUM($B$73:$Y$77,V$73,$C$84:$D116)</f>
        <v>1.9468378236076109</v>
      </c>
      <c r="W116" s="39">
        <f ca="1">DSUM($B$73:$Y$77,W$73,$C$84:$D116)</f>
        <v>1.9785914642701046</v>
      </c>
      <c r="X116" s="39">
        <f ca="1">DSUM($B$73:$Y$77,X$73,$C$84:$D116)</f>
        <v>1.9892181076009443</v>
      </c>
      <c r="Y116" s="39">
        <f ca="1">DSUM($B$73:$Y$77,Y$73,$C$84:$D116)</f>
        <v>28.422016780083752</v>
      </c>
      <c r="Z116" s="9"/>
      <c r="AA116" s="9"/>
      <c r="AB116" s="9"/>
    </row>
    <row r="117" spans="1:28" customFormat="1">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c r="AA117" s="9"/>
      <c r="AB117" s="9"/>
    </row>
    <row r="118" spans="1:28" customFormat="1">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c r="AA118" s="9"/>
      <c r="AB118" s="9"/>
    </row>
    <row r="119" spans="1:28" customFormat="1" ht="15">
      <c r="A119" s="55" t="s">
        <v>131</v>
      </c>
      <c r="B119" s="9"/>
      <c r="C119" s="9"/>
      <c r="D119" s="9"/>
      <c r="E119" s="9"/>
      <c r="F119" s="9"/>
      <c r="G119" s="9"/>
      <c r="H119" s="9"/>
      <c r="I119" s="9"/>
      <c r="J119" s="9"/>
      <c r="K119" s="9"/>
      <c r="L119" s="9"/>
      <c r="M119" s="9"/>
      <c r="N119" s="9"/>
      <c r="O119" s="9"/>
      <c r="P119" s="9"/>
      <c r="Q119" s="9"/>
      <c r="R119" s="9"/>
      <c r="S119" s="9"/>
      <c r="T119" s="9"/>
      <c r="U119" s="9"/>
      <c r="V119" s="9"/>
      <c r="W119" s="9"/>
      <c r="X119" s="9"/>
      <c r="Y119" s="9"/>
      <c r="Z119" s="9"/>
      <c r="AA119" s="9"/>
      <c r="AB119" s="9"/>
    </row>
    <row r="120" spans="1:28" customFormat="1" ht="15">
      <c r="A120" s="9"/>
      <c r="B120" s="9"/>
      <c r="C120" s="9"/>
      <c r="D120" s="267" t="str">
        <f>C8</f>
        <v>GSHP</v>
      </c>
      <c r="E120" s="58">
        <f t="shared" ref="E120:X120" si="29">E11</f>
        <v>2016</v>
      </c>
      <c r="F120" s="59">
        <f t="shared" si="29"/>
        <v>2017</v>
      </c>
      <c r="G120" s="59">
        <f t="shared" si="29"/>
        <v>2018</v>
      </c>
      <c r="H120" s="59">
        <f t="shared" si="29"/>
        <v>2019</v>
      </c>
      <c r="I120" s="59">
        <f t="shared" si="29"/>
        <v>2020</v>
      </c>
      <c r="J120" s="59">
        <f t="shared" si="29"/>
        <v>2021</v>
      </c>
      <c r="K120" s="59">
        <f t="shared" si="29"/>
        <v>2022</v>
      </c>
      <c r="L120" s="59">
        <f t="shared" si="29"/>
        <v>2023</v>
      </c>
      <c r="M120" s="59">
        <f t="shared" si="29"/>
        <v>2024</v>
      </c>
      <c r="N120" s="59">
        <f t="shared" si="29"/>
        <v>2025</v>
      </c>
      <c r="O120" s="59">
        <f t="shared" si="29"/>
        <v>2026</v>
      </c>
      <c r="P120" s="59">
        <f t="shared" si="29"/>
        <v>2027</v>
      </c>
      <c r="Q120" s="59">
        <f t="shared" si="29"/>
        <v>2028</v>
      </c>
      <c r="R120" s="59">
        <f t="shared" si="29"/>
        <v>2029</v>
      </c>
      <c r="S120" s="59">
        <f t="shared" si="29"/>
        <v>2030</v>
      </c>
      <c r="T120" s="59">
        <f t="shared" si="29"/>
        <v>2031</v>
      </c>
      <c r="U120" s="59">
        <f t="shared" si="29"/>
        <v>2032</v>
      </c>
      <c r="V120" s="59">
        <f t="shared" si="29"/>
        <v>2033</v>
      </c>
      <c r="W120" s="59">
        <f t="shared" si="29"/>
        <v>2034</v>
      </c>
      <c r="X120" s="59">
        <f t="shared" si="29"/>
        <v>2035</v>
      </c>
      <c r="Y120" s="60" t="s">
        <v>59</v>
      </c>
      <c r="Z120" s="9"/>
      <c r="AA120" s="9"/>
      <c r="AB120" s="9"/>
    </row>
    <row r="121" spans="1:28" customFormat="1" ht="15">
      <c r="A121" s="9"/>
      <c r="B121" s="9"/>
      <c r="C121" s="9"/>
      <c r="D121" s="9" t="str">
        <f>C8</f>
        <v>GSHP</v>
      </c>
      <c r="E121" s="61" t="str">
        <f>CONCATENATE("aMW_",E$11)</f>
        <v>aMW_2016</v>
      </c>
      <c r="F121" s="62" t="str">
        <f t="shared" ref="F121:X121" si="30">CONCATENATE("aMW_",F$11)</f>
        <v>aMW_2017</v>
      </c>
      <c r="G121" s="62" t="str">
        <f t="shared" si="30"/>
        <v>aMW_2018</v>
      </c>
      <c r="H121" s="62" t="str">
        <f t="shared" si="30"/>
        <v>aMW_2019</v>
      </c>
      <c r="I121" s="62" t="str">
        <f t="shared" si="30"/>
        <v>aMW_2020</v>
      </c>
      <c r="J121" s="62" t="str">
        <f t="shared" si="30"/>
        <v>aMW_2021</v>
      </c>
      <c r="K121" s="62" t="str">
        <f t="shared" si="30"/>
        <v>aMW_2022</v>
      </c>
      <c r="L121" s="62" t="str">
        <f t="shared" si="30"/>
        <v>aMW_2023</v>
      </c>
      <c r="M121" s="62" t="str">
        <f t="shared" si="30"/>
        <v>aMW_2024</v>
      </c>
      <c r="N121" s="62" t="str">
        <f t="shared" si="30"/>
        <v>aMW_2025</v>
      </c>
      <c r="O121" s="62" t="str">
        <f t="shared" si="30"/>
        <v>aMW_2026</v>
      </c>
      <c r="P121" s="62" t="str">
        <f t="shared" si="30"/>
        <v>aMW_2027</v>
      </c>
      <c r="Q121" s="62" t="str">
        <f t="shared" si="30"/>
        <v>aMW_2028</v>
      </c>
      <c r="R121" s="62" t="str">
        <f t="shared" si="30"/>
        <v>aMW_2029</v>
      </c>
      <c r="S121" s="62" t="str">
        <f t="shared" si="30"/>
        <v>aMW_2030</v>
      </c>
      <c r="T121" s="62" t="str">
        <f t="shared" si="30"/>
        <v>aMW_2031</v>
      </c>
      <c r="U121" s="62" t="str">
        <f t="shared" si="30"/>
        <v>aMW_2032</v>
      </c>
      <c r="V121" s="62" t="str">
        <f t="shared" si="30"/>
        <v>aMW_2033</v>
      </c>
      <c r="W121" s="62" t="str">
        <f t="shared" si="30"/>
        <v>aMW_2034</v>
      </c>
      <c r="X121" s="62" t="str">
        <f t="shared" si="30"/>
        <v>aMW_2035</v>
      </c>
      <c r="Y121" s="63" t="s">
        <v>59</v>
      </c>
      <c r="Z121" s="9"/>
      <c r="AA121" s="9"/>
      <c r="AB121" s="9"/>
    </row>
    <row r="122" spans="1:28" customFormat="1">
      <c r="A122" s="9"/>
      <c r="B122" s="9"/>
      <c r="C122" s="9"/>
      <c r="D122" s="9" t="s">
        <v>67</v>
      </c>
      <c r="E122" s="34">
        <f t="shared" ref="E122:Y122" si="31">E85</f>
        <v>0</v>
      </c>
      <c r="F122" s="34">
        <f t="shared" si="31"/>
        <v>0</v>
      </c>
      <c r="G122" s="34">
        <f t="shared" si="31"/>
        <v>0</v>
      </c>
      <c r="H122" s="34">
        <f t="shared" si="31"/>
        <v>0</v>
      </c>
      <c r="I122" s="34">
        <f t="shared" si="31"/>
        <v>0</v>
      </c>
      <c r="J122" s="34">
        <f t="shared" si="31"/>
        <v>0</v>
      </c>
      <c r="K122" s="34">
        <f t="shared" si="31"/>
        <v>0</v>
      </c>
      <c r="L122" s="34">
        <f t="shared" si="31"/>
        <v>0</v>
      </c>
      <c r="M122" s="34">
        <f t="shared" si="31"/>
        <v>0</v>
      </c>
      <c r="N122" s="34">
        <f t="shared" si="31"/>
        <v>0</v>
      </c>
      <c r="O122" s="34">
        <f t="shared" si="31"/>
        <v>0</v>
      </c>
      <c r="P122" s="34">
        <f t="shared" si="31"/>
        <v>0</v>
      </c>
      <c r="Q122" s="34">
        <f t="shared" si="31"/>
        <v>0</v>
      </c>
      <c r="R122" s="34">
        <f t="shared" si="31"/>
        <v>0</v>
      </c>
      <c r="S122" s="34">
        <f t="shared" si="31"/>
        <v>0</v>
      </c>
      <c r="T122" s="34">
        <f t="shared" si="31"/>
        <v>0</v>
      </c>
      <c r="U122" s="34">
        <f t="shared" si="31"/>
        <v>0</v>
      </c>
      <c r="V122" s="34">
        <f t="shared" si="31"/>
        <v>0</v>
      </c>
      <c r="W122" s="34">
        <f t="shared" si="31"/>
        <v>0</v>
      </c>
      <c r="X122" s="34">
        <f t="shared" si="31"/>
        <v>0</v>
      </c>
      <c r="Y122" s="34">
        <f t="shared" si="31"/>
        <v>0</v>
      </c>
      <c r="Z122" s="9"/>
      <c r="AA122" s="9"/>
      <c r="AB122" s="9"/>
    </row>
    <row r="123" spans="1:28" customFormat="1">
      <c r="A123" s="9"/>
      <c r="B123" s="9"/>
      <c r="C123" s="9"/>
      <c r="D123" s="9" t="s">
        <v>205</v>
      </c>
      <c r="E123" s="34">
        <f t="shared" ref="E123:Y135" si="32">E86-E85</f>
        <v>0</v>
      </c>
      <c r="F123" s="34">
        <f t="shared" si="32"/>
        <v>0</v>
      </c>
      <c r="G123" s="34">
        <f t="shared" si="32"/>
        <v>0</v>
      </c>
      <c r="H123" s="34">
        <f t="shared" si="32"/>
        <v>0</v>
      </c>
      <c r="I123" s="34">
        <f t="shared" si="32"/>
        <v>0</v>
      </c>
      <c r="J123" s="34">
        <f t="shared" si="32"/>
        <v>0</v>
      </c>
      <c r="K123" s="34">
        <f t="shared" si="32"/>
        <v>0</v>
      </c>
      <c r="L123" s="34">
        <f t="shared" si="32"/>
        <v>0</v>
      </c>
      <c r="M123" s="34">
        <f t="shared" si="32"/>
        <v>0</v>
      </c>
      <c r="N123" s="34">
        <f t="shared" si="32"/>
        <v>0</v>
      </c>
      <c r="O123" s="34">
        <f t="shared" si="32"/>
        <v>0</v>
      </c>
      <c r="P123" s="34">
        <f t="shared" si="32"/>
        <v>0</v>
      </c>
      <c r="Q123" s="34">
        <f t="shared" si="32"/>
        <v>0</v>
      </c>
      <c r="R123" s="34">
        <f t="shared" si="32"/>
        <v>0</v>
      </c>
      <c r="S123" s="34">
        <f t="shared" si="32"/>
        <v>0</v>
      </c>
      <c r="T123" s="34">
        <f t="shared" si="32"/>
        <v>0</v>
      </c>
      <c r="U123" s="34">
        <f t="shared" si="32"/>
        <v>0</v>
      </c>
      <c r="V123" s="34">
        <f t="shared" si="32"/>
        <v>0</v>
      </c>
      <c r="W123" s="34">
        <f t="shared" si="32"/>
        <v>0</v>
      </c>
      <c r="X123" s="34">
        <f t="shared" si="32"/>
        <v>0</v>
      </c>
      <c r="Y123" s="34">
        <f t="shared" si="32"/>
        <v>0</v>
      </c>
      <c r="Z123" s="9"/>
      <c r="AA123" s="9"/>
      <c r="AB123" s="9"/>
    </row>
    <row r="124" spans="1:28" customFormat="1">
      <c r="A124" s="9"/>
      <c r="B124" s="9"/>
      <c r="C124" s="9"/>
      <c r="D124" s="9" t="s">
        <v>72</v>
      </c>
      <c r="E124" s="34">
        <f t="shared" si="32"/>
        <v>0</v>
      </c>
      <c r="F124" s="34">
        <f t="shared" si="32"/>
        <v>0</v>
      </c>
      <c r="G124" s="34">
        <f t="shared" si="32"/>
        <v>0</v>
      </c>
      <c r="H124" s="34">
        <f t="shared" si="32"/>
        <v>0</v>
      </c>
      <c r="I124" s="34">
        <f t="shared" si="32"/>
        <v>0</v>
      </c>
      <c r="J124" s="34">
        <f t="shared" si="32"/>
        <v>0</v>
      </c>
      <c r="K124" s="34">
        <f t="shared" si="32"/>
        <v>0</v>
      </c>
      <c r="L124" s="34">
        <f t="shared" si="32"/>
        <v>0</v>
      </c>
      <c r="M124" s="34">
        <f t="shared" si="32"/>
        <v>0</v>
      </c>
      <c r="N124" s="34">
        <f t="shared" si="32"/>
        <v>0</v>
      </c>
      <c r="O124" s="34">
        <f t="shared" si="32"/>
        <v>0</v>
      </c>
      <c r="P124" s="34">
        <f t="shared" si="32"/>
        <v>0</v>
      </c>
      <c r="Q124" s="34">
        <f t="shared" si="32"/>
        <v>0</v>
      </c>
      <c r="R124" s="34">
        <f t="shared" si="32"/>
        <v>0</v>
      </c>
      <c r="S124" s="34">
        <f t="shared" si="32"/>
        <v>0</v>
      </c>
      <c r="T124" s="34">
        <f t="shared" si="32"/>
        <v>0</v>
      </c>
      <c r="U124" s="34">
        <f t="shared" si="32"/>
        <v>0</v>
      </c>
      <c r="V124" s="34">
        <f t="shared" si="32"/>
        <v>0</v>
      </c>
      <c r="W124" s="34">
        <f t="shared" si="32"/>
        <v>0</v>
      </c>
      <c r="X124" s="34">
        <f t="shared" si="32"/>
        <v>0</v>
      </c>
      <c r="Y124" s="34">
        <f t="shared" si="32"/>
        <v>0</v>
      </c>
      <c r="Z124" s="9"/>
      <c r="AA124" s="9"/>
      <c r="AB124" s="9"/>
    </row>
    <row r="125" spans="1:28" customFormat="1">
      <c r="A125" s="9"/>
      <c r="B125" s="9"/>
      <c r="C125" s="9"/>
      <c r="D125" s="9" t="s">
        <v>75</v>
      </c>
      <c r="E125" s="34">
        <f t="shared" si="32"/>
        <v>0</v>
      </c>
      <c r="F125" s="34">
        <f t="shared" si="32"/>
        <v>0</v>
      </c>
      <c r="G125" s="34">
        <f t="shared" si="32"/>
        <v>0</v>
      </c>
      <c r="H125" s="34">
        <f t="shared" si="32"/>
        <v>0</v>
      </c>
      <c r="I125" s="34">
        <f t="shared" si="32"/>
        <v>0</v>
      </c>
      <c r="J125" s="34">
        <f t="shared" si="32"/>
        <v>0</v>
      </c>
      <c r="K125" s="34">
        <f t="shared" si="32"/>
        <v>0</v>
      </c>
      <c r="L125" s="34">
        <f t="shared" si="32"/>
        <v>0</v>
      </c>
      <c r="M125" s="34">
        <f t="shared" si="32"/>
        <v>0</v>
      </c>
      <c r="N125" s="34">
        <f t="shared" si="32"/>
        <v>0</v>
      </c>
      <c r="O125" s="34">
        <f t="shared" si="32"/>
        <v>0</v>
      </c>
      <c r="P125" s="34">
        <f t="shared" si="32"/>
        <v>0</v>
      </c>
      <c r="Q125" s="34">
        <f t="shared" si="32"/>
        <v>0</v>
      </c>
      <c r="R125" s="34">
        <f t="shared" si="32"/>
        <v>0</v>
      </c>
      <c r="S125" s="34">
        <f t="shared" si="32"/>
        <v>0</v>
      </c>
      <c r="T125" s="34">
        <f t="shared" si="32"/>
        <v>0</v>
      </c>
      <c r="U125" s="34">
        <f t="shared" si="32"/>
        <v>0</v>
      </c>
      <c r="V125" s="34">
        <f t="shared" si="32"/>
        <v>0</v>
      </c>
      <c r="W125" s="34">
        <f t="shared" si="32"/>
        <v>0</v>
      </c>
      <c r="X125" s="34">
        <f t="shared" si="32"/>
        <v>0</v>
      </c>
      <c r="Y125" s="34">
        <f t="shared" si="32"/>
        <v>0</v>
      </c>
      <c r="Z125" s="9"/>
      <c r="AA125" s="9"/>
      <c r="AB125" s="9"/>
    </row>
    <row r="126" spans="1:28" customFormat="1">
      <c r="A126" s="9"/>
      <c r="B126" s="9"/>
      <c r="C126" s="9"/>
      <c r="D126" s="9" t="s">
        <v>78</v>
      </c>
      <c r="E126" s="34">
        <f t="shared" si="32"/>
        <v>0</v>
      </c>
      <c r="F126" s="34">
        <f t="shared" si="32"/>
        <v>0</v>
      </c>
      <c r="G126" s="34">
        <f t="shared" si="32"/>
        <v>0</v>
      </c>
      <c r="H126" s="34">
        <f t="shared" si="32"/>
        <v>0</v>
      </c>
      <c r="I126" s="34">
        <f t="shared" si="32"/>
        <v>0</v>
      </c>
      <c r="J126" s="34">
        <f t="shared" si="32"/>
        <v>0</v>
      </c>
      <c r="K126" s="34">
        <f t="shared" si="32"/>
        <v>0</v>
      </c>
      <c r="L126" s="34">
        <f t="shared" si="32"/>
        <v>0</v>
      </c>
      <c r="M126" s="34">
        <f t="shared" si="32"/>
        <v>0</v>
      </c>
      <c r="N126" s="34">
        <f t="shared" si="32"/>
        <v>0</v>
      </c>
      <c r="O126" s="34">
        <f t="shared" si="32"/>
        <v>0</v>
      </c>
      <c r="P126" s="34">
        <f t="shared" si="32"/>
        <v>0</v>
      </c>
      <c r="Q126" s="34">
        <f t="shared" si="32"/>
        <v>0</v>
      </c>
      <c r="R126" s="34">
        <f t="shared" si="32"/>
        <v>0</v>
      </c>
      <c r="S126" s="34">
        <f t="shared" si="32"/>
        <v>0</v>
      </c>
      <c r="T126" s="34">
        <f t="shared" si="32"/>
        <v>0</v>
      </c>
      <c r="U126" s="34">
        <f t="shared" si="32"/>
        <v>0</v>
      </c>
      <c r="V126" s="34">
        <f t="shared" si="32"/>
        <v>0</v>
      </c>
      <c r="W126" s="34">
        <f t="shared" si="32"/>
        <v>0</v>
      </c>
      <c r="X126" s="34">
        <f t="shared" si="32"/>
        <v>0</v>
      </c>
      <c r="Y126" s="34">
        <f t="shared" si="32"/>
        <v>0</v>
      </c>
      <c r="Z126" s="9"/>
      <c r="AA126" s="9"/>
      <c r="AB126" s="9"/>
    </row>
    <row r="127" spans="1:28" customFormat="1">
      <c r="A127" s="9"/>
      <c r="B127" s="9"/>
      <c r="C127" s="9"/>
      <c r="D127" s="9" t="s">
        <v>81</v>
      </c>
      <c r="E127" s="34">
        <f t="shared" si="32"/>
        <v>0</v>
      </c>
      <c r="F127" s="34">
        <f t="shared" si="32"/>
        <v>0</v>
      </c>
      <c r="G127" s="34">
        <f t="shared" si="32"/>
        <v>0</v>
      </c>
      <c r="H127" s="34">
        <f t="shared" si="32"/>
        <v>0</v>
      </c>
      <c r="I127" s="34">
        <f t="shared" si="32"/>
        <v>0</v>
      </c>
      <c r="J127" s="34">
        <f t="shared" si="32"/>
        <v>0</v>
      </c>
      <c r="K127" s="34">
        <f t="shared" si="32"/>
        <v>0</v>
      </c>
      <c r="L127" s="34">
        <f t="shared" si="32"/>
        <v>0</v>
      </c>
      <c r="M127" s="34">
        <f t="shared" si="32"/>
        <v>0</v>
      </c>
      <c r="N127" s="34">
        <f t="shared" si="32"/>
        <v>0</v>
      </c>
      <c r="O127" s="34">
        <f t="shared" si="32"/>
        <v>0</v>
      </c>
      <c r="P127" s="34">
        <f t="shared" si="32"/>
        <v>0</v>
      </c>
      <c r="Q127" s="34">
        <f t="shared" si="32"/>
        <v>0</v>
      </c>
      <c r="R127" s="34">
        <f t="shared" si="32"/>
        <v>0</v>
      </c>
      <c r="S127" s="34">
        <f t="shared" si="32"/>
        <v>0</v>
      </c>
      <c r="T127" s="34">
        <f t="shared" si="32"/>
        <v>0</v>
      </c>
      <c r="U127" s="34">
        <f t="shared" si="32"/>
        <v>0</v>
      </c>
      <c r="V127" s="34">
        <f t="shared" si="32"/>
        <v>0</v>
      </c>
      <c r="W127" s="34">
        <f t="shared" si="32"/>
        <v>0</v>
      </c>
      <c r="X127" s="34">
        <f t="shared" si="32"/>
        <v>0</v>
      </c>
      <c r="Y127" s="34">
        <f t="shared" si="32"/>
        <v>0</v>
      </c>
      <c r="Z127" s="9"/>
      <c r="AA127" s="9"/>
      <c r="AB127" s="9"/>
    </row>
    <row r="128" spans="1:28" customFormat="1">
      <c r="A128" s="9"/>
      <c r="B128" s="9"/>
      <c r="C128" s="9"/>
      <c r="D128" s="9" t="s">
        <v>84</v>
      </c>
      <c r="E128" s="34">
        <f t="shared" si="32"/>
        <v>0</v>
      </c>
      <c r="F128" s="34">
        <f t="shared" si="32"/>
        <v>0</v>
      </c>
      <c r="G128" s="34">
        <f t="shared" si="32"/>
        <v>0</v>
      </c>
      <c r="H128" s="34">
        <f t="shared" si="32"/>
        <v>0</v>
      </c>
      <c r="I128" s="34">
        <f t="shared" si="32"/>
        <v>0</v>
      </c>
      <c r="J128" s="34">
        <f t="shared" si="32"/>
        <v>0</v>
      </c>
      <c r="K128" s="34">
        <f t="shared" si="32"/>
        <v>0</v>
      </c>
      <c r="L128" s="34">
        <f t="shared" si="32"/>
        <v>0</v>
      </c>
      <c r="M128" s="34">
        <f t="shared" si="32"/>
        <v>0</v>
      </c>
      <c r="N128" s="34">
        <f t="shared" si="32"/>
        <v>0</v>
      </c>
      <c r="O128" s="34">
        <f t="shared" si="32"/>
        <v>0</v>
      </c>
      <c r="P128" s="34">
        <f t="shared" si="32"/>
        <v>0</v>
      </c>
      <c r="Q128" s="34">
        <f t="shared" si="32"/>
        <v>0</v>
      </c>
      <c r="R128" s="34">
        <f t="shared" si="32"/>
        <v>0</v>
      </c>
      <c r="S128" s="34">
        <f t="shared" si="32"/>
        <v>0</v>
      </c>
      <c r="T128" s="34">
        <f t="shared" si="32"/>
        <v>0</v>
      </c>
      <c r="U128" s="34">
        <f t="shared" si="32"/>
        <v>0</v>
      </c>
      <c r="V128" s="34">
        <f t="shared" si="32"/>
        <v>0</v>
      </c>
      <c r="W128" s="34">
        <f t="shared" si="32"/>
        <v>0</v>
      </c>
      <c r="X128" s="34">
        <f t="shared" si="32"/>
        <v>0</v>
      </c>
      <c r="Y128" s="34">
        <f t="shared" si="32"/>
        <v>0</v>
      </c>
      <c r="Z128" s="9"/>
      <c r="AA128" s="9"/>
      <c r="AB128" s="9"/>
    </row>
    <row r="129" spans="1:28" customFormat="1">
      <c r="A129" s="9"/>
      <c r="B129" s="9"/>
      <c r="C129" s="9"/>
      <c r="D129" s="9" t="s">
        <v>87</v>
      </c>
      <c r="E129" s="34">
        <f t="shared" si="32"/>
        <v>0</v>
      </c>
      <c r="F129" s="34">
        <f t="shared" si="32"/>
        <v>0</v>
      </c>
      <c r="G129" s="34">
        <f t="shared" si="32"/>
        <v>0</v>
      </c>
      <c r="H129" s="34">
        <f t="shared" si="32"/>
        <v>0</v>
      </c>
      <c r="I129" s="34">
        <f t="shared" si="32"/>
        <v>0</v>
      </c>
      <c r="J129" s="34">
        <f t="shared" si="32"/>
        <v>0</v>
      </c>
      <c r="K129" s="34">
        <f t="shared" si="32"/>
        <v>0</v>
      </c>
      <c r="L129" s="34">
        <f t="shared" si="32"/>
        <v>0</v>
      </c>
      <c r="M129" s="34">
        <f t="shared" si="32"/>
        <v>0</v>
      </c>
      <c r="N129" s="34">
        <f t="shared" si="32"/>
        <v>0</v>
      </c>
      <c r="O129" s="34">
        <f t="shared" si="32"/>
        <v>0</v>
      </c>
      <c r="P129" s="34">
        <f t="shared" si="32"/>
        <v>0</v>
      </c>
      <c r="Q129" s="34">
        <f t="shared" si="32"/>
        <v>0</v>
      </c>
      <c r="R129" s="34">
        <f t="shared" si="32"/>
        <v>0</v>
      </c>
      <c r="S129" s="34">
        <f t="shared" si="32"/>
        <v>0</v>
      </c>
      <c r="T129" s="34">
        <f t="shared" si="32"/>
        <v>0</v>
      </c>
      <c r="U129" s="34">
        <f t="shared" si="32"/>
        <v>0</v>
      </c>
      <c r="V129" s="34">
        <f t="shared" si="32"/>
        <v>0</v>
      </c>
      <c r="W129" s="34">
        <f t="shared" si="32"/>
        <v>0</v>
      </c>
      <c r="X129" s="34">
        <f t="shared" si="32"/>
        <v>0</v>
      </c>
      <c r="Y129" s="34">
        <f t="shared" si="32"/>
        <v>0</v>
      </c>
      <c r="Z129" s="9"/>
      <c r="AA129" s="9"/>
      <c r="AB129" s="9"/>
    </row>
    <row r="130" spans="1:28" customFormat="1">
      <c r="A130" s="9"/>
      <c r="B130" s="9"/>
      <c r="C130" s="9"/>
      <c r="D130" s="9" t="s">
        <v>90</v>
      </c>
      <c r="E130" s="34">
        <f t="shared" si="32"/>
        <v>0</v>
      </c>
      <c r="F130" s="34">
        <f t="shared" si="32"/>
        <v>0</v>
      </c>
      <c r="G130" s="34">
        <f t="shared" si="32"/>
        <v>0</v>
      </c>
      <c r="H130" s="34">
        <f t="shared" si="32"/>
        <v>0</v>
      </c>
      <c r="I130" s="34">
        <f t="shared" si="32"/>
        <v>0</v>
      </c>
      <c r="J130" s="34">
        <f t="shared" si="32"/>
        <v>0</v>
      </c>
      <c r="K130" s="34">
        <f t="shared" si="32"/>
        <v>0</v>
      </c>
      <c r="L130" s="34">
        <f t="shared" si="32"/>
        <v>0</v>
      </c>
      <c r="M130" s="34">
        <f t="shared" si="32"/>
        <v>0</v>
      </c>
      <c r="N130" s="34">
        <f t="shared" si="32"/>
        <v>0</v>
      </c>
      <c r="O130" s="34">
        <f t="shared" si="32"/>
        <v>0</v>
      </c>
      <c r="P130" s="34">
        <f t="shared" si="32"/>
        <v>0</v>
      </c>
      <c r="Q130" s="34">
        <f t="shared" si="32"/>
        <v>0</v>
      </c>
      <c r="R130" s="34">
        <f t="shared" si="32"/>
        <v>0</v>
      </c>
      <c r="S130" s="34">
        <f t="shared" si="32"/>
        <v>0</v>
      </c>
      <c r="T130" s="34">
        <f t="shared" si="32"/>
        <v>0</v>
      </c>
      <c r="U130" s="34">
        <f t="shared" si="32"/>
        <v>0</v>
      </c>
      <c r="V130" s="34">
        <f t="shared" si="32"/>
        <v>0</v>
      </c>
      <c r="W130" s="34">
        <f t="shared" si="32"/>
        <v>0</v>
      </c>
      <c r="X130" s="34">
        <f t="shared" si="32"/>
        <v>0</v>
      </c>
      <c r="Y130" s="34">
        <f t="shared" si="32"/>
        <v>0</v>
      </c>
      <c r="Z130" s="9"/>
      <c r="AA130" s="9"/>
      <c r="AB130" s="9"/>
    </row>
    <row r="131" spans="1:28" customFormat="1">
      <c r="A131" s="9"/>
      <c r="B131" s="9"/>
      <c r="C131" s="9"/>
      <c r="D131" s="9" t="s">
        <v>93</v>
      </c>
      <c r="E131" s="34">
        <f t="shared" si="32"/>
        <v>0</v>
      </c>
      <c r="F131" s="34">
        <f t="shared" si="32"/>
        <v>0</v>
      </c>
      <c r="G131" s="34">
        <f t="shared" si="32"/>
        <v>0</v>
      </c>
      <c r="H131" s="34">
        <f t="shared" si="32"/>
        <v>0</v>
      </c>
      <c r="I131" s="34">
        <f t="shared" si="32"/>
        <v>0</v>
      </c>
      <c r="J131" s="34">
        <f t="shared" si="32"/>
        <v>0</v>
      </c>
      <c r="K131" s="34">
        <f t="shared" si="32"/>
        <v>0</v>
      </c>
      <c r="L131" s="34">
        <f t="shared" si="32"/>
        <v>0</v>
      </c>
      <c r="M131" s="34">
        <f t="shared" si="32"/>
        <v>0</v>
      </c>
      <c r="N131" s="34">
        <f t="shared" si="32"/>
        <v>0</v>
      </c>
      <c r="O131" s="34">
        <f t="shared" si="32"/>
        <v>0</v>
      </c>
      <c r="P131" s="34">
        <f t="shared" si="32"/>
        <v>0</v>
      </c>
      <c r="Q131" s="34">
        <f t="shared" si="32"/>
        <v>0</v>
      </c>
      <c r="R131" s="34">
        <f t="shared" si="32"/>
        <v>0</v>
      </c>
      <c r="S131" s="34">
        <f t="shared" si="32"/>
        <v>0</v>
      </c>
      <c r="T131" s="34">
        <f t="shared" si="32"/>
        <v>0</v>
      </c>
      <c r="U131" s="34">
        <f t="shared" si="32"/>
        <v>0</v>
      </c>
      <c r="V131" s="34">
        <f t="shared" si="32"/>
        <v>0</v>
      </c>
      <c r="W131" s="34">
        <f t="shared" si="32"/>
        <v>0</v>
      </c>
      <c r="X131" s="34">
        <f t="shared" si="32"/>
        <v>0</v>
      </c>
      <c r="Y131" s="34">
        <f t="shared" si="32"/>
        <v>0</v>
      </c>
      <c r="Z131" s="9"/>
      <c r="AA131" s="9"/>
      <c r="AB131" s="9"/>
    </row>
    <row r="132" spans="1:28" customFormat="1">
      <c r="A132" s="9"/>
      <c r="B132" s="9"/>
      <c r="C132" s="9"/>
      <c r="D132" s="9" t="s">
        <v>96</v>
      </c>
      <c r="E132" s="34">
        <f t="shared" si="32"/>
        <v>0</v>
      </c>
      <c r="F132" s="34">
        <f t="shared" si="32"/>
        <v>0</v>
      </c>
      <c r="G132" s="34">
        <f t="shared" si="32"/>
        <v>0</v>
      </c>
      <c r="H132" s="34">
        <f t="shared" si="32"/>
        <v>0</v>
      </c>
      <c r="I132" s="34">
        <f t="shared" si="32"/>
        <v>0</v>
      </c>
      <c r="J132" s="34">
        <f t="shared" si="32"/>
        <v>0</v>
      </c>
      <c r="K132" s="34">
        <f t="shared" si="32"/>
        <v>0</v>
      </c>
      <c r="L132" s="34">
        <f t="shared" si="32"/>
        <v>0</v>
      </c>
      <c r="M132" s="34">
        <f t="shared" si="32"/>
        <v>0</v>
      </c>
      <c r="N132" s="34">
        <f t="shared" si="32"/>
        <v>0</v>
      </c>
      <c r="O132" s="34">
        <f t="shared" si="32"/>
        <v>0</v>
      </c>
      <c r="P132" s="34">
        <f t="shared" si="32"/>
        <v>0</v>
      </c>
      <c r="Q132" s="34">
        <f t="shared" si="32"/>
        <v>0</v>
      </c>
      <c r="R132" s="34">
        <f t="shared" si="32"/>
        <v>0</v>
      </c>
      <c r="S132" s="34">
        <f t="shared" si="32"/>
        <v>0</v>
      </c>
      <c r="T132" s="34">
        <f t="shared" si="32"/>
        <v>0</v>
      </c>
      <c r="U132" s="34">
        <f t="shared" si="32"/>
        <v>0</v>
      </c>
      <c r="V132" s="34">
        <f t="shared" si="32"/>
        <v>0</v>
      </c>
      <c r="W132" s="34">
        <f t="shared" si="32"/>
        <v>0</v>
      </c>
      <c r="X132" s="34">
        <f t="shared" si="32"/>
        <v>0</v>
      </c>
      <c r="Y132" s="34">
        <f t="shared" si="32"/>
        <v>0</v>
      </c>
      <c r="Z132" s="9"/>
      <c r="AA132" s="9"/>
      <c r="AB132" s="9"/>
    </row>
    <row r="133" spans="1:28" customFormat="1">
      <c r="A133" s="9"/>
      <c r="B133" s="9"/>
      <c r="C133" s="9"/>
      <c r="D133" s="9" t="s">
        <v>99</v>
      </c>
      <c r="E133" s="34">
        <f t="shared" si="32"/>
        <v>0</v>
      </c>
      <c r="F133" s="34">
        <f t="shared" si="32"/>
        <v>0</v>
      </c>
      <c r="G133" s="34">
        <f t="shared" si="32"/>
        <v>0</v>
      </c>
      <c r="H133" s="34">
        <f t="shared" si="32"/>
        <v>0</v>
      </c>
      <c r="I133" s="34">
        <f t="shared" si="32"/>
        <v>0</v>
      </c>
      <c r="J133" s="34">
        <f t="shared" si="32"/>
        <v>0</v>
      </c>
      <c r="K133" s="34">
        <f t="shared" si="32"/>
        <v>0</v>
      </c>
      <c r="L133" s="34">
        <f t="shared" si="32"/>
        <v>0</v>
      </c>
      <c r="M133" s="34">
        <f t="shared" si="32"/>
        <v>0</v>
      </c>
      <c r="N133" s="34">
        <f t="shared" si="32"/>
        <v>0</v>
      </c>
      <c r="O133" s="34">
        <f t="shared" si="32"/>
        <v>0</v>
      </c>
      <c r="P133" s="34">
        <f t="shared" si="32"/>
        <v>0</v>
      </c>
      <c r="Q133" s="34">
        <f t="shared" si="32"/>
        <v>0</v>
      </c>
      <c r="R133" s="34">
        <f t="shared" si="32"/>
        <v>0</v>
      </c>
      <c r="S133" s="34">
        <f t="shared" si="32"/>
        <v>0</v>
      </c>
      <c r="T133" s="34">
        <f t="shared" si="32"/>
        <v>0</v>
      </c>
      <c r="U133" s="34">
        <f t="shared" si="32"/>
        <v>0</v>
      </c>
      <c r="V133" s="34">
        <f t="shared" si="32"/>
        <v>0</v>
      </c>
      <c r="W133" s="34">
        <f t="shared" si="32"/>
        <v>0</v>
      </c>
      <c r="X133" s="34">
        <f t="shared" si="32"/>
        <v>0</v>
      </c>
      <c r="Y133" s="34">
        <f t="shared" si="32"/>
        <v>0</v>
      </c>
      <c r="Z133" s="9"/>
      <c r="AA133" s="9"/>
      <c r="AB133" s="9"/>
    </row>
    <row r="134" spans="1:28" customFormat="1">
      <c r="A134" s="9"/>
      <c r="B134" s="9"/>
      <c r="C134" s="9"/>
      <c r="D134" s="9" t="s">
        <v>102</v>
      </c>
      <c r="E134" s="34">
        <f t="shared" si="32"/>
        <v>0</v>
      </c>
      <c r="F134" s="34">
        <f t="shared" si="32"/>
        <v>0</v>
      </c>
      <c r="G134" s="34">
        <f t="shared" si="32"/>
        <v>0</v>
      </c>
      <c r="H134" s="34">
        <f t="shared" si="32"/>
        <v>0</v>
      </c>
      <c r="I134" s="34">
        <f t="shared" si="32"/>
        <v>0</v>
      </c>
      <c r="J134" s="34">
        <f t="shared" si="32"/>
        <v>0</v>
      </c>
      <c r="K134" s="34">
        <f t="shared" si="32"/>
        <v>0</v>
      </c>
      <c r="L134" s="34">
        <f t="shared" si="32"/>
        <v>0</v>
      </c>
      <c r="M134" s="34">
        <f t="shared" si="32"/>
        <v>0</v>
      </c>
      <c r="N134" s="34">
        <f t="shared" si="32"/>
        <v>0</v>
      </c>
      <c r="O134" s="34">
        <f t="shared" si="32"/>
        <v>0</v>
      </c>
      <c r="P134" s="34">
        <f t="shared" si="32"/>
        <v>0</v>
      </c>
      <c r="Q134" s="34">
        <f t="shared" si="32"/>
        <v>0</v>
      </c>
      <c r="R134" s="34">
        <f t="shared" si="32"/>
        <v>0</v>
      </c>
      <c r="S134" s="34">
        <f t="shared" si="32"/>
        <v>0</v>
      </c>
      <c r="T134" s="34">
        <f t="shared" si="32"/>
        <v>0</v>
      </c>
      <c r="U134" s="34">
        <f t="shared" si="32"/>
        <v>0</v>
      </c>
      <c r="V134" s="34">
        <f t="shared" si="32"/>
        <v>0</v>
      </c>
      <c r="W134" s="34">
        <f t="shared" si="32"/>
        <v>0</v>
      </c>
      <c r="X134" s="34">
        <f t="shared" si="32"/>
        <v>0</v>
      </c>
      <c r="Y134" s="34">
        <f t="shared" si="32"/>
        <v>0</v>
      </c>
      <c r="Z134" s="9"/>
      <c r="AA134" s="9"/>
      <c r="AB134" s="9"/>
    </row>
    <row r="135" spans="1:28" customFormat="1">
      <c r="A135" s="9"/>
      <c r="B135" s="9"/>
      <c r="C135" s="9"/>
      <c r="D135" s="9" t="s">
        <v>105</v>
      </c>
      <c r="E135" s="34">
        <f t="shared" si="32"/>
        <v>0</v>
      </c>
      <c r="F135" s="34">
        <f t="shared" si="32"/>
        <v>0</v>
      </c>
      <c r="G135" s="34">
        <f t="shared" si="32"/>
        <v>0</v>
      </c>
      <c r="H135" s="34">
        <f t="shared" ref="H135:Y135" si="33">H98-H97</f>
        <v>0</v>
      </c>
      <c r="I135" s="34">
        <f t="shared" si="33"/>
        <v>0</v>
      </c>
      <c r="J135" s="34">
        <f t="shared" si="33"/>
        <v>0</v>
      </c>
      <c r="K135" s="34">
        <f t="shared" si="33"/>
        <v>0</v>
      </c>
      <c r="L135" s="34">
        <f t="shared" si="33"/>
        <v>0</v>
      </c>
      <c r="M135" s="34">
        <f t="shared" si="33"/>
        <v>0</v>
      </c>
      <c r="N135" s="34">
        <f t="shared" si="33"/>
        <v>0</v>
      </c>
      <c r="O135" s="34">
        <f t="shared" si="33"/>
        <v>0</v>
      </c>
      <c r="P135" s="34">
        <f t="shared" si="33"/>
        <v>0</v>
      </c>
      <c r="Q135" s="34">
        <f t="shared" si="33"/>
        <v>0</v>
      </c>
      <c r="R135" s="34">
        <f t="shared" si="33"/>
        <v>0</v>
      </c>
      <c r="S135" s="34">
        <f t="shared" si="33"/>
        <v>0</v>
      </c>
      <c r="T135" s="34">
        <f t="shared" si="33"/>
        <v>0</v>
      </c>
      <c r="U135" s="34">
        <f t="shared" si="33"/>
        <v>0</v>
      </c>
      <c r="V135" s="34">
        <f t="shared" si="33"/>
        <v>0</v>
      </c>
      <c r="W135" s="34">
        <f t="shared" si="33"/>
        <v>0</v>
      </c>
      <c r="X135" s="34">
        <f t="shared" si="33"/>
        <v>0</v>
      </c>
      <c r="Y135" s="34">
        <f t="shared" si="33"/>
        <v>0</v>
      </c>
      <c r="Z135" s="9"/>
      <c r="AA135" s="9"/>
      <c r="AB135" s="9"/>
    </row>
    <row r="136" spans="1:28" customFormat="1">
      <c r="A136" s="9"/>
      <c r="B136" s="9"/>
      <c r="C136" s="9"/>
      <c r="D136" s="9" t="s">
        <v>108</v>
      </c>
      <c r="E136" s="34">
        <f t="shared" ref="E136:Y148" si="34">E99-E98</f>
        <v>0</v>
      </c>
      <c r="F136" s="34">
        <f t="shared" si="34"/>
        <v>0</v>
      </c>
      <c r="G136" s="34">
        <f t="shared" si="34"/>
        <v>0</v>
      </c>
      <c r="H136" s="34">
        <f t="shared" si="34"/>
        <v>0</v>
      </c>
      <c r="I136" s="34">
        <f t="shared" si="34"/>
        <v>0</v>
      </c>
      <c r="J136" s="34">
        <f t="shared" si="34"/>
        <v>0</v>
      </c>
      <c r="K136" s="34">
        <f t="shared" si="34"/>
        <v>0</v>
      </c>
      <c r="L136" s="34">
        <f t="shared" si="34"/>
        <v>0</v>
      </c>
      <c r="M136" s="34">
        <f t="shared" si="34"/>
        <v>0</v>
      </c>
      <c r="N136" s="34">
        <f t="shared" si="34"/>
        <v>0</v>
      </c>
      <c r="O136" s="34">
        <f t="shared" si="34"/>
        <v>0</v>
      </c>
      <c r="P136" s="34">
        <f t="shared" si="34"/>
        <v>0</v>
      </c>
      <c r="Q136" s="34">
        <f t="shared" si="34"/>
        <v>0</v>
      </c>
      <c r="R136" s="34">
        <f t="shared" si="34"/>
        <v>0</v>
      </c>
      <c r="S136" s="34">
        <f t="shared" si="34"/>
        <v>0</v>
      </c>
      <c r="T136" s="34">
        <f t="shared" si="34"/>
        <v>0</v>
      </c>
      <c r="U136" s="34">
        <f t="shared" si="34"/>
        <v>0</v>
      </c>
      <c r="V136" s="34">
        <f t="shared" si="34"/>
        <v>0</v>
      </c>
      <c r="W136" s="34">
        <f t="shared" si="34"/>
        <v>0</v>
      </c>
      <c r="X136" s="34">
        <f t="shared" si="34"/>
        <v>0</v>
      </c>
      <c r="Y136" s="34">
        <f t="shared" si="34"/>
        <v>0</v>
      </c>
      <c r="Z136" s="9"/>
      <c r="AA136" s="9"/>
      <c r="AB136" s="9"/>
    </row>
    <row r="137" spans="1:28" customFormat="1">
      <c r="A137" s="9"/>
      <c r="B137" s="9"/>
      <c r="C137" s="9"/>
      <c r="D137" s="9" t="s">
        <v>111</v>
      </c>
      <c r="E137" s="34">
        <f t="shared" si="34"/>
        <v>0</v>
      </c>
      <c r="F137" s="34">
        <f t="shared" si="34"/>
        <v>0</v>
      </c>
      <c r="G137" s="34">
        <f t="shared" si="34"/>
        <v>0</v>
      </c>
      <c r="H137" s="34">
        <f t="shared" si="34"/>
        <v>0</v>
      </c>
      <c r="I137" s="34">
        <f t="shared" si="34"/>
        <v>0</v>
      </c>
      <c r="J137" s="34">
        <f t="shared" si="34"/>
        <v>0</v>
      </c>
      <c r="K137" s="34">
        <f t="shared" si="34"/>
        <v>0</v>
      </c>
      <c r="L137" s="34">
        <f t="shared" si="34"/>
        <v>0</v>
      </c>
      <c r="M137" s="34">
        <f t="shared" si="34"/>
        <v>0</v>
      </c>
      <c r="N137" s="34">
        <f t="shared" si="34"/>
        <v>0</v>
      </c>
      <c r="O137" s="34">
        <f t="shared" si="34"/>
        <v>0</v>
      </c>
      <c r="P137" s="34">
        <f t="shared" si="34"/>
        <v>0</v>
      </c>
      <c r="Q137" s="34">
        <f t="shared" si="34"/>
        <v>0</v>
      </c>
      <c r="R137" s="34">
        <f t="shared" si="34"/>
        <v>0</v>
      </c>
      <c r="S137" s="34">
        <f t="shared" si="34"/>
        <v>0</v>
      </c>
      <c r="T137" s="34">
        <f t="shared" si="34"/>
        <v>0</v>
      </c>
      <c r="U137" s="34">
        <f t="shared" si="34"/>
        <v>0</v>
      </c>
      <c r="V137" s="34">
        <f t="shared" si="34"/>
        <v>0</v>
      </c>
      <c r="W137" s="34">
        <f t="shared" si="34"/>
        <v>0</v>
      </c>
      <c r="X137" s="34">
        <f t="shared" si="34"/>
        <v>0</v>
      </c>
      <c r="Y137" s="34">
        <f t="shared" si="34"/>
        <v>0</v>
      </c>
      <c r="Z137" s="9"/>
      <c r="AA137" s="9"/>
      <c r="AB137" s="9"/>
    </row>
    <row r="138" spans="1:28" customFormat="1">
      <c r="A138" s="9"/>
      <c r="B138" s="9"/>
      <c r="C138" s="9"/>
      <c r="D138" s="9" t="s">
        <v>114</v>
      </c>
      <c r="E138" s="34">
        <f t="shared" si="34"/>
        <v>0</v>
      </c>
      <c r="F138" s="34">
        <f t="shared" si="34"/>
        <v>0</v>
      </c>
      <c r="G138" s="34">
        <f t="shared" si="34"/>
        <v>0</v>
      </c>
      <c r="H138" s="34">
        <f t="shared" si="34"/>
        <v>0</v>
      </c>
      <c r="I138" s="34">
        <f t="shared" si="34"/>
        <v>0</v>
      </c>
      <c r="J138" s="34">
        <f t="shared" si="34"/>
        <v>0</v>
      </c>
      <c r="K138" s="34">
        <f t="shared" si="34"/>
        <v>0</v>
      </c>
      <c r="L138" s="34">
        <f t="shared" si="34"/>
        <v>0</v>
      </c>
      <c r="M138" s="34">
        <f t="shared" si="34"/>
        <v>0</v>
      </c>
      <c r="N138" s="34">
        <f t="shared" si="34"/>
        <v>0</v>
      </c>
      <c r="O138" s="34">
        <f t="shared" si="34"/>
        <v>0</v>
      </c>
      <c r="P138" s="34">
        <f t="shared" si="34"/>
        <v>0</v>
      </c>
      <c r="Q138" s="34">
        <f t="shared" si="34"/>
        <v>0</v>
      </c>
      <c r="R138" s="34">
        <f t="shared" si="34"/>
        <v>0</v>
      </c>
      <c r="S138" s="34">
        <f t="shared" si="34"/>
        <v>0</v>
      </c>
      <c r="T138" s="34">
        <f t="shared" si="34"/>
        <v>0</v>
      </c>
      <c r="U138" s="34">
        <f t="shared" si="34"/>
        <v>0</v>
      </c>
      <c r="V138" s="34">
        <f t="shared" si="34"/>
        <v>0</v>
      </c>
      <c r="W138" s="34">
        <f t="shared" si="34"/>
        <v>0</v>
      </c>
      <c r="X138" s="34">
        <f t="shared" si="34"/>
        <v>0</v>
      </c>
      <c r="Y138" s="34">
        <f t="shared" si="34"/>
        <v>0</v>
      </c>
      <c r="Z138" s="9"/>
      <c r="AA138" s="9"/>
      <c r="AB138" s="9"/>
    </row>
    <row r="139" spans="1:28" customFormat="1">
      <c r="A139" s="9"/>
      <c r="B139" s="9"/>
      <c r="C139" s="9"/>
      <c r="D139" s="9" t="s">
        <v>117</v>
      </c>
      <c r="E139" s="34">
        <f t="shared" ca="1" si="34"/>
        <v>4.7703638614783319E-3</v>
      </c>
      <c r="F139" s="34">
        <f t="shared" ca="1" si="34"/>
        <v>1.4273522507170421E-2</v>
      </c>
      <c r="G139" s="34">
        <f t="shared" ca="1" si="34"/>
        <v>3.1095273266784393E-2</v>
      </c>
      <c r="H139" s="34">
        <f t="shared" ca="1" si="34"/>
        <v>5.8378013714501756E-2</v>
      </c>
      <c r="I139" s="34">
        <f t="shared" ca="1" si="34"/>
        <v>9.9669736761001632E-2</v>
      </c>
      <c r="J139" s="34">
        <f t="shared" ca="1" si="34"/>
        <v>0.15863711676539766</v>
      </c>
      <c r="K139" s="34">
        <f t="shared" ca="1" si="34"/>
        <v>0.23861374294285231</v>
      </c>
      <c r="L139" s="34">
        <f t="shared" ca="1" si="34"/>
        <v>0.34198099296589934</v>
      </c>
      <c r="M139" s="34">
        <f t="shared" ca="1" si="34"/>
        <v>0.46943022884713675</v>
      </c>
      <c r="N139" s="34">
        <f t="shared" ca="1" si="34"/>
        <v>0.61922957195842399</v>
      </c>
      <c r="O139" s="34">
        <f t="shared" ca="1" si="34"/>
        <v>0.78670016284386457</v>
      </c>
      <c r="P139" s="34">
        <f t="shared" ca="1" si="34"/>
        <v>0.96415882653921581</v>
      </c>
      <c r="Q139" s="34">
        <f t="shared" ca="1" si="34"/>
        <v>1.1415541193016661</v>
      </c>
      <c r="R139" s="34">
        <f t="shared" ca="1" si="34"/>
        <v>1.3078663350478221</v>
      </c>
      <c r="S139" s="34">
        <f t="shared" ca="1" si="34"/>
        <v>1.4530640101356069</v>
      </c>
      <c r="T139" s="34">
        <f t="shared" ca="1" si="34"/>
        <v>1.7551534176524939</v>
      </c>
      <c r="U139" s="34">
        <f t="shared" ca="1" si="34"/>
        <v>1.8433273292372325</v>
      </c>
      <c r="V139" s="34">
        <f t="shared" ca="1" si="34"/>
        <v>1.8970592814187324</v>
      </c>
      <c r="W139" s="34">
        <f t="shared" ca="1" si="34"/>
        <v>1.9280010157569285</v>
      </c>
      <c r="X139" s="34">
        <f t="shared" ca="1" si="34"/>
        <v>1.9383559472857086</v>
      </c>
      <c r="Y139" s="34">
        <f t="shared" ca="1" si="34"/>
        <v>27.695296483085055</v>
      </c>
      <c r="Z139" s="9"/>
      <c r="AA139" s="9"/>
      <c r="AB139" s="9"/>
    </row>
    <row r="140" spans="1:28" customFormat="1">
      <c r="A140" s="9"/>
      <c r="B140" s="9"/>
      <c r="C140" s="9"/>
      <c r="D140" s="9" t="s">
        <v>120</v>
      </c>
      <c r="E140" s="34">
        <f t="shared" ca="1" si="34"/>
        <v>0</v>
      </c>
      <c r="F140" s="34">
        <f t="shared" ca="1" si="34"/>
        <v>0</v>
      </c>
      <c r="G140" s="34">
        <f t="shared" ca="1" si="34"/>
        <v>0</v>
      </c>
      <c r="H140" s="34">
        <f t="shared" ca="1" si="34"/>
        <v>0</v>
      </c>
      <c r="I140" s="34">
        <f t="shared" ca="1" si="34"/>
        <v>0</v>
      </c>
      <c r="J140" s="34">
        <f t="shared" ca="1" si="34"/>
        <v>0</v>
      </c>
      <c r="K140" s="34">
        <f t="shared" ca="1" si="34"/>
        <v>0</v>
      </c>
      <c r="L140" s="34">
        <f t="shared" ca="1" si="34"/>
        <v>0</v>
      </c>
      <c r="M140" s="34">
        <f t="shared" ca="1" si="34"/>
        <v>0</v>
      </c>
      <c r="N140" s="34">
        <f t="shared" ca="1" si="34"/>
        <v>0</v>
      </c>
      <c r="O140" s="34">
        <f t="shared" ca="1" si="34"/>
        <v>0</v>
      </c>
      <c r="P140" s="34">
        <f t="shared" ca="1" si="34"/>
        <v>0</v>
      </c>
      <c r="Q140" s="34">
        <f t="shared" ca="1" si="34"/>
        <v>0</v>
      </c>
      <c r="R140" s="34">
        <f t="shared" ca="1" si="34"/>
        <v>0</v>
      </c>
      <c r="S140" s="34">
        <f t="shared" ca="1" si="34"/>
        <v>0</v>
      </c>
      <c r="T140" s="34">
        <f t="shared" ca="1" si="34"/>
        <v>0</v>
      </c>
      <c r="U140" s="34">
        <f t="shared" ca="1" si="34"/>
        <v>0</v>
      </c>
      <c r="V140" s="34">
        <f t="shared" ca="1" si="34"/>
        <v>0</v>
      </c>
      <c r="W140" s="34">
        <f t="shared" ca="1" si="34"/>
        <v>0</v>
      </c>
      <c r="X140" s="34">
        <f t="shared" ca="1" si="34"/>
        <v>0</v>
      </c>
      <c r="Y140" s="34">
        <f t="shared" ca="1" si="34"/>
        <v>0</v>
      </c>
      <c r="Z140" s="9"/>
      <c r="AA140" s="9"/>
      <c r="AB140" s="9"/>
    </row>
    <row r="141" spans="1:28" customFormat="1">
      <c r="A141" s="9"/>
      <c r="B141" s="9"/>
      <c r="C141" s="9"/>
      <c r="D141" s="9" t="s">
        <v>123</v>
      </c>
      <c r="E141" s="34">
        <f t="shared" ca="1" si="34"/>
        <v>1.2517361005045299E-4</v>
      </c>
      <c r="F141" s="34">
        <f t="shared" ca="1" si="34"/>
        <v>3.7453502337350675E-4</v>
      </c>
      <c r="G141" s="34">
        <f t="shared" ca="1" si="34"/>
        <v>8.1593516204076649E-4</v>
      </c>
      <c r="H141" s="34">
        <f t="shared" ca="1" si="34"/>
        <v>1.5318300524678405E-3</v>
      </c>
      <c r="I141" s="34">
        <f t="shared" ca="1" si="34"/>
        <v>2.6153184799799778E-3</v>
      </c>
      <c r="J141" s="34">
        <f t="shared" ca="1" si="34"/>
        <v>4.1626134127568104E-3</v>
      </c>
      <c r="K141" s="34">
        <f t="shared" ca="1" si="34"/>
        <v>6.2611877163079865E-3</v>
      </c>
      <c r="L141" s="34">
        <f t="shared" ca="1" si="34"/>
        <v>8.9735283725116965E-3</v>
      </c>
      <c r="M141" s="34">
        <f t="shared" ca="1" si="34"/>
        <v>1.2317776613668341E-2</v>
      </c>
      <c r="N141" s="34">
        <f t="shared" ca="1" si="34"/>
        <v>1.6248488212388112E-2</v>
      </c>
      <c r="O141" s="34">
        <f t="shared" ca="1" si="34"/>
        <v>2.0642890620072962E-2</v>
      </c>
      <c r="P141" s="34">
        <f t="shared" ca="1" si="34"/>
        <v>2.5299378513764181E-2</v>
      </c>
      <c r="Q141" s="34">
        <f t="shared" ca="1" si="34"/>
        <v>2.9954203563975712E-2</v>
      </c>
      <c r="R141" s="34">
        <f t="shared" ca="1" si="34"/>
        <v>3.4318210387133341E-2</v>
      </c>
      <c r="S141" s="34">
        <f t="shared" ca="1" si="34"/>
        <v>3.812817492850451E-2</v>
      </c>
      <c r="T141" s="34">
        <f t="shared" ca="1" si="34"/>
        <v>4.605495426754902E-2</v>
      </c>
      <c r="U141" s="34">
        <f t="shared" ca="1" si="34"/>
        <v>4.8368624072583799E-2</v>
      </c>
      <c r="V141" s="34">
        <f t="shared" ca="1" si="34"/>
        <v>4.9778542188878561E-2</v>
      </c>
      <c r="W141" s="34">
        <f t="shared" ca="1" si="34"/>
        <v>5.0590448513176067E-2</v>
      </c>
      <c r="X141" s="34">
        <f t="shared" ca="1" si="34"/>
        <v>5.0862160315235716E-2</v>
      </c>
      <c r="Y141" s="34">
        <f t="shared" ca="1" si="34"/>
        <v>0.72672029699869611</v>
      </c>
      <c r="Z141" s="9"/>
      <c r="AA141" s="9"/>
      <c r="AB141" s="9"/>
    </row>
    <row r="142" spans="1:28" customFormat="1">
      <c r="A142" s="9"/>
      <c r="B142" s="9"/>
      <c r="C142" s="9"/>
      <c r="D142" s="9" t="s">
        <v>126</v>
      </c>
      <c r="E142" s="34">
        <f t="shared" ca="1" si="34"/>
        <v>0</v>
      </c>
      <c r="F142" s="34">
        <f t="shared" ca="1" si="34"/>
        <v>0</v>
      </c>
      <c r="G142" s="34">
        <f t="shared" ca="1" si="34"/>
        <v>0</v>
      </c>
      <c r="H142" s="34">
        <f t="shared" ca="1" si="34"/>
        <v>0</v>
      </c>
      <c r="I142" s="34">
        <f t="shared" ca="1" si="34"/>
        <v>0</v>
      </c>
      <c r="J142" s="34">
        <f t="shared" ca="1" si="34"/>
        <v>0</v>
      </c>
      <c r="K142" s="34">
        <f t="shared" ca="1" si="34"/>
        <v>0</v>
      </c>
      <c r="L142" s="34">
        <f t="shared" ca="1" si="34"/>
        <v>0</v>
      </c>
      <c r="M142" s="34">
        <f t="shared" ca="1" si="34"/>
        <v>0</v>
      </c>
      <c r="N142" s="34">
        <f t="shared" ca="1" si="34"/>
        <v>0</v>
      </c>
      <c r="O142" s="34">
        <f t="shared" ca="1" si="34"/>
        <v>0</v>
      </c>
      <c r="P142" s="34">
        <f t="shared" ca="1" si="34"/>
        <v>0</v>
      </c>
      <c r="Q142" s="34">
        <f t="shared" ca="1" si="34"/>
        <v>0</v>
      </c>
      <c r="R142" s="34">
        <f t="shared" ca="1" si="34"/>
        <v>0</v>
      </c>
      <c r="S142" s="34">
        <f t="shared" ca="1" si="34"/>
        <v>0</v>
      </c>
      <c r="T142" s="34">
        <f t="shared" ca="1" si="34"/>
        <v>0</v>
      </c>
      <c r="U142" s="34">
        <f t="shared" ca="1" si="34"/>
        <v>0</v>
      </c>
      <c r="V142" s="34">
        <f t="shared" ca="1" si="34"/>
        <v>0</v>
      </c>
      <c r="W142" s="34">
        <f t="shared" ca="1" si="34"/>
        <v>0</v>
      </c>
      <c r="X142" s="34">
        <f t="shared" ca="1" si="34"/>
        <v>0</v>
      </c>
      <c r="Y142" s="34">
        <f t="shared" ca="1" si="34"/>
        <v>0</v>
      </c>
      <c r="Z142" s="9"/>
      <c r="AA142" s="9"/>
      <c r="AB142" s="9"/>
    </row>
    <row r="143" spans="1:28" customFormat="1">
      <c r="A143" s="9"/>
      <c r="B143" s="9"/>
      <c r="C143" s="9"/>
      <c r="D143" s="9" t="s">
        <v>171</v>
      </c>
      <c r="E143" s="34">
        <f t="shared" ca="1" si="34"/>
        <v>0</v>
      </c>
      <c r="F143" s="34">
        <f t="shared" ca="1" si="34"/>
        <v>0</v>
      </c>
      <c r="G143" s="34">
        <f t="shared" ca="1" si="34"/>
        <v>0</v>
      </c>
      <c r="H143" s="34">
        <f t="shared" ca="1" si="34"/>
        <v>0</v>
      </c>
      <c r="I143" s="34">
        <f t="shared" ca="1" si="34"/>
        <v>0</v>
      </c>
      <c r="J143" s="34">
        <f t="shared" ca="1" si="34"/>
        <v>0</v>
      </c>
      <c r="K143" s="34">
        <f t="shared" ca="1" si="34"/>
        <v>0</v>
      </c>
      <c r="L143" s="34">
        <f t="shared" ca="1" si="34"/>
        <v>0</v>
      </c>
      <c r="M143" s="34">
        <f t="shared" ca="1" si="34"/>
        <v>0</v>
      </c>
      <c r="N143" s="34">
        <f t="shared" ca="1" si="34"/>
        <v>0</v>
      </c>
      <c r="O143" s="34">
        <f t="shared" ca="1" si="34"/>
        <v>0</v>
      </c>
      <c r="P143" s="34">
        <f t="shared" ca="1" si="34"/>
        <v>0</v>
      </c>
      <c r="Q143" s="34">
        <f t="shared" ca="1" si="34"/>
        <v>0</v>
      </c>
      <c r="R143" s="34">
        <f t="shared" ca="1" si="34"/>
        <v>0</v>
      </c>
      <c r="S143" s="34">
        <f t="shared" ca="1" si="34"/>
        <v>0</v>
      </c>
      <c r="T143" s="34">
        <f t="shared" ca="1" si="34"/>
        <v>0</v>
      </c>
      <c r="U143" s="34">
        <f t="shared" ca="1" si="34"/>
        <v>0</v>
      </c>
      <c r="V143" s="34">
        <f t="shared" ca="1" si="34"/>
        <v>0</v>
      </c>
      <c r="W143" s="34">
        <f t="shared" ca="1" si="34"/>
        <v>0</v>
      </c>
      <c r="X143" s="34">
        <f t="shared" ca="1" si="34"/>
        <v>0</v>
      </c>
      <c r="Y143" s="34">
        <f t="shared" ca="1" si="34"/>
        <v>0</v>
      </c>
      <c r="Z143" s="9"/>
      <c r="AA143" s="9"/>
      <c r="AB143" s="9"/>
    </row>
    <row r="144" spans="1:28" customFormat="1">
      <c r="A144" s="9"/>
      <c r="B144" s="9"/>
      <c r="C144" s="9"/>
      <c r="D144" s="9" t="s">
        <v>173</v>
      </c>
      <c r="E144" s="34">
        <f t="shared" ca="1" si="34"/>
        <v>0</v>
      </c>
      <c r="F144" s="34">
        <f t="shared" ca="1" si="34"/>
        <v>0</v>
      </c>
      <c r="G144" s="34">
        <f t="shared" ca="1" si="34"/>
        <v>0</v>
      </c>
      <c r="H144" s="34">
        <f t="shared" ca="1" si="34"/>
        <v>0</v>
      </c>
      <c r="I144" s="34">
        <f t="shared" ca="1" si="34"/>
        <v>0</v>
      </c>
      <c r="J144" s="34">
        <f t="shared" ca="1" si="34"/>
        <v>0</v>
      </c>
      <c r="K144" s="34">
        <f t="shared" ca="1" si="34"/>
        <v>0</v>
      </c>
      <c r="L144" s="34">
        <f t="shared" ca="1" si="34"/>
        <v>0</v>
      </c>
      <c r="M144" s="34">
        <f t="shared" ca="1" si="34"/>
        <v>0</v>
      </c>
      <c r="N144" s="34">
        <f t="shared" ca="1" si="34"/>
        <v>0</v>
      </c>
      <c r="O144" s="34">
        <f t="shared" ca="1" si="34"/>
        <v>0</v>
      </c>
      <c r="P144" s="34">
        <f t="shared" ca="1" si="34"/>
        <v>0</v>
      </c>
      <c r="Q144" s="34">
        <f t="shared" ca="1" si="34"/>
        <v>0</v>
      </c>
      <c r="R144" s="34">
        <f t="shared" ca="1" si="34"/>
        <v>0</v>
      </c>
      <c r="S144" s="34">
        <f t="shared" ca="1" si="34"/>
        <v>0</v>
      </c>
      <c r="T144" s="34">
        <f t="shared" ca="1" si="34"/>
        <v>0</v>
      </c>
      <c r="U144" s="34">
        <f t="shared" ca="1" si="34"/>
        <v>0</v>
      </c>
      <c r="V144" s="34">
        <f t="shared" ca="1" si="34"/>
        <v>0</v>
      </c>
      <c r="W144" s="34">
        <f t="shared" ca="1" si="34"/>
        <v>0</v>
      </c>
      <c r="X144" s="34">
        <f t="shared" ca="1" si="34"/>
        <v>0</v>
      </c>
      <c r="Y144" s="34">
        <f t="shared" ca="1" si="34"/>
        <v>0</v>
      </c>
      <c r="Z144" s="9"/>
      <c r="AA144" s="9"/>
      <c r="AB144" s="9"/>
    </row>
    <row r="145" spans="1:28" customFormat="1">
      <c r="A145" s="9"/>
      <c r="B145" s="9"/>
      <c r="C145" s="9"/>
      <c r="D145" s="9" t="s">
        <v>176</v>
      </c>
      <c r="E145" s="34">
        <f t="shared" ca="1" si="34"/>
        <v>0</v>
      </c>
      <c r="F145" s="34">
        <f t="shared" ca="1" si="34"/>
        <v>0</v>
      </c>
      <c r="G145" s="34">
        <f t="shared" ca="1" si="34"/>
        <v>0</v>
      </c>
      <c r="H145" s="34">
        <f t="shared" ca="1" si="34"/>
        <v>0</v>
      </c>
      <c r="I145" s="34">
        <f t="shared" ca="1" si="34"/>
        <v>0</v>
      </c>
      <c r="J145" s="34">
        <f t="shared" ca="1" si="34"/>
        <v>0</v>
      </c>
      <c r="K145" s="34">
        <f t="shared" ca="1" si="34"/>
        <v>0</v>
      </c>
      <c r="L145" s="34">
        <f t="shared" ca="1" si="34"/>
        <v>0</v>
      </c>
      <c r="M145" s="34">
        <f t="shared" ca="1" si="34"/>
        <v>0</v>
      </c>
      <c r="N145" s="34">
        <f t="shared" ca="1" si="34"/>
        <v>0</v>
      </c>
      <c r="O145" s="34">
        <f t="shared" ca="1" si="34"/>
        <v>0</v>
      </c>
      <c r="P145" s="34">
        <f t="shared" ca="1" si="34"/>
        <v>0</v>
      </c>
      <c r="Q145" s="34">
        <f t="shared" ca="1" si="34"/>
        <v>0</v>
      </c>
      <c r="R145" s="34">
        <f t="shared" ca="1" si="34"/>
        <v>0</v>
      </c>
      <c r="S145" s="34">
        <f t="shared" ca="1" si="34"/>
        <v>0</v>
      </c>
      <c r="T145" s="34">
        <f t="shared" ca="1" si="34"/>
        <v>0</v>
      </c>
      <c r="U145" s="34">
        <f t="shared" ca="1" si="34"/>
        <v>0</v>
      </c>
      <c r="V145" s="34">
        <f t="shared" ca="1" si="34"/>
        <v>0</v>
      </c>
      <c r="W145" s="34">
        <f t="shared" ca="1" si="34"/>
        <v>0</v>
      </c>
      <c r="X145" s="34">
        <f t="shared" ca="1" si="34"/>
        <v>0</v>
      </c>
      <c r="Y145" s="34">
        <f t="shared" ca="1" si="34"/>
        <v>0</v>
      </c>
      <c r="Z145" s="9"/>
      <c r="AA145" s="9"/>
      <c r="AB145" s="9"/>
    </row>
    <row r="146" spans="1:28" customFormat="1">
      <c r="A146" s="9"/>
      <c r="B146" s="9"/>
      <c r="C146" s="9"/>
      <c r="D146" s="9" t="s">
        <v>179</v>
      </c>
      <c r="E146" s="34">
        <f t="shared" ca="1" si="34"/>
        <v>0</v>
      </c>
      <c r="F146" s="34">
        <f t="shared" ca="1" si="34"/>
        <v>0</v>
      </c>
      <c r="G146" s="34">
        <f t="shared" ca="1" si="34"/>
        <v>0</v>
      </c>
      <c r="H146" s="34">
        <f t="shared" ca="1" si="34"/>
        <v>0</v>
      </c>
      <c r="I146" s="34">
        <f t="shared" ca="1" si="34"/>
        <v>0</v>
      </c>
      <c r="J146" s="34">
        <f t="shared" ca="1" si="34"/>
        <v>0</v>
      </c>
      <c r="K146" s="34">
        <f t="shared" ca="1" si="34"/>
        <v>0</v>
      </c>
      <c r="L146" s="34">
        <f t="shared" ca="1" si="34"/>
        <v>0</v>
      </c>
      <c r="M146" s="34">
        <f t="shared" ca="1" si="34"/>
        <v>0</v>
      </c>
      <c r="N146" s="34">
        <f t="shared" ca="1" si="34"/>
        <v>0</v>
      </c>
      <c r="O146" s="34">
        <f t="shared" ca="1" si="34"/>
        <v>0</v>
      </c>
      <c r="P146" s="34">
        <f t="shared" ca="1" si="34"/>
        <v>0</v>
      </c>
      <c r="Q146" s="34">
        <f t="shared" ca="1" si="34"/>
        <v>0</v>
      </c>
      <c r="R146" s="34">
        <f t="shared" ca="1" si="34"/>
        <v>0</v>
      </c>
      <c r="S146" s="34">
        <f t="shared" ca="1" si="34"/>
        <v>0</v>
      </c>
      <c r="T146" s="34">
        <f t="shared" ca="1" si="34"/>
        <v>0</v>
      </c>
      <c r="U146" s="34">
        <f t="shared" ca="1" si="34"/>
        <v>0</v>
      </c>
      <c r="V146" s="34">
        <f t="shared" ca="1" si="34"/>
        <v>0</v>
      </c>
      <c r="W146" s="34">
        <f t="shared" ca="1" si="34"/>
        <v>0</v>
      </c>
      <c r="X146" s="34">
        <f t="shared" ca="1" si="34"/>
        <v>0</v>
      </c>
      <c r="Y146" s="34">
        <f t="shared" ca="1" si="34"/>
        <v>0</v>
      </c>
      <c r="Z146" s="9"/>
      <c r="AA146" s="9"/>
      <c r="AB146" s="9"/>
    </row>
    <row r="147" spans="1:28" customFormat="1">
      <c r="A147" s="9"/>
      <c r="B147" s="9"/>
      <c r="C147" s="9"/>
      <c r="D147" s="9" t="s">
        <v>182</v>
      </c>
      <c r="E147" s="34">
        <f t="shared" ca="1" si="34"/>
        <v>0</v>
      </c>
      <c r="F147" s="34">
        <f t="shared" ca="1" si="34"/>
        <v>0</v>
      </c>
      <c r="G147" s="34">
        <f t="shared" ca="1" si="34"/>
        <v>0</v>
      </c>
      <c r="H147" s="34">
        <f t="shared" ca="1" si="34"/>
        <v>0</v>
      </c>
      <c r="I147" s="34">
        <f t="shared" ca="1" si="34"/>
        <v>0</v>
      </c>
      <c r="J147" s="34">
        <f t="shared" ca="1" si="34"/>
        <v>0</v>
      </c>
      <c r="K147" s="34">
        <f t="shared" ca="1" si="34"/>
        <v>0</v>
      </c>
      <c r="L147" s="34">
        <f t="shared" ca="1" si="34"/>
        <v>0</v>
      </c>
      <c r="M147" s="34">
        <f t="shared" ca="1" si="34"/>
        <v>0</v>
      </c>
      <c r="N147" s="34">
        <f t="shared" ca="1" si="34"/>
        <v>0</v>
      </c>
      <c r="O147" s="34">
        <f t="shared" ca="1" si="34"/>
        <v>0</v>
      </c>
      <c r="P147" s="34">
        <f t="shared" ca="1" si="34"/>
        <v>0</v>
      </c>
      <c r="Q147" s="34">
        <f t="shared" ca="1" si="34"/>
        <v>0</v>
      </c>
      <c r="R147" s="34">
        <f t="shared" ca="1" si="34"/>
        <v>0</v>
      </c>
      <c r="S147" s="34">
        <f t="shared" ca="1" si="34"/>
        <v>0</v>
      </c>
      <c r="T147" s="34">
        <f t="shared" ca="1" si="34"/>
        <v>0</v>
      </c>
      <c r="U147" s="34">
        <f t="shared" ca="1" si="34"/>
        <v>0</v>
      </c>
      <c r="V147" s="34">
        <f t="shared" ca="1" si="34"/>
        <v>0</v>
      </c>
      <c r="W147" s="34">
        <f t="shared" ca="1" si="34"/>
        <v>0</v>
      </c>
      <c r="X147" s="34">
        <f t="shared" ca="1" si="34"/>
        <v>0</v>
      </c>
      <c r="Y147" s="34">
        <f t="shared" ca="1" si="34"/>
        <v>0</v>
      </c>
      <c r="Z147" s="9"/>
      <c r="AA147" s="9"/>
      <c r="AB147" s="9"/>
    </row>
    <row r="148" spans="1:28" customFormat="1">
      <c r="A148" s="9"/>
      <c r="B148" s="9"/>
      <c r="C148" s="9"/>
      <c r="D148" s="9" t="s">
        <v>185</v>
      </c>
      <c r="E148" s="34">
        <f t="shared" ca="1" si="34"/>
        <v>0</v>
      </c>
      <c r="F148" s="34">
        <f t="shared" ca="1" si="34"/>
        <v>0</v>
      </c>
      <c r="G148" s="34">
        <f t="shared" ca="1" si="34"/>
        <v>0</v>
      </c>
      <c r="H148" s="34">
        <f t="shared" ref="H148:Y148" ca="1" si="35">H111-H110</f>
        <v>0</v>
      </c>
      <c r="I148" s="34">
        <f t="shared" ca="1" si="35"/>
        <v>0</v>
      </c>
      <c r="J148" s="34">
        <f t="shared" ca="1" si="35"/>
        <v>0</v>
      </c>
      <c r="K148" s="34">
        <f t="shared" ca="1" si="35"/>
        <v>0</v>
      </c>
      <c r="L148" s="34">
        <f t="shared" ca="1" si="35"/>
        <v>0</v>
      </c>
      <c r="M148" s="34">
        <f t="shared" ca="1" si="35"/>
        <v>0</v>
      </c>
      <c r="N148" s="34">
        <f t="shared" ca="1" si="35"/>
        <v>0</v>
      </c>
      <c r="O148" s="34">
        <f t="shared" ca="1" si="35"/>
        <v>0</v>
      </c>
      <c r="P148" s="34">
        <f t="shared" ca="1" si="35"/>
        <v>0</v>
      </c>
      <c r="Q148" s="34">
        <f t="shared" ca="1" si="35"/>
        <v>0</v>
      </c>
      <c r="R148" s="34">
        <f t="shared" ca="1" si="35"/>
        <v>0</v>
      </c>
      <c r="S148" s="34">
        <f t="shared" ca="1" si="35"/>
        <v>0</v>
      </c>
      <c r="T148" s="34">
        <f t="shared" ca="1" si="35"/>
        <v>0</v>
      </c>
      <c r="U148" s="34">
        <f t="shared" ca="1" si="35"/>
        <v>0</v>
      </c>
      <c r="V148" s="34">
        <f t="shared" ca="1" si="35"/>
        <v>0</v>
      </c>
      <c r="W148" s="34">
        <f t="shared" ca="1" si="35"/>
        <v>0</v>
      </c>
      <c r="X148" s="34">
        <f t="shared" ca="1" si="35"/>
        <v>0</v>
      </c>
      <c r="Y148" s="34">
        <f t="shared" ca="1" si="35"/>
        <v>0</v>
      </c>
      <c r="Z148" s="9"/>
      <c r="AA148" s="9"/>
      <c r="AB148" s="9"/>
    </row>
    <row r="149" spans="1:28" customFormat="1">
      <c r="A149" s="9"/>
      <c r="B149" s="9"/>
      <c r="C149" s="9"/>
      <c r="D149" s="9" t="s">
        <v>188</v>
      </c>
      <c r="E149" s="34">
        <f t="shared" ref="E149:Y153" ca="1" si="36">E112-E111</f>
        <v>0</v>
      </c>
      <c r="F149" s="34">
        <f t="shared" ca="1" si="36"/>
        <v>0</v>
      </c>
      <c r="G149" s="34">
        <f t="shared" ca="1" si="36"/>
        <v>0</v>
      </c>
      <c r="H149" s="34">
        <f t="shared" ca="1" si="36"/>
        <v>0</v>
      </c>
      <c r="I149" s="34">
        <f t="shared" ca="1" si="36"/>
        <v>0</v>
      </c>
      <c r="J149" s="34">
        <f t="shared" ca="1" si="36"/>
        <v>0</v>
      </c>
      <c r="K149" s="34">
        <f t="shared" ca="1" si="36"/>
        <v>0</v>
      </c>
      <c r="L149" s="34">
        <f t="shared" ca="1" si="36"/>
        <v>0</v>
      </c>
      <c r="M149" s="34">
        <f t="shared" ca="1" si="36"/>
        <v>0</v>
      </c>
      <c r="N149" s="34">
        <f t="shared" ca="1" si="36"/>
        <v>0</v>
      </c>
      <c r="O149" s="34">
        <f t="shared" ca="1" si="36"/>
        <v>0</v>
      </c>
      <c r="P149" s="34">
        <f t="shared" ca="1" si="36"/>
        <v>0</v>
      </c>
      <c r="Q149" s="34">
        <f t="shared" ca="1" si="36"/>
        <v>0</v>
      </c>
      <c r="R149" s="34">
        <f t="shared" ca="1" si="36"/>
        <v>0</v>
      </c>
      <c r="S149" s="34">
        <f t="shared" ca="1" si="36"/>
        <v>0</v>
      </c>
      <c r="T149" s="34">
        <f t="shared" ca="1" si="36"/>
        <v>0</v>
      </c>
      <c r="U149" s="34">
        <f t="shared" ca="1" si="36"/>
        <v>0</v>
      </c>
      <c r="V149" s="34">
        <f t="shared" ca="1" si="36"/>
        <v>0</v>
      </c>
      <c r="W149" s="34">
        <f t="shared" ca="1" si="36"/>
        <v>0</v>
      </c>
      <c r="X149" s="34">
        <f t="shared" ca="1" si="36"/>
        <v>0</v>
      </c>
      <c r="Y149" s="34">
        <f t="shared" ca="1" si="36"/>
        <v>0</v>
      </c>
      <c r="Z149" s="9"/>
      <c r="AA149" s="9"/>
      <c r="AB149" s="9"/>
    </row>
    <row r="150" spans="1:28" customFormat="1">
      <c r="A150" s="9"/>
      <c r="B150" s="9"/>
      <c r="C150" s="9"/>
      <c r="D150" s="9" t="s">
        <v>191</v>
      </c>
      <c r="E150" s="34">
        <f t="shared" ca="1" si="36"/>
        <v>0</v>
      </c>
      <c r="F150" s="34">
        <f t="shared" ca="1" si="36"/>
        <v>0</v>
      </c>
      <c r="G150" s="34">
        <f t="shared" ca="1" si="36"/>
        <v>0</v>
      </c>
      <c r="H150" s="34">
        <f t="shared" ca="1" si="36"/>
        <v>0</v>
      </c>
      <c r="I150" s="34">
        <f t="shared" ca="1" si="36"/>
        <v>0</v>
      </c>
      <c r="J150" s="34">
        <f t="shared" ca="1" si="36"/>
        <v>0</v>
      </c>
      <c r="K150" s="34">
        <f t="shared" ca="1" si="36"/>
        <v>0</v>
      </c>
      <c r="L150" s="34">
        <f t="shared" ca="1" si="36"/>
        <v>0</v>
      </c>
      <c r="M150" s="34">
        <f t="shared" ca="1" si="36"/>
        <v>0</v>
      </c>
      <c r="N150" s="34">
        <f t="shared" ca="1" si="36"/>
        <v>0</v>
      </c>
      <c r="O150" s="34">
        <f t="shared" ca="1" si="36"/>
        <v>0</v>
      </c>
      <c r="P150" s="34">
        <f t="shared" ca="1" si="36"/>
        <v>0</v>
      </c>
      <c r="Q150" s="34">
        <f t="shared" ca="1" si="36"/>
        <v>0</v>
      </c>
      <c r="R150" s="34">
        <f t="shared" ca="1" si="36"/>
        <v>0</v>
      </c>
      <c r="S150" s="34">
        <f t="shared" ca="1" si="36"/>
        <v>0</v>
      </c>
      <c r="T150" s="34">
        <f t="shared" ca="1" si="36"/>
        <v>0</v>
      </c>
      <c r="U150" s="34">
        <f t="shared" ca="1" si="36"/>
        <v>0</v>
      </c>
      <c r="V150" s="34">
        <f t="shared" ca="1" si="36"/>
        <v>0</v>
      </c>
      <c r="W150" s="34">
        <f t="shared" ca="1" si="36"/>
        <v>0</v>
      </c>
      <c r="X150" s="34">
        <f t="shared" ca="1" si="36"/>
        <v>0</v>
      </c>
      <c r="Y150" s="34">
        <f t="shared" ca="1" si="36"/>
        <v>0</v>
      </c>
      <c r="Z150" s="9"/>
      <c r="AA150" s="9"/>
      <c r="AB150" s="9"/>
    </row>
    <row r="151" spans="1:28" customFormat="1">
      <c r="A151" s="9"/>
      <c r="B151" s="9"/>
      <c r="C151" s="9"/>
      <c r="D151" s="9" t="s">
        <v>194</v>
      </c>
      <c r="E151" s="34">
        <f t="shared" ca="1" si="36"/>
        <v>0</v>
      </c>
      <c r="F151" s="34">
        <f t="shared" ca="1" si="36"/>
        <v>0</v>
      </c>
      <c r="G151" s="34">
        <f t="shared" ca="1" si="36"/>
        <v>0</v>
      </c>
      <c r="H151" s="34">
        <f t="shared" ca="1" si="36"/>
        <v>0</v>
      </c>
      <c r="I151" s="34">
        <f t="shared" ca="1" si="36"/>
        <v>0</v>
      </c>
      <c r="J151" s="34">
        <f t="shared" ca="1" si="36"/>
        <v>0</v>
      </c>
      <c r="K151" s="34">
        <f t="shared" ca="1" si="36"/>
        <v>0</v>
      </c>
      <c r="L151" s="34">
        <f t="shared" ca="1" si="36"/>
        <v>0</v>
      </c>
      <c r="M151" s="34">
        <f t="shared" ca="1" si="36"/>
        <v>0</v>
      </c>
      <c r="N151" s="34">
        <f t="shared" ca="1" si="36"/>
        <v>0</v>
      </c>
      <c r="O151" s="34">
        <f t="shared" ca="1" si="36"/>
        <v>0</v>
      </c>
      <c r="P151" s="34">
        <f t="shared" ca="1" si="36"/>
        <v>0</v>
      </c>
      <c r="Q151" s="34">
        <f t="shared" ca="1" si="36"/>
        <v>0</v>
      </c>
      <c r="R151" s="34">
        <f t="shared" ca="1" si="36"/>
        <v>0</v>
      </c>
      <c r="S151" s="34">
        <f t="shared" ca="1" si="36"/>
        <v>0</v>
      </c>
      <c r="T151" s="34">
        <f t="shared" ca="1" si="36"/>
        <v>0</v>
      </c>
      <c r="U151" s="34">
        <f t="shared" ca="1" si="36"/>
        <v>0</v>
      </c>
      <c r="V151" s="34">
        <f t="shared" ca="1" si="36"/>
        <v>0</v>
      </c>
      <c r="W151" s="34">
        <f t="shared" ca="1" si="36"/>
        <v>0</v>
      </c>
      <c r="X151" s="34">
        <f t="shared" ca="1" si="36"/>
        <v>0</v>
      </c>
      <c r="Y151" s="34">
        <f t="shared" ca="1" si="36"/>
        <v>0</v>
      </c>
      <c r="Z151" s="9"/>
      <c r="AA151" s="9"/>
      <c r="AB151" s="9"/>
    </row>
    <row r="152" spans="1:28" customFormat="1">
      <c r="A152" s="9"/>
      <c r="B152" s="9"/>
      <c r="C152" s="9"/>
      <c r="D152" s="9" t="s">
        <v>197</v>
      </c>
      <c r="E152" s="34">
        <f t="shared" ca="1" si="36"/>
        <v>0</v>
      </c>
      <c r="F152" s="34">
        <f t="shared" ca="1" si="36"/>
        <v>0</v>
      </c>
      <c r="G152" s="34">
        <f t="shared" ca="1" si="36"/>
        <v>0</v>
      </c>
      <c r="H152" s="34">
        <f t="shared" ca="1" si="36"/>
        <v>0</v>
      </c>
      <c r="I152" s="34">
        <f t="shared" ca="1" si="36"/>
        <v>0</v>
      </c>
      <c r="J152" s="34">
        <f t="shared" ca="1" si="36"/>
        <v>0</v>
      </c>
      <c r="K152" s="34">
        <f t="shared" ca="1" si="36"/>
        <v>0</v>
      </c>
      <c r="L152" s="34">
        <f t="shared" ca="1" si="36"/>
        <v>0</v>
      </c>
      <c r="M152" s="34">
        <f t="shared" ca="1" si="36"/>
        <v>0</v>
      </c>
      <c r="N152" s="34">
        <f t="shared" ca="1" si="36"/>
        <v>0</v>
      </c>
      <c r="O152" s="34">
        <f t="shared" ca="1" si="36"/>
        <v>0</v>
      </c>
      <c r="P152" s="34">
        <f t="shared" ca="1" si="36"/>
        <v>0</v>
      </c>
      <c r="Q152" s="34">
        <f t="shared" ca="1" si="36"/>
        <v>0</v>
      </c>
      <c r="R152" s="34">
        <f t="shared" ca="1" si="36"/>
        <v>0</v>
      </c>
      <c r="S152" s="34">
        <f t="shared" ca="1" si="36"/>
        <v>0</v>
      </c>
      <c r="T152" s="34">
        <f t="shared" ca="1" si="36"/>
        <v>0</v>
      </c>
      <c r="U152" s="34">
        <f t="shared" ca="1" si="36"/>
        <v>0</v>
      </c>
      <c r="V152" s="34">
        <f t="shared" ca="1" si="36"/>
        <v>0</v>
      </c>
      <c r="W152" s="34">
        <f t="shared" ca="1" si="36"/>
        <v>0</v>
      </c>
      <c r="X152" s="34">
        <f t="shared" ca="1" si="36"/>
        <v>0</v>
      </c>
      <c r="Y152" s="34">
        <f t="shared" ca="1" si="36"/>
        <v>0</v>
      </c>
      <c r="Z152" s="9"/>
      <c r="AA152" s="9"/>
      <c r="AB152" s="9"/>
    </row>
    <row r="153" spans="1:28" customFormat="1">
      <c r="A153" s="9"/>
      <c r="B153" s="9"/>
      <c r="C153" s="9"/>
      <c r="D153" s="9" t="s">
        <v>200</v>
      </c>
      <c r="E153" s="34">
        <f t="shared" ca="1" si="36"/>
        <v>0</v>
      </c>
      <c r="F153" s="34">
        <f t="shared" ca="1" si="36"/>
        <v>0</v>
      </c>
      <c r="G153" s="34">
        <f t="shared" ca="1" si="36"/>
        <v>0</v>
      </c>
      <c r="H153" s="34">
        <f t="shared" ca="1" si="36"/>
        <v>0</v>
      </c>
      <c r="I153" s="34">
        <f t="shared" ca="1" si="36"/>
        <v>0</v>
      </c>
      <c r="J153" s="34">
        <f t="shared" ca="1" si="36"/>
        <v>0</v>
      </c>
      <c r="K153" s="34">
        <f t="shared" ca="1" si="36"/>
        <v>0</v>
      </c>
      <c r="L153" s="34">
        <f t="shared" ca="1" si="36"/>
        <v>0</v>
      </c>
      <c r="M153" s="34">
        <f t="shared" ca="1" si="36"/>
        <v>0</v>
      </c>
      <c r="N153" s="34">
        <f t="shared" ca="1" si="36"/>
        <v>0</v>
      </c>
      <c r="O153" s="34">
        <f t="shared" ca="1" si="36"/>
        <v>0</v>
      </c>
      <c r="P153" s="34">
        <f t="shared" ca="1" si="36"/>
        <v>0</v>
      </c>
      <c r="Q153" s="34">
        <f t="shared" ca="1" si="36"/>
        <v>0</v>
      </c>
      <c r="R153" s="34">
        <f t="shared" ca="1" si="36"/>
        <v>0</v>
      </c>
      <c r="S153" s="34">
        <f t="shared" ca="1" si="36"/>
        <v>0</v>
      </c>
      <c r="T153" s="34">
        <f t="shared" ca="1" si="36"/>
        <v>0</v>
      </c>
      <c r="U153" s="34">
        <f t="shared" ca="1" si="36"/>
        <v>0</v>
      </c>
      <c r="V153" s="34">
        <f t="shared" ca="1" si="36"/>
        <v>0</v>
      </c>
      <c r="W153" s="34">
        <f t="shared" ca="1" si="36"/>
        <v>0</v>
      </c>
      <c r="X153" s="34">
        <f t="shared" ca="1" si="36"/>
        <v>0</v>
      </c>
      <c r="Y153" s="34">
        <f t="shared" ca="1" si="36"/>
        <v>0</v>
      </c>
      <c r="Z153" s="9"/>
      <c r="AA153" s="9"/>
      <c r="AB153" s="9"/>
    </row>
    <row r="154" spans="1:28" customFormat="1">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c r="AA154" s="9"/>
      <c r="AB154" s="9"/>
    </row>
    <row r="155" spans="1:28" customFormat="1" ht="15">
      <c r="A155" s="9"/>
      <c r="B155" s="9"/>
      <c r="C155" s="9"/>
      <c r="D155" s="65" t="s">
        <v>132</v>
      </c>
      <c r="E155" s="66">
        <f t="shared" ref="E155:Y155" ca="1" si="37">SUM(E122:E153)</f>
        <v>4.8955374715287849E-3</v>
      </c>
      <c r="F155" s="66">
        <f t="shared" ca="1" si="37"/>
        <v>1.4648057530543927E-2</v>
      </c>
      <c r="G155" s="66">
        <f t="shared" ca="1" si="37"/>
        <v>3.1911208428825159E-2</v>
      </c>
      <c r="H155" s="66">
        <f t="shared" ca="1" si="37"/>
        <v>5.9909843766969596E-2</v>
      </c>
      <c r="I155" s="66">
        <f t="shared" ca="1" si="37"/>
        <v>0.10228505524098161</v>
      </c>
      <c r="J155" s="66">
        <f t="shared" ca="1" si="37"/>
        <v>0.16279973017815447</v>
      </c>
      <c r="K155" s="66">
        <f t="shared" ca="1" si="37"/>
        <v>0.2448749306591603</v>
      </c>
      <c r="L155" s="66">
        <f t="shared" ca="1" si="37"/>
        <v>0.35095452133841104</v>
      </c>
      <c r="M155" s="66">
        <f t="shared" ca="1" si="37"/>
        <v>0.4817480054608051</v>
      </c>
      <c r="N155" s="66">
        <f t="shared" ca="1" si="37"/>
        <v>0.6354780601708121</v>
      </c>
      <c r="O155" s="66">
        <f t="shared" ca="1" si="37"/>
        <v>0.80734305346393753</v>
      </c>
      <c r="P155" s="66">
        <f t="shared" ca="1" si="37"/>
        <v>0.98945820505297999</v>
      </c>
      <c r="Q155" s="66">
        <f t="shared" ca="1" si="37"/>
        <v>1.1715083228656418</v>
      </c>
      <c r="R155" s="66">
        <f t="shared" ca="1" si="37"/>
        <v>1.3421845454349555</v>
      </c>
      <c r="S155" s="66">
        <f t="shared" ca="1" si="37"/>
        <v>1.4911921850641114</v>
      </c>
      <c r="T155" s="66">
        <f t="shared" ca="1" si="37"/>
        <v>1.8012083719200429</v>
      </c>
      <c r="U155" s="66">
        <f t="shared" ca="1" si="37"/>
        <v>1.8916959533098163</v>
      </c>
      <c r="V155" s="66">
        <f t="shared" ca="1" si="37"/>
        <v>1.9468378236076109</v>
      </c>
      <c r="W155" s="66">
        <f t="shared" ca="1" si="37"/>
        <v>1.9785914642701046</v>
      </c>
      <c r="X155" s="66">
        <f t="shared" ca="1" si="37"/>
        <v>1.9892181076009443</v>
      </c>
      <c r="Y155" s="66">
        <f t="shared" ca="1" si="37"/>
        <v>28.422016780083752</v>
      </c>
      <c r="Z155" s="66"/>
      <c r="AA155" s="9"/>
      <c r="AB155" s="9"/>
    </row>
    <row r="156" spans="1:28" ht="15">
      <c r="D156" s="65" t="s">
        <v>133</v>
      </c>
      <c r="E156" s="66">
        <f ca="1">E155</f>
        <v>4.8955374715287849E-3</v>
      </c>
      <c r="F156" s="66">
        <f t="shared" ref="F156:X156" ca="1" si="38">E156+F155</f>
        <v>1.9543595002072714E-2</v>
      </c>
      <c r="G156" s="66">
        <f t="shared" ca="1" si="38"/>
        <v>5.1454803430897873E-2</v>
      </c>
      <c r="H156" s="66">
        <f t="shared" ca="1" si="38"/>
        <v>0.11136464719786747</v>
      </c>
      <c r="I156" s="66">
        <f t="shared" ca="1" si="38"/>
        <v>0.21364970243884907</v>
      </c>
      <c r="J156" s="66">
        <f t="shared" ca="1" si="38"/>
        <v>0.37644943261700353</v>
      </c>
      <c r="K156" s="66">
        <f t="shared" ca="1" si="38"/>
        <v>0.6213243632761638</v>
      </c>
      <c r="L156" s="66">
        <f t="shared" ca="1" si="38"/>
        <v>0.9722788846145749</v>
      </c>
      <c r="M156" s="66">
        <f t="shared" ca="1" si="38"/>
        <v>1.4540268900753799</v>
      </c>
      <c r="N156" s="66">
        <f t="shared" ca="1" si="38"/>
        <v>2.0895049502461918</v>
      </c>
      <c r="O156" s="66">
        <f t="shared" ca="1" si="38"/>
        <v>2.8968480037101294</v>
      </c>
      <c r="P156" s="66">
        <f t="shared" ca="1" si="38"/>
        <v>3.8863062087631093</v>
      </c>
      <c r="Q156" s="66">
        <f t="shared" ca="1" si="38"/>
        <v>5.0578145316287513</v>
      </c>
      <c r="R156" s="66">
        <f t="shared" ca="1" si="38"/>
        <v>6.3999990770637067</v>
      </c>
      <c r="S156" s="66">
        <f t="shared" ca="1" si="38"/>
        <v>7.8911912621278182</v>
      </c>
      <c r="T156" s="66">
        <f t="shared" ca="1" si="38"/>
        <v>9.6923996340478613</v>
      </c>
      <c r="U156" s="66">
        <f t="shared" ca="1" si="38"/>
        <v>11.584095587357677</v>
      </c>
      <c r="V156" s="66">
        <f t="shared" ca="1" si="38"/>
        <v>13.530933410965288</v>
      </c>
      <c r="W156" s="66">
        <f t="shared" ca="1" si="38"/>
        <v>15.509524875235392</v>
      </c>
      <c r="X156" s="66">
        <f t="shared" ca="1" si="38"/>
        <v>17.498742982836337</v>
      </c>
      <c r="Y156" s="66"/>
      <c r="Z156" s="66"/>
    </row>
    <row r="157" spans="1:28">
      <c r="E157" s="53"/>
      <c r="F157" s="269"/>
      <c r="G157" s="269"/>
      <c r="H157" s="269"/>
      <c r="I157" s="269"/>
      <c r="J157" s="269"/>
      <c r="K157" s="269"/>
      <c r="L157" s="269"/>
      <c r="M157" s="269"/>
      <c r="N157" s="269"/>
      <c r="O157" s="269"/>
      <c r="P157" s="269"/>
      <c r="Q157" s="269"/>
      <c r="R157" s="269"/>
      <c r="S157" s="269"/>
      <c r="T157" s="269"/>
      <c r="U157" s="269"/>
      <c r="V157" s="269"/>
      <c r="W157" s="269"/>
      <c r="X157" s="269"/>
      <c r="Y157" s="269"/>
      <c r="Z157" s="269"/>
    </row>
    <row r="158" spans="1:28">
      <c r="E158" s="53"/>
      <c r="F158" s="269"/>
      <c r="G158" s="269"/>
      <c r="H158" s="269"/>
      <c r="I158" s="269"/>
      <c r="J158" s="269"/>
      <c r="K158" s="269"/>
      <c r="L158" s="269"/>
      <c r="M158" s="269"/>
      <c r="N158" s="269"/>
      <c r="O158" s="269"/>
      <c r="P158" s="269"/>
      <c r="Q158" s="269"/>
      <c r="R158" s="269"/>
      <c r="S158" s="269"/>
      <c r="T158" s="269"/>
      <c r="U158" s="269"/>
      <c r="V158" s="269"/>
      <c r="W158" s="269"/>
      <c r="X158" s="269"/>
      <c r="Y158" s="269"/>
      <c r="Z158" s="269"/>
    </row>
    <row r="159" spans="1:28" ht="15">
      <c r="A159" s="55" t="str">
        <f>CONCATENATE("ACHIEVABLE SAVINGS - CUMULATIVE BY MILL BIN - FOR MEASURE - ",D160)</f>
        <v>ACHIEVABLE SAVINGS - CUMULATIVE BY MILL BIN - FOR MEASURE - GSHP</v>
      </c>
      <c r="D159" s="9" t="s">
        <v>167</v>
      </c>
      <c r="E159" s="58">
        <v>2015</v>
      </c>
      <c r="F159" s="59">
        <v>2016</v>
      </c>
      <c r="G159" s="59">
        <v>2017</v>
      </c>
      <c r="H159" s="59">
        <v>2018</v>
      </c>
      <c r="I159" s="59">
        <v>2019</v>
      </c>
      <c r="J159" s="59">
        <v>2020</v>
      </c>
      <c r="K159" s="59">
        <v>2021</v>
      </c>
      <c r="L159" s="59">
        <v>2022</v>
      </c>
      <c r="M159" s="59">
        <v>2023</v>
      </c>
      <c r="N159" s="59">
        <v>2024</v>
      </c>
      <c r="O159" s="59">
        <v>2025</v>
      </c>
      <c r="P159" s="59">
        <v>2026</v>
      </c>
      <c r="Q159" s="59">
        <v>2027</v>
      </c>
      <c r="R159" s="59">
        <v>2028</v>
      </c>
      <c r="S159" s="59">
        <v>2029</v>
      </c>
      <c r="T159" s="59">
        <v>2030</v>
      </c>
      <c r="U159" s="59">
        <v>2031</v>
      </c>
      <c r="V159" s="59">
        <v>2032</v>
      </c>
      <c r="W159" s="59">
        <v>2033</v>
      </c>
      <c r="X159" s="59">
        <v>2034</v>
      </c>
      <c r="Y159" s="60" t="s">
        <v>59</v>
      </c>
    </row>
    <row r="160" spans="1:28" ht="15">
      <c r="D160" s="267" t="str">
        <f>$C$8</f>
        <v>GSHP</v>
      </c>
      <c r="E160" s="61" t="str">
        <f>CONCATENATE("aMW_",E$11)</f>
        <v>aMW_2016</v>
      </c>
      <c r="F160" s="62" t="str">
        <f t="shared" ref="F160:X160" si="39">CONCATENATE("aMW_",F$11)</f>
        <v>aMW_2017</v>
      </c>
      <c r="G160" s="62" t="str">
        <f t="shared" si="39"/>
        <v>aMW_2018</v>
      </c>
      <c r="H160" s="62" t="str">
        <f t="shared" si="39"/>
        <v>aMW_2019</v>
      </c>
      <c r="I160" s="62" t="str">
        <f t="shared" si="39"/>
        <v>aMW_2020</v>
      </c>
      <c r="J160" s="62" t="str">
        <f t="shared" si="39"/>
        <v>aMW_2021</v>
      </c>
      <c r="K160" s="62" t="str">
        <f t="shared" si="39"/>
        <v>aMW_2022</v>
      </c>
      <c r="L160" s="62" t="str">
        <f t="shared" si="39"/>
        <v>aMW_2023</v>
      </c>
      <c r="M160" s="62" t="str">
        <f t="shared" si="39"/>
        <v>aMW_2024</v>
      </c>
      <c r="N160" s="62" t="str">
        <f t="shared" si="39"/>
        <v>aMW_2025</v>
      </c>
      <c r="O160" s="62" t="str">
        <f t="shared" si="39"/>
        <v>aMW_2026</v>
      </c>
      <c r="P160" s="62" t="str">
        <f t="shared" si="39"/>
        <v>aMW_2027</v>
      </c>
      <c r="Q160" s="62" t="str">
        <f t="shared" si="39"/>
        <v>aMW_2028</v>
      </c>
      <c r="R160" s="62" t="str">
        <f t="shared" si="39"/>
        <v>aMW_2029</v>
      </c>
      <c r="S160" s="62" t="str">
        <f t="shared" si="39"/>
        <v>aMW_2030</v>
      </c>
      <c r="T160" s="62" t="str">
        <f t="shared" si="39"/>
        <v>aMW_2031</v>
      </c>
      <c r="U160" s="62" t="str">
        <f t="shared" si="39"/>
        <v>aMW_2032</v>
      </c>
      <c r="V160" s="62" t="str">
        <f t="shared" si="39"/>
        <v>aMW_2033</v>
      </c>
      <c r="W160" s="62" t="str">
        <f t="shared" si="39"/>
        <v>aMW_2034</v>
      </c>
      <c r="X160" s="62" t="str">
        <f t="shared" si="39"/>
        <v>aMW_2035</v>
      </c>
      <c r="Y160" s="63" t="s">
        <v>59</v>
      </c>
    </row>
    <row r="161" spans="4:25">
      <c r="D161" s="9" t="s">
        <v>67</v>
      </c>
      <c r="E161" s="51">
        <f t="shared" ref="E161:E192" si="40">E122</f>
        <v>0</v>
      </c>
      <c r="F161" s="270">
        <f t="shared" ref="F161:X174" si="41">E161+F122</f>
        <v>0</v>
      </c>
      <c r="G161" s="270">
        <f t="shared" si="41"/>
        <v>0</v>
      </c>
      <c r="H161" s="270">
        <f t="shared" si="41"/>
        <v>0</v>
      </c>
      <c r="I161" s="270">
        <f t="shared" si="41"/>
        <v>0</v>
      </c>
      <c r="J161" s="270">
        <f t="shared" si="41"/>
        <v>0</v>
      </c>
      <c r="K161" s="270">
        <f t="shared" si="41"/>
        <v>0</v>
      </c>
      <c r="L161" s="270">
        <f t="shared" si="41"/>
        <v>0</v>
      </c>
      <c r="M161" s="270">
        <f t="shared" si="41"/>
        <v>0</v>
      </c>
      <c r="N161" s="270">
        <f t="shared" si="41"/>
        <v>0</v>
      </c>
      <c r="O161" s="270">
        <f t="shared" si="41"/>
        <v>0</v>
      </c>
      <c r="P161" s="270">
        <f t="shared" si="41"/>
        <v>0</v>
      </c>
      <c r="Q161" s="270">
        <f t="shared" si="41"/>
        <v>0</v>
      </c>
      <c r="R161" s="270">
        <f t="shared" si="41"/>
        <v>0</v>
      </c>
      <c r="S161" s="270">
        <f t="shared" si="41"/>
        <v>0</v>
      </c>
      <c r="T161" s="270">
        <f t="shared" si="41"/>
        <v>0</v>
      </c>
      <c r="U161" s="270">
        <f t="shared" si="41"/>
        <v>0</v>
      </c>
      <c r="V161" s="270">
        <f t="shared" si="41"/>
        <v>0</v>
      </c>
      <c r="W161" s="270">
        <f t="shared" si="41"/>
        <v>0</v>
      </c>
      <c r="X161" s="270">
        <f t="shared" si="41"/>
        <v>0</v>
      </c>
      <c r="Y161" s="270">
        <f>Y122</f>
        <v>0</v>
      </c>
    </row>
    <row r="162" spans="4:25">
      <c r="D162" s="9" t="s">
        <v>205</v>
      </c>
      <c r="E162" s="51">
        <f t="shared" si="40"/>
        <v>0</v>
      </c>
      <c r="F162" s="270">
        <f t="shared" si="41"/>
        <v>0</v>
      </c>
      <c r="G162" s="270">
        <f t="shared" si="41"/>
        <v>0</v>
      </c>
      <c r="H162" s="270">
        <f t="shared" si="41"/>
        <v>0</v>
      </c>
      <c r="I162" s="270">
        <f t="shared" si="41"/>
        <v>0</v>
      </c>
      <c r="J162" s="270">
        <f t="shared" si="41"/>
        <v>0</v>
      </c>
      <c r="K162" s="270">
        <f t="shared" si="41"/>
        <v>0</v>
      </c>
      <c r="L162" s="270">
        <f t="shared" si="41"/>
        <v>0</v>
      </c>
      <c r="M162" s="270">
        <f t="shared" si="41"/>
        <v>0</v>
      </c>
      <c r="N162" s="270">
        <f t="shared" si="41"/>
        <v>0</v>
      </c>
      <c r="O162" s="270">
        <f t="shared" si="41"/>
        <v>0</v>
      </c>
      <c r="P162" s="270">
        <f t="shared" si="41"/>
        <v>0</v>
      </c>
      <c r="Q162" s="270">
        <f t="shared" si="41"/>
        <v>0</v>
      </c>
      <c r="R162" s="270">
        <f t="shared" si="41"/>
        <v>0</v>
      </c>
      <c r="S162" s="270">
        <f t="shared" si="41"/>
        <v>0</v>
      </c>
      <c r="T162" s="270">
        <f t="shared" si="41"/>
        <v>0</v>
      </c>
      <c r="U162" s="270">
        <f t="shared" si="41"/>
        <v>0</v>
      </c>
      <c r="V162" s="270">
        <f t="shared" si="41"/>
        <v>0</v>
      </c>
      <c r="W162" s="270">
        <f t="shared" si="41"/>
        <v>0</v>
      </c>
      <c r="X162" s="270">
        <f t="shared" si="41"/>
        <v>0</v>
      </c>
      <c r="Y162" s="270">
        <f t="shared" ref="Y162:Y192" si="42">Y123</f>
        <v>0</v>
      </c>
    </row>
    <row r="163" spans="4:25">
      <c r="D163" s="9" t="s">
        <v>72</v>
      </c>
      <c r="E163" s="51">
        <f t="shared" si="40"/>
        <v>0</v>
      </c>
      <c r="F163" s="270">
        <f t="shared" si="41"/>
        <v>0</v>
      </c>
      <c r="G163" s="270">
        <f t="shared" si="41"/>
        <v>0</v>
      </c>
      <c r="H163" s="270">
        <f t="shared" si="41"/>
        <v>0</v>
      </c>
      <c r="I163" s="270">
        <f t="shared" si="41"/>
        <v>0</v>
      </c>
      <c r="J163" s="270">
        <f t="shared" si="41"/>
        <v>0</v>
      </c>
      <c r="K163" s="270">
        <f t="shared" si="41"/>
        <v>0</v>
      </c>
      <c r="L163" s="270">
        <f t="shared" si="41"/>
        <v>0</v>
      </c>
      <c r="M163" s="270">
        <f t="shared" si="41"/>
        <v>0</v>
      </c>
      <c r="N163" s="270">
        <f t="shared" si="41"/>
        <v>0</v>
      </c>
      <c r="O163" s="270">
        <f t="shared" si="41"/>
        <v>0</v>
      </c>
      <c r="P163" s="270">
        <f t="shared" si="41"/>
        <v>0</v>
      </c>
      <c r="Q163" s="270">
        <f t="shared" si="41"/>
        <v>0</v>
      </c>
      <c r="R163" s="270">
        <f t="shared" si="41"/>
        <v>0</v>
      </c>
      <c r="S163" s="270">
        <f t="shared" si="41"/>
        <v>0</v>
      </c>
      <c r="T163" s="270">
        <f t="shared" si="41"/>
        <v>0</v>
      </c>
      <c r="U163" s="270">
        <f t="shared" si="41"/>
        <v>0</v>
      </c>
      <c r="V163" s="270">
        <f t="shared" si="41"/>
        <v>0</v>
      </c>
      <c r="W163" s="270">
        <f t="shared" si="41"/>
        <v>0</v>
      </c>
      <c r="X163" s="270">
        <f t="shared" si="41"/>
        <v>0</v>
      </c>
      <c r="Y163" s="270">
        <f t="shared" si="42"/>
        <v>0</v>
      </c>
    </row>
    <row r="164" spans="4:25">
      <c r="D164" s="9" t="s">
        <v>75</v>
      </c>
      <c r="E164" s="51">
        <f t="shared" si="40"/>
        <v>0</v>
      </c>
      <c r="F164" s="270">
        <f t="shared" si="41"/>
        <v>0</v>
      </c>
      <c r="G164" s="270">
        <f t="shared" si="41"/>
        <v>0</v>
      </c>
      <c r="H164" s="270">
        <f t="shared" si="41"/>
        <v>0</v>
      </c>
      <c r="I164" s="270">
        <f t="shared" si="41"/>
        <v>0</v>
      </c>
      <c r="J164" s="270">
        <f t="shared" si="41"/>
        <v>0</v>
      </c>
      <c r="K164" s="270">
        <f t="shared" si="41"/>
        <v>0</v>
      </c>
      <c r="L164" s="270">
        <f t="shared" si="41"/>
        <v>0</v>
      </c>
      <c r="M164" s="270">
        <f t="shared" si="41"/>
        <v>0</v>
      </c>
      <c r="N164" s="270">
        <f t="shared" si="41"/>
        <v>0</v>
      </c>
      <c r="O164" s="270">
        <f t="shared" si="41"/>
        <v>0</v>
      </c>
      <c r="P164" s="270">
        <f t="shared" si="41"/>
        <v>0</v>
      </c>
      <c r="Q164" s="270">
        <f t="shared" si="41"/>
        <v>0</v>
      </c>
      <c r="R164" s="270">
        <f t="shared" si="41"/>
        <v>0</v>
      </c>
      <c r="S164" s="270">
        <f t="shared" si="41"/>
        <v>0</v>
      </c>
      <c r="T164" s="270">
        <f t="shared" si="41"/>
        <v>0</v>
      </c>
      <c r="U164" s="270">
        <f t="shared" si="41"/>
        <v>0</v>
      </c>
      <c r="V164" s="270">
        <f t="shared" si="41"/>
        <v>0</v>
      </c>
      <c r="W164" s="270">
        <f t="shared" si="41"/>
        <v>0</v>
      </c>
      <c r="X164" s="270">
        <f t="shared" si="41"/>
        <v>0</v>
      </c>
      <c r="Y164" s="270">
        <f t="shared" si="42"/>
        <v>0</v>
      </c>
    </row>
    <row r="165" spans="4:25">
      <c r="D165" s="9" t="s">
        <v>78</v>
      </c>
      <c r="E165" s="51">
        <f t="shared" si="40"/>
        <v>0</v>
      </c>
      <c r="F165" s="270">
        <f t="shared" si="41"/>
        <v>0</v>
      </c>
      <c r="G165" s="270">
        <f t="shared" si="41"/>
        <v>0</v>
      </c>
      <c r="H165" s="270">
        <f t="shared" si="41"/>
        <v>0</v>
      </c>
      <c r="I165" s="270">
        <f t="shared" si="41"/>
        <v>0</v>
      </c>
      <c r="J165" s="270">
        <f t="shared" si="41"/>
        <v>0</v>
      </c>
      <c r="K165" s="270">
        <f t="shared" si="41"/>
        <v>0</v>
      </c>
      <c r="L165" s="270">
        <f t="shared" si="41"/>
        <v>0</v>
      </c>
      <c r="M165" s="270">
        <f t="shared" si="41"/>
        <v>0</v>
      </c>
      <c r="N165" s="270">
        <f t="shared" si="41"/>
        <v>0</v>
      </c>
      <c r="O165" s="270">
        <f t="shared" si="41"/>
        <v>0</v>
      </c>
      <c r="P165" s="270">
        <f t="shared" si="41"/>
        <v>0</v>
      </c>
      <c r="Q165" s="270">
        <f t="shared" si="41"/>
        <v>0</v>
      </c>
      <c r="R165" s="270">
        <f t="shared" si="41"/>
        <v>0</v>
      </c>
      <c r="S165" s="270">
        <f t="shared" si="41"/>
        <v>0</v>
      </c>
      <c r="T165" s="270">
        <f t="shared" si="41"/>
        <v>0</v>
      </c>
      <c r="U165" s="270">
        <f t="shared" si="41"/>
        <v>0</v>
      </c>
      <c r="V165" s="270">
        <f t="shared" si="41"/>
        <v>0</v>
      </c>
      <c r="W165" s="270">
        <f t="shared" si="41"/>
        <v>0</v>
      </c>
      <c r="X165" s="270">
        <f t="shared" si="41"/>
        <v>0</v>
      </c>
      <c r="Y165" s="270">
        <f t="shared" si="42"/>
        <v>0</v>
      </c>
    </row>
    <row r="166" spans="4:25">
      <c r="D166" s="9" t="s">
        <v>81</v>
      </c>
      <c r="E166" s="51">
        <f t="shared" si="40"/>
        <v>0</v>
      </c>
      <c r="F166" s="270">
        <f t="shared" si="41"/>
        <v>0</v>
      </c>
      <c r="G166" s="270">
        <f t="shared" si="41"/>
        <v>0</v>
      </c>
      <c r="H166" s="270">
        <f t="shared" si="41"/>
        <v>0</v>
      </c>
      <c r="I166" s="270">
        <f t="shared" si="41"/>
        <v>0</v>
      </c>
      <c r="J166" s="270">
        <f t="shared" si="41"/>
        <v>0</v>
      </c>
      <c r="K166" s="270">
        <f t="shared" si="41"/>
        <v>0</v>
      </c>
      <c r="L166" s="270">
        <f t="shared" si="41"/>
        <v>0</v>
      </c>
      <c r="M166" s="270">
        <f t="shared" si="41"/>
        <v>0</v>
      </c>
      <c r="N166" s="270">
        <f t="shared" si="41"/>
        <v>0</v>
      </c>
      <c r="O166" s="270">
        <f t="shared" si="41"/>
        <v>0</v>
      </c>
      <c r="P166" s="270">
        <f t="shared" si="41"/>
        <v>0</v>
      </c>
      <c r="Q166" s="270">
        <f t="shared" si="41"/>
        <v>0</v>
      </c>
      <c r="R166" s="270">
        <f t="shared" si="41"/>
        <v>0</v>
      </c>
      <c r="S166" s="270">
        <f t="shared" si="41"/>
        <v>0</v>
      </c>
      <c r="T166" s="270">
        <f t="shared" si="41"/>
        <v>0</v>
      </c>
      <c r="U166" s="270">
        <f t="shared" si="41"/>
        <v>0</v>
      </c>
      <c r="V166" s="270">
        <f t="shared" si="41"/>
        <v>0</v>
      </c>
      <c r="W166" s="270">
        <f t="shared" si="41"/>
        <v>0</v>
      </c>
      <c r="X166" s="270">
        <f t="shared" si="41"/>
        <v>0</v>
      </c>
      <c r="Y166" s="270">
        <f t="shared" si="42"/>
        <v>0</v>
      </c>
    </row>
    <row r="167" spans="4:25">
      <c r="D167" s="9" t="s">
        <v>84</v>
      </c>
      <c r="E167" s="51">
        <f t="shared" si="40"/>
        <v>0</v>
      </c>
      <c r="F167" s="270">
        <f t="shared" si="41"/>
        <v>0</v>
      </c>
      <c r="G167" s="270">
        <f t="shared" si="41"/>
        <v>0</v>
      </c>
      <c r="H167" s="270">
        <f t="shared" si="41"/>
        <v>0</v>
      </c>
      <c r="I167" s="270">
        <f t="shared" si="41"/>
        <v>0</v>
      </c>
      <c r="J167" s="270">
        <f t="shared" si="41"/>
        <v>0</v>
      </c>
      <c r="K167" s="270">
        <f t="shared" si="41"/>
        <v>0</v>
      </c>
      <c r="L167" s="270">
        <f t="shared" si="41"/>
        <v>0</v>
      </c>
      <c r="M167" s="270">
        <f t="shared" si="41"/>
        <v>0</v>
      </c>
      <c r="N167" s="270">
        <f t="shared" si="41"/>
        <v>0</v>
      </c>
      <c r="O167" s="270">
        <f t="shared" si="41"/>
        <v>0</v>
      </c>
      <c r="P167" s="270">
        <f t="shared" si="41"/>
        <v>0</v>
      </c>
      <c r="Q167" s="270">
        <f t="shared" si="41"/>
        <v>0</v>
      </c>
      <c r="R167" s="270">
        <f t="shared" si="41"/>
        <v>0</v>
      </c>
      <c r="S167" s="270">
        <f t="shared" si="41"/>
        <v>0</v>
      </c>
      <c r="T167" s="270">
        <f t="shared" si="41"/>
        <v>0</v>
      </c>
      <c r="U167" s="270">
        <f t="shared" si="41"/>
        <v>0</v>
      </c>
      <c r="V167" s="270">
        <f t="shared" si="41"/>
        <v>0</v>
      </c>
      <c r="W167" s="270">
        <f t="shared" si="41"/>
        <v>0</v>
      </c>
      <c r="X167" s="270">
        <f t="shared" si="41"/>
        <v>0</v>
      </c>
      <c r="Y167" s="270">
        <f t="shared" si="42"/>
        <v>0</v>
      </c>
    </row>
    <row r="168" spans="4:25">
      <c r="D168" s="9" t="s">
        <v>87</v>
      </c>
      <c r="E168" s="51">
        <f t="shared" si="40"/>
        <v>0</v>
      </c>
      <c r="F168" s="270">
        <f t="shared" si="41"/>
        <v>0</v>
      </c>
      <c r="G168" s="270">
        <f t="shared" si="41"/>
        <v>0</v>
      </c>
      <c r="H168" s="270">
        <f t="shared" si="41"/>
        <v>0</v>
      </c>
      <c r="I168" s="270">
        <f t="shared" si="41"/>
        <v>0</v>
      </c>
      <c r="J168" s="270">
        <f t="shared" si="41"/>
        <v>0</v>
      </c>
      <c r="K168" s="270">
        <f t="shared" si="41"/>
        <v>0</v>
      </c>
      <c r="L168" s="270">
        <f t="shared" si="41"/>
        <v>0</v>
      </c>
      <c r="M168" s="270">
        <f t="shared" si="41"/>
        <v>0</v>
      </c>
      <c r="N168" s="270">
        <f t="shared" si="41"/>
        <v>0</v>
      </c>
      <c r="O168" s="270">
        <f t="shared" si="41"/>
        <v>0</v>
      </c>
      <c r="P168" s="270">
        <f t="shared" si="41"/>
        <v>0</v>
      </c>
      <c r="Q168" s="270">
        <f t="shared" si="41"/>
        <v>0</v>
      </c>
      <c r="R168" s="270">
        <f t="shared" si="41"/>
        <v>0</v>
      </c>
      <c r="S168" s="270">
        <f t="shared" si="41"/>
        <v>0</v>
      </c>
      <c r="T168" s="270">
        <f t="shared" si="41"/>
        <v>0</v>
      </c>
      <c r="U168" s="270">
        <f t="shared" si="41"/>
        <v>0</v>
      </c>
      <c r="V168" s="270">
        <f t="shared" si="41"/>
        <v>0</v>
      </c>
      <c r="W168" s="270">
        <f t="shared" si="41"/>
        <v>0</v>
      </c>
      <c r="X168" s="270">
        <f t="shared" si="41"/>
        <v>0</v>
      </c>
      <c r="Y168" s="270">
        <f t="shared" si="42"/>
        <v>0</v>
      </c>
    </row>
    <row r="169" spans="4:25">
      <c r="D169" s="9" t="s">
        <v>90</v>
      </c>
      <c r="E169" s="51">
        <f t="shared" si="40"/>
        <v>0</v>
      </c>
      <c r="F169" s="270">
        <f t="shared" si="41"/>
        <v>0</v>
      </c>
      <c r="G169" s="270">
        <f t="shared" si="41"/>
        <v>0</v>
      </c>
      <c r="H169" s="270">
        <f t="shared" si="41"/>
        <v>0</v>
      </c>
      <c r="I169" s="270">
        <f t="shared" si="41"/>
        <v>0</v>
      </c>
      <c r="J169" s="270">
        <f t="shared" si="41"/>
        <v>0</v>
      </c>
      <c r="K169" s="270">
        <f t="shared" si="41"/>
        <v>0</v>
      </c>
      <c r="L169" s="270">
        <f t="shared" si="41"/>
        <v>0</v>
      </c>
      <c r="M169" s="270">
        <f t="shared" si="41"/>
        <v>0</v>
      </c>
      <c r="N169" s="270">
        <f t="shared" si="41"/>
        <v>0</v>
      </c>
      <c r="O169" s="270">
        <f t="shared" si="41"/>
        <v>0</v>
      </c>
      <c r="P169" s="270">
        <f t="shared" si="41"/>
        <v>0</v>
      </c>
      <c r="Q169" s="270">
        <f t="shared" si="41"/>
        <v>0</v>
      </c>
      <c r="R169" s="270">
        <f t="shared" si="41"/>
        <v>0</v>
      </c>
      <c r="S169" s="270">
        <f t="shared" si="41"/>
        <v>0</v>
      </c>
      <c r="T169" s="270">
        <f t="shared" si="41"/>
        <v>0</v>
      </c>
      <c r="U169" s="270">
        <f t="shared" si="41"/>
        <v>0</v>
      </c>
      <c r="V169" s="270">
        <f t="shared" si="41"/>
        <v>0</v>
      </c>
      <c r="W169" s="270">
        <f t="shared" si="41"/>
        <v>0</v>
      </c>
      <c r="X169" s="270">
        <f t="shared" si="41"/>
        <v>0</v>
      </c>
      <c r="Y169" s="270">
        <f t="shared" si="42"/>
        <v>0</v>
      </c>
    </row>
    <row r="170" spans="4:25">
      <c r="D170" s="9" t="s">
        <v>93</v>
      </c>
      <c r="E170" s="51">
        <f t="shared" si="40"/>
        <v>0</v>
      </c>
      <c r="F170" s="270">
        <f t="shared" si="41"/>
        <v>0</v>
      </c>
      <c r="G170" s="270">
        <f t="shared" si="41"/>
        <v>0</v>
      </c>
      <c r="H170" s="270">
        <f t="shared" si="41"/>
        <v>0</v>
      </c>
      <c r="I170" s="270">
        <f t="shared" si="41"/>
        <v>0</v>
      </c>
      <c r="J170" s="270">
        <f t="shared" si="41"/>
        <v>0</v>
      </c>
      <c r="K170" s="270">
        <f t="shared" si="41"/>
        <v>0</v>
      </c>
      <c r="L170" s="270">
        <f t="shared" si="41"/>
        <v>0</v>
      </c>
      <c r="M170" s="270">
        <f t="shared" si="41"/>
        <v>0</v>
      </c>
      <c r="N170" s="270">
        <f t="shared" si="41"/>
        <v>0</v>
      </c>
      <c r="O170" s="270">
        <f t="shared" si="41"/>
        <v>0</v>
      </c>
      <c r="P170" s="270">
        <f t="shared" si="41"/>
        <v>0</v>
      </c>
      <c r="Q170" s="270">
        <f t="shared" si="41"/>
        <v>0</v>
      </c>
      <c r="R170" s="270">
        <f t="shared" si="41"/>
        <v>0</v>
      </c>
      <c r="S170" s="270">
        <f t="shared" si="41"/>
        <v>0</v>
      </c>
      <c r="T170" s="270">
        <f t="shared" si="41"/>
        <v>0</v>
      </c>
      <c r="U170" s="270">
        <f t="shared" si="41"/>
        <v>0</v>
      </c>
      <c r="V170" s="270">
        <f t="shared" si="41"/>
        <v>0</v>
      </c>
      <c r="W170" s="270">
        <f t="shared" si="41"/>
        <v>0</v>
      </c>
      <c r="X170" s="270">
        <f t="shared" si="41"/>
        <v>0</v>
      </c>
      <c r="Y170" s="270">
        <f t="shared" si="42"/>
        <v>0</v>
      </c>
    </row>
    <row r="171" spans="4:25">
      <c r="D171" s="9" t="s">
        <v>96</v>
      </c>
      <c r="E171" s="51">
        <f t="shared" si="40"/>
        <v>0</v>
      </c>
      <c r="F171" s="270">
        <f t="shared" si="41"/>
        <v>0</v>
      </c>
      <c r="G171" s="270">
        <f t="shared" si="41"/>
        <v>0</v>
      </c>
      <c r="H171" s="270">
        <f t="shared" si="41"/>
        <v>0</v>
      </c>
      <c r="I171" s="270">
        <f t="shared" si="41"/>
        <v>0</v>
      </c>
      <c r="J171" s="270">
        <f t="shared" si="41"/>
        <v>0</v>
      </c>
      <c r="K171" s="270">
        <f t="shared" si="41"/>
        <v>0</v>
      </c>
      <c r="L171" s="270">
        <f t="shared" si="41"/>
        <v>0</v>
      </c>
      <c r="M171" s="270">
        <f t="shared" si="41"/>
        <v>0</v>
      </c>
      <c r="N171" s="270">
        <f t="shared" si="41"/>
        <v>0</v>
      </c>
      <c r="O171" s="270">
        <f t="shared" si="41"/>
        <v>0</v>
      </c>
      <c r="P171" s="270">
        <f t="shared" si="41"/>
        <v>0</v>
      </c>
      <c r="Q171" s="270">
        <f t="shared" si="41"/>
        <v>0</v>
      </c>
      <c r="R171" s="270">
        <f t="shared" si="41"/>
        <v>0</v>
      </c>
      <c r="S171" s="270">
        <f t="shared" si="41"/>
        <v>0</v>
      </c>
      <c r="T171" s="270">
        <f t="shared" si="41"/>
        <v>0</v>
      </c>
      <c r="U171" s="270">
        <f t="shared" si="41"/>
        <v>0</v>
      </c>
      <c r="V171" s="270">
        <f t="shared" si="41"/>
        <v>0</v>
      </c>
      <c r="W171" s="270">
        <f t="shared" si="41"/>
        <v>0</v>
      </c>
      <c r="X171" s="270">
        <f t="shared" si="41"/>
        <v>0</v>
      </c>
      <c r="Y171" s="270">
        <f t="shared" si="42"/>
        <v>0</v>
      </c>
    </row>
    <row r="172" spans="4:25">
      <c r="D172" s="9" t="s">
        <v>99</v>
      </c>
      <c r="E172" s="51">
        <f t="shared" si="40"/>
        <v>0</v>
      </c>
      <c r="F172" s="270">
        <f t="shared" si="41"/>
        <v>0</v>
      </c>
      <c r="G172" s="270">
        <f t="shared" si="41"/>
        <v>0</v>
      </c>
      <c r="H172" s="270">
        <f t="shared" si="41"/>
        <v>0</v>
      </c>
      <c r="I172" s="270">
        <f t="shared" si="41"/>
        <v>0</v>
      </c>
      <c r="J172" s="270">
        <f t="shared" si="41"/>
        <v>0</v>
      </c>
      <c r="K172" s="270">
        <f t="shared" si="41"/>
        <v>0</v>
      </c>
      <c r="L172" s="270">
        <f t="shared" si="41"/>
        <v>0</v>
      </c>
      <c r="M172" s="270">
        <f t="shared" si="41"/>
        <v>0</v>
      </c>
      <c r="N172" s="270">
        <f t="shared" si="41"/>
        <v>0</v>
      </c>
      <c r="O172" s="270">
        <f t="shared" si="41"/>
        <v>0</v>
      </c>
      <c r="P172" s="270">
        <f t="shared" si="41"/>
        <v>0</v>
      </c>
      <c r="Q172" s="270">
        <f t="shared" si="41"/>
        <v>0</v>
      </c>
      <c r="R172" s="270">
        <f t="shared" si="41"/>
        <v>0</v>
      </c>
      <c r="S172" s="270">
        <f t="shared" si="41"/>
        <v>0</v>
      </c>
      <c r="T172" s="270">
        <f t="shared" si="41"/>
        <v>0</v>
      </c>
      <c r="U172" s="270">
        <f t="shared" si="41"/>
        <v>0</v>
      </c>
      <c r="V172" s="270">
        <f t="shared" si="41"/>
        <v>0</v>
      </c>
      <c r="W172" s="270">
        <f t="shared" si="41"/>
        <v>0</v>
      </c>
      <c r="X172" s="270">
        <f t="shared" si="41"/>
        <v>0</v>
      </c>
      <c r="Y172" s="270">
        <f t="shared" si="42"/>
        <v>0</v>
      </c>
    </row>
    <row r="173" spans="4:25">
      <c r="D173" s="9" t="s">
        <v>102</v>
      </c>
      <c r="E173" s="51">
        <f t="shared" si="40"/>
        <v>0</v>
      </c>
      <c r="F173" s="270">
        <f t="shared" si="41"/>
        <v>0</v>
      </c>
      <c r="G173" s="270">
        <f t="shared" si="41"/>
        <v>0</v>
      </c>
      <c r="H173" s="270">
        <f t="shared" si="41"/>
        <v>0</v>
      </c>
      <c r="I173" s="270">
        <f t="shared" si="41"/>
        <v>0</v>
      </c>
      <c r="J173" s="270">
        <f t="shared" si="41"/>
        <v>0</v>
      </c>
      <c r="K173" s="270">
        <f t="shared" si="41"/>
        <v>0</v>
      </c>
      <c r="L173" s="270">
        <f t="shared" si="41"/>
        <v>0</v>
      </c>
      <c r="M173" s="270">
        <f t="shared" si="41"/>
        <v>0</v>
      </c>
      <c r="N173" s="270">
        <f t="shared" si="41"/>
        <v>0</v>
      </c>
      <c r="O173" s="270">
        <f t="shared" si="41"/>
        <v>0</v>
      </c>
      <c r="P173" s="270">
        <f t="shared" si="41"/>
        <v>0</v>
      </c>
      <c r="Q173" s="270">
        <f t="shared" si="41"/>
        <v>0</v>
      </c>
      <c r="R173" s="270">
        <f t="shared" si="41"/>
        <v>0</v>
      </c>
      <c r="S173" s="270">
        <f t="shared" si="41"/>
        <v>0</v>
      </c>
      <c r="T173" s="270">
        <f t="shared" si="41"/>
        <v>0</v>
      </c>
      <c r="U173" s="270">
        <f t="shared" si="41"/>
        <v>0</v>
      </c>
      <c r="V173" s="270">
        <f t="shared" si="41"/>
        <v>0</v>
      </c>
      <c r="W173" s="270">
        <f t="shared" si="41"/>
        <v>0</v>
      </c>
      <c r="X173" s="270">
        <f t="shared" si="41"/>
        <v>0</v>
      </c>
      <c r="Y173" s="270">
        <f t="shared" si="42"/>
        <v>0</v>
      </c>
    </row>
    <row r="174" spans="4:25">
      <c r="D174" s="9" t="s">
        <v>105</v>
      </c>
      <c r="E174" s="51">
        <f t="shared" si="40"/>
        <v>0</v>
      </c>
      <c r="F174" s="270">
        <f t="shared" si="41"/>
        <v>0</v>
      </c>
      <c r="G174" s="270">
        <f t="shared" si="41"/>
        <v>0</v>
      </c>
      <c r="H174" s="270">
        <f t="shared" si="41"/>
        <v>0</v>
      </c>
      <c r="I174" s="270">
        <f t="shared" si="41"/>
        <v>0</v>
      </c>
      <c r="J174" s="270">
        <f t="shared" si="41"/>
        <v>0</v>
      </c>
      <c r="K174" s="270">
        <f t="shared" si="41"/>
        <v>0</v>
      </c>
      <c r="L174" s="270">
        <f t="shared" si="41"/>
        <v>0</v>
      </c>
      <c r="M174" s="270">
        <f t="shared" si="41"/>
        <v>0</v>
      </c>
      <c r="N174" s="270">
        <f t="shared" ref="N174:X174" si="43">M174+N135</f>
        <v>0</v>
      </c>
      <c r="O174" s="270">
        <f t="shared" si="43"/>
        <v>0</v>
      </c>
      <c r="P174" s="270">
        <f t="shared" si="43"/>
        <v>0</v>
      </c>
      <c r="Q174" s="270">
        <f t="shared" si="43"/>
        <v>0</v>
      </c>
      <c r="R174" s="270">
        <f t="shared" si="43"/>
        <v>0</v>
      </c>
      <c r="S174" s="270">
        <f t="shared" si="43"/>
        <v>0</v>
      </c>
      <c r="T174" s="270">
        <f t="shared" si="43"/>
        <v>0</v>
      </c>
      <c r="U174" s="270">
        <f t="shared" si="43"/>
        <v>0</v>
      </c>
      <c r="V174" s="270">
        <f t="shared" si="43"/>
        <v>0</v>
      </c>
      <c r="W174" s="270">
        <f t="shared" si="43"/>
        <v>0</v>
      </c>
      <c r="X174" s="270">
        <f t="shared" si="43"/>
        <v>0</v>
      </c>
      <c r="Y174" s="270">
        <f t="shared" si="42"/>
        <v>0</v>
      </c>
    </row>
    <row r="175" spans="4:25">
      <c r="D175" s="9" t="s">
        <v>108</v>
      </c>
      <c r="E175" s="51">
        <f t="shared" si="40"/>
        <v>0</v>
      </c>
      <c r="F175" s="270">
        <f t="shared" ref="F175:X188" si="44">E175+F136</f>
        <v>0</v>
      </c>
      <c r="G175" s="270">
        <f t="shared" si="44"/>
        <v>0</v>
      </c>
      <c r="H175" s="270">
        <f t="shared" si="44"/>
        <v>0</v>
      </c>
      <c r="I175" s="270">
        <f t="shared" si="44"/>
        <v>0</v>
      </c>
      <c r="J175" s="270">
        <f t="shared" si="44"/>
        <v>0</v>
      </c>
      <c r="K175" s="270">
        <f t="shared" si="44"/>
        <v>0</v>
      </c>
      <c r="L175" s="270">
        <f t="shared" si="44"/>
        <v>0</v>
      </c>
      <c r="M175" s="270">
        <f t="shared" si="44"/>
        <v>0</v>
      </c>
      <c r="N175" s="270">
        <f t="shared" si="44"/>
        <v>0</v>
      </c>
      <c r="O175" s="270">
        <f t="shared" si="44"/>
        <v>0</v>
      </c>
      <c r="P175" s="270">
        <f t="shared" si="44"/>
        <v>0</v>
      </c>
      <c r="Q175" s="270">
        <f t="shared" si="44"/>
        <v>0</v>
      </c>
      <c r="R175" s="270">
        <f t="shared" si="44"/>
        <v>0</v>
      </c>
      <c r="S175" s="270">
        <f t="shared" si="44"/>
        <v>0</v>
      </c>
      <c r="T175" s="270">
        <f t="shared" si="44"/>
        <v>0</v>
      </c>
      <c r="U175" s="270">
        <f t="shared" si="44"/>
        <v>0</v>
      </c>
      <c r="V175" s="270">
        <f t="shared" si="44"/>
        <v>0</v>
      </c>
      <c r="W175" s="270">
        <f t="shared" si="44"/>
        <v>0</v>
      </c>
      <c r="X175" s="270">
        <f t="shared" si="44"/>
        <v>0</v>
      </c>
      <c r="Y175" s="270">
        <f t="shared" si="42"/>
        <v>0</v>
      </c>
    </row>
    <row r="176" spans="4:25">
      <c r="D176" s="9" t="s">
        <v>111</v>
      </c>
      <c r="E176" s="51">
        <f t="shared" si="40"/>
        <v>0</v>
      </c>
      <c r="F176" s="270">
        <f t="shared" si="44"/>
        <v>0</v>
      </c>
      <c r="G176" s="270">
        <f t="shared" si="44"/>
        <v>0</v>
      </c>
      <c r="H176" s="270">
        <f t="shared" si="44"/>
        <v>0</v>
      </c>
      <c r="I176" s="270">
        <f t="shared" si="44"/>
        <v>0</v>
      </c>
      <c r="J176" s="270">
        <f t="shared" si="44"/>
        <v>0</v>
      </c>
      <c r="K176" s="270">
        <f t="shared" si="44"/>
        <v>0</v>
      </c>
      <c r="L176" s="270">
        <f t="shared" si="44"/>
        <v>0</v>
      </c>
      <c r="M176" s="270">
        <f t="shared" si="44"/>
        <v>0</v>
      </c>
      <c r="N176" s="270">
        <f t="shared" si="44"/>
        <v>0</v>
      </c>
      <c r="O176" s="270">
        <f t="shared" si="44"/>
        <v>0</v>
      </c>
      <c r="P176" s="270">
        <f t="shared" si="44"/>
        <v>0</v>
      </c>
      <c r="Q176" s="270">
        <f t="shared" si="44"/>
        <v>0</v>
      </c>
      <c r="R176" s="270">
        <f t="shared" si="44"/>
        <v>0</v>
      </c>
      <c r="S176" s="270">
        <f t="shared" si="44"/>
        <v>0</v>
      </c>
      <c r="T176" s="270">
        <f t="shared" si="44"/>
        <v>0</v>
      </c>
      <c r="U176" s="270">
        <f t="shared" si="44"/>
        <v>0</v>
      </c>
      <c r="V176" s="270">
        <f t="shared" si="44"/>
        <v>0</v>
      </c>
      <c r="W176" s="270">
        <f t="shared" si="44"/>
        <v>0</v>
      </c>
      <c r="X176" s="270">
        <f t="shared" si="44"/>
        <v>0</v>
      </c>
      <c r="Y176" s="270">
        <f t="shared" si="42"/>
        <v>0</v>
      </c>
    </row>
    <row r="177" spans="4:25">
      <c r="D177" s="9" t="s">
        <v>114</v>
      </c>
      <c r="E177" s="51">
        <f t="shared" si="40"/>
        <v>0</v>
      </c>
      <c r="F177" s="270">
        <f t="shared" si="44"/>
        <v>0</v>
      </c>
      <c r="G177" s="270">
        <f t="shared" si="44"/>
        <v>0</v>
      </c>
      <c r="H177" s="270">
        <f t="shared" si="44"/>
        <v>0</v>
      </c>
      <c r="I177" s="270">
        <f t="shared" si="44"/>
        <v>0</v>
      </c>
      <c r="J177" s="270">
        <f t="shared" si="44"/>
        <v>0</v>
      </c>
      <c r="K177" s="270">
        <f t="shared" si="44"/>
        <v>0</v>
      </c>
      <c r="L177" s="270">
        <f t="shared" si="44"/>
        <v>0</v>
      </c>
      <c r="M177" s="270">
        <f t="shared" si="44"/>
        <v>0</v>
      </c>
      <c r="N177" s="270">
        <f t="shared" si="44"/>
        <v>0</v>
      </c>
      <c r="O177" s="270">
        <f t="shared" si="44"/>
        <v>0</v>
      </c>
      <c r="P177" s="270">
        <f t="shared" si="44"/>
        <v>0</v>
      </c>
      <c r="Q177" s="270">
        <f t="shared" si="44"/>
        <v>0</v>
      </c>
      <c r="R177" s="270">
        <f t="shared" si="44"/>
        <v>0</v>
      </c>
      <c r="S177" s="270">
        <f t="shared" si="44"/>
        <v>0</v>
      </c>
      <c r="T177" s="270">
        <f t="shared" si="44"/>
        <v>0</v>
      </c>
      <c r="U177" s="270">
        <f t="shared" si="44"/>
        <v>0</v>
      </c>
      <c r="V177" s="270">
        <f t="shared" si="44"/>
        <v>0</v>
      </c>
      <c r="W177" s="270">
        <f t="shared" si="44"/>
        <v>0</v>
      </c>
      <c r="X177" s="270">
        <f t="shared" si="44"/>
        <v>0</v>
      </c>
      <c r="Y177" s="270">
        <f t="shared" si="42"/>
        <v>0</v>
      </c>
    </row>
    <row r="178" spans="4:25">
      <c r="D178" s="9" t="s">
        <v>117</v>
      </c>
      <c r="E178" s="51">
        <f t="shared" ca="1" si="40"/>
        <v>4.7703638614783319E-3</v>
      </c>
      <c r="F178" s="270">
        <f t="shared" ca="1" si="44"/>
        <v>1.9043886368648753E-2</v>
      </c>
      <c r="G178" s="270">
        <f t="shared" ca="1" si="44"/>
        <v>5.0139159635433146E-2</v>
      </c>
      <c r="H178" s="270">
        <f t="shared" ca="1" si="44"/>
        <v>0.10851717334993491</v>
      </c>
      <c r="I178" s="270">
        <f t="shared" ca="1" si="44"/>
        <v>0.20818691011093654</v>
      </c>
      <c r="J178" s="270">
        <f t="shared" ca="1" si="44"/>
        <v>0.3668240268763342</v>
      </c>
      <c r="K178" s="270">
        <f t="shared" ca="1" si="44"/>
        <v>0.60543776981918651</v>
      </c>
      <c r="L178" s="270">
        <f t="shared" ca="1" si="44"/>
        <v>0.94741876278508586</v>
      </c>
      <c r="M178" s="270">
        <f t="shared" ca="1" si="44"/>
        <v>1.4168489916322227</v>
      </c>
      <c r="N178" s="270">
        <f t="shared" ca="1" si="44"/>
        <v>2.0360785635906469</v>
      </c>
      <c r="O178" s="270">
        <f t="shared" ca="1" si="44"/>
        <v>2.8227787264345112</v>
      </c>
      <c r="P178" s="270">
        <f t="shared" ca="1" si="44"/>
        <v>3.7869375529737273</v>
      </c>
      <c r="Q178" s="270">
        <f t="shared" ca="1" si="44"/>
        <v>4.9284916722753938</v>
      </c>
      <c r="R178" s="270">
        <f t="shared" ca="1" si="44"/>
        <v>6.2363580073232159</v>
      </c>
      <c r="S178" s="270">
        <f t="shared" ca="1" si="44"/>
        <v>7.6894220174588224</v>
      </c>
      <c r="T178" s="270">
        <f t="shared" ca="1" si="44"/>
        <v>9.4445754351113163</v>
      </c>
      <c r="U178" s="270">
        <f t="shared" ca="1" si="44"/>
        <v>11.287902764348548</v>
      </c>
      <c r="V178" s="270">
        <f t="shared" ca="1" si="44"/>
        <v>13.18496204576728</v>
      </c>
      <c r="W178" s="270">
        <f t="shared" ca="1" si="44"/>
        <v>15.112963061524209</v>
      </c>
      <c r="X178" s="270">
        <f t="shared" ca="1" si="44"/>
        <v>17.051319008809916</v>
      </c>
      <c r="Y178" s="270">
        <f t="shared" ca="1" si="42"/>
        <v>27.695296483085055</v>
      </c>
    </row>
    <row r="179" spans="4:25">
      <c r="D179" s="9" t="s">
        <v>120</v>
      </c>
      <c r="E179" s="51">
        <f t="shared" ca="1" si="40"/>
        <v>0</v>
      </c>
      <c r="F179" s="270">
        <f t="shared" ca="1" si="44"/>
        <v>0</v>
      </c>
      <c r="G179" s="270">
        <f t="shared" ca="1" si="44"/>
        <v>0</v>
      </c>
      <c r="H179" s="270">
        <f t="shared" ca="1" si="44"/>
        <v>0</v>
      </c>
      <c r="I179" s="270">
        <f t="shared" ca="1" si="44"/>
        <v>0</v>
      </c>
      <c r="J179" s="270">
        <f t="shared" ca="1" si="44"/>
        <v>0</v>
      </c>
      <c r="K179" s="270">
        <f t="shared" ca="1" si="44"/>
        <v>0</v>
      </c>
      <c r="L179" s="270">
        <f t="shared" ca="1" si="44"/>
        <v>0</v>
      </c>
      <c r="M179" s="270">
        <f t="shared" ca="1" si="44"/>
        <v>0</v>
      </c>
      <c r="N179" s="270">
        <f t="shared" ca="1" si="44"/>
        <v>0</v>
      </c>
      <c r="O179" s="270">
        <f t="shared" ca="1" si="44"/>
        <v>0</v>
      </c>
      <c r="P179" s="270">
        <f t="shared" ca="1" si="44"/>
        <v>0</v>
      </c>
      <c r="Q179" s="270">
        <f t="shared" ca="1" si="44"/>
        <v>0</v>
      </c>
      <c r="R179" s="270">
        <f t="shared" ca="1" si="44"/>
        <v>0</v>
      </c>
      <c r="S179" s="270">
        <f t="shared" ca="1" si="44"/>
        <v>0</v>
      </c>
      <c r="T179" s="270">
        <f t="shared" ca="1" si="44"/>
        <v>0</v>
      </c>
      <c r="U179" s="270">
        <f t="shared" ca="1" si="44"/>
        <v>0</v>
      </c>
      <c r="V179" s="270">
        <f t="shared" ca="1" si="44"/>
        <v>0</v>
      </c>
      <c r="W179" s="270">
        <f t="shared" ca="1" si="44"/>
        <v>0</v>
      </c>
      <c r="X179" s="270">
        <f t="shared" ca="1" si="44"/>
        <v>0</v>
      </c>
      <c r="Y179" s="270">
        <f t="shared" ca="1" si="42"/>
        <v>0</v>
      </c>
    </row>
    <row r="180" spans="4:25">
      <c r="D180" s="9" t="s">
        <v>123</v>
      </c>
      <c r="E180" s="51">
        <f t="shared" ca="1" si="40"/>
        <v>1.2517361005045299E-4</v>
      </c>
      <c r="F180" s="270">
        <f t="shared" ca="1" si="44"/>
        <v>4.9970863342395973E-4</v>
      </c>
      <c r="G180" s="270">
        <f t="shared" ca="1" si="44"/>
        <v>1.3156437954647262E-3</v>
      </c>
      <c r="H180" s="270">
        <f t="shared" ca="1" si="44"/>
        <v>2.8474738479325667E-3</v>
      </c>
      <c r="I180" s="270">
        <f t="shared" ca="1" si="44"/>
        <v>5.4627923279125445E-3</v>
      </c>
      <c r="J180" s="270">
        <f t="shared" ca="1" si="44"/>
        <v>9.6254057406693558E-3</v>
      </c>
      <c r="K180" s="270">
        <f t="shared" ca="1" si="44"/>
        <v>1.5886593456977342E-2</v>
      </c>
      <c r="L180" s="270">
        <f t="shared" ca="1" si="44"/>
        <v>2.4860121829489039E-2</v>
      </c>
      <c r="M180" s="270">
        <f t="shared" ca="1" si="44"/>
        <v>3.717789844315738E-2</v>
      </c>
      <c r="N180" s="270">
        <f t="shared" ca="1" si="44"/>
        <v>5.3426386655545492E-2</v>
      </c>
      <c r="O180" s="270">
        <f t="shared" ca="1" si="44"/>
        <v>7.4069277275618461E-2</v>
      </c>
      <c r="P180" s="270">
        <f t="shared" ca="1" si="44"/>
        <v>9.9368655789382643E-2</v>
      </c>
      <c r="Q180" s="270">
        <f t="shared" ca="1" si="44"/>
        <v>0.12932285935335835</v>
      </c>
      <c r="R180" s="270">
        <f t="shared" ca="1" si="44"/>
        <v>0.1636410697404917</v>
      </c>
      <c r="S180" s="270">
        <f t="shared" ca="1" si="44"/>
        <v>0.20176924466899621</v>
      </c>
      <c r="T180" s="270">
        <f t="shared" ca="1" si="44"/>
        <v>0.24782419893654523</v>
      </c>
      <c r="U180" s="270">
        <f t="shared" ca="1" si="44"/>
        <v>0.29619282300912902</v>
      </c>
      <c r="V180" s="270">
        <f t="shared" ca="1" si="44"/>
        <v>0.34597136519800759</v>
      </c>
      <c r="W180" s="270">
        <f t="shared" ca="1" si="44"/>
        <v>0.39656181371118365</v>
      </c>
      <c r="X180" s="270">
        <f t="shared" ca="1" si="44"/>
        <v>0.44742397402641937</v>
      </c>
      <c r="Y180" s="270">
        <f t="shared" ca="1" si="42"/>
        <v>0.72672029699869611</v>
      </c>
    </row>
    <row r="181" spans="4:25">
      <c r="D181" s="9" t="s">
        <v>126</v>
      </c>
      <c r="E181" s="51">
        <f t="shared" ca="1" si="40"/>
        <v>0</v>
      </c>
      <c r="F181" s="270">
        <f t="shared" ca="1" si="44"/>
        <v>0</v>
      </c>
      <c r="G181" s="270">
        <f t="shared" ca="1" si="44"/>
        <v>0</v>
      </c>
      <c r="H181" s="270">
        <f t="shared" ca="1" si="44"/>
        <v>0</v>
      </c>
      <c r="I181" s="270">
        <f t="shared" ca="1" si="44"/>
        <v>0</v>
      </c>
      <c r="J181" s="270">
        <f t="shared" ca="1" si="44"/>
        <v>0</v>
      </c>
      <c r="K181" s="270">
        <f t="shared" ca="1" si="44"/>
        <v>0</v>
      </c>
      <c r="L181" s="270">
        <f t="shared" ca="1" si="44"/>
        <v>0</v>
      </c>
      <c r="M181" s="270">
        <f t="shared" ca="1" si="44"/>
        <v>0</v>
      </c>
      <c r="N181" s="270">
        <f t="shared" ca="1" si="44"/>
        <v>0</v>
      </c>
      <c r="O181" s="270">
        <f t="shared" ca="1" si="44"/>
        <v>0</v>
      </c>
      <c r="P181" s="270">
        <f t="shared" ca="1" si="44"/>
        <v>0</v>
      </c>
      <c r="Q181" s="270">
        <f t="shared" ca="1" si="44"/>
        <v>0</v>
      </c>
      <c r="R181" s="270">
        <f t="shared" ca="1" si="44"/>
        <v>0</v>
      </c>
      <c r="S181" s="270">
        <f t="shared" ca="1" si="44"/>
        <v>0</v>
      </c>
      <c r="T181" s="270">
        <f t="shared" ca="1" si="44"/>
        <v>0</v>
      </c>
      <c r="U181" s="270">
        <f t="shared" ca="1" si="44"/>
        <v>0</v>
      </c>
      <c r="V181" s="270">
        <f t="shared" ca="1" si="44"/>
        <v>0</v>
      </c>
      <c r="W181" s="270">
        <f t="shared" ca="1" si="44"/>
        <v>0</v>
      </c>
      <c r="X181" s="270">
        <f t="shared" ca="1" si="44"/>
        <v>0</v>
      </c>
      <c r="Y181" s="270">
        <f t="shared" ca="1" si="42"/>
        <v>0</v>
      </c>
    </row>
    <row r="182" spans="4:25">
      <c r="D182" s="9" t="s">
        <v>171</v>
      </c>
      <c r="E182" s="51">
        <f t="shared" ca="1" si="40"/>
        <v>0</v>
      </c>
      <c r="F182" s="270">
        <f t="shared" ca="1" si="44"/>
        <v>0</v>
      </c>
      <c r="G182" s="270">
        <f t="shared" ca="1" si="44"/>
        <v>0</v>
      </c>
      <c r="H182" s="270">
        <f t="shared" ca="1" si="44"/>
        <v>0</v>
      </c>
      <c r="I182" s="270">
        <f t="shared" ca="1" si="44"/>
        <v>0</v>
      </c>
      <c r="J182" s="270">
        <f t="shared" ca="1" si="44"/>
        <v>0</v>
      </c>
      <c r="K182" s="270">
        <f t="shared" ca="1" si="44"/>
        <v>0</v>
      </c>
      <c r="L182" s="270">
        <f t="shared" ca="1" si="44"/>
        <v>0</v>
      </c>
      <c r="M182" s="270">
        <f t="shared" ca="1" si="44"/>
        <v>0</v>
      </c>
      <c r="N182" s="270">
        <f t="shared" ca="1" si="44"/>
        <v>0</v>
      </c>
      <c r="O182" s="270">
        <f t="shared" ca="1" si="44"/>
        <v>0</v>
      </c>
      <c r="P182" s="270">
        <f t="shared" ca="1" si="44"/>
        <v>0</v>
      </c>
      <c r="Q182" s="270">
        <f t="shared" ca="1" si="44"/>
        <v>0</v>
      </c>
      <c r="R182" s="270">
        <f t="shared" ca="1" si="44"/>
        <v>0</v>
      </c>
      <c r="S182" s="270">
        <f t="shared" ca="1" si="44"/>
        <v>0</v>
      </c>
      <c r="T182" s="270">
        <f t="shared" ca="1" si="44"/>
        <v>0</v>
      </c>
      <c r="U182" s="270">
        <f t="shared" ca="1" si="44"/>
        <v>0</v>
      </c>
      <c r="V182" s="270">
        <f t="shared" ca="1" si="44"/>
        <v>0</v>
      </c>
      <c r="W182" s="270">
        <f t="shared" ca="1" si="44"/>
        <v>0</v>
      </c>
      <c r="X182" s="270">
        <f t="shared" ca="1" si="44"/>
        <v>0</v>
      </c>
      <c r="Y182" s="270">
        <f t="shared" ca="1" si="42"/>
        <v>0</v>
      </c>
    </row>
    <row r="183" spans="4:25">
      <c r="D183" s="9" t="s">
        <v>173</v>
      </c>
      <c r="E183" s="51">
        <f t="shared" ca="1" si="40"/>
        <v>0</v>
      </c>
      <c r="F183" s="270">
        <f t="shared" ca="1" si="44"/>
        <v>0</v>
      </c>
      <c r="G183" s="270">
        <f t="shared" ca="1" si="44"/>
        <v>0</v>
      </c>
      <c r="H183" s="270">
        <f t="shared" ca="1" si="44"/>
        <v>0</v>
      </c>
      <c r="I183" s="270">
        <f t="shared" ca="1" si="44"/>
        <v>0</v>
      </c>
      <c r="J183" s="270">
        <f t="shared" ca="1" si="44"/>
        <v>0</v>
      </c>
      <c r="K183" s="270">
        <f t="shared" ca="1" si="44"/>
        <v>0</v>
      </c>
      <c r="L183" s="270">
        <f t="shared" ca="1" si="44"/>
        <v>0</v>
      </c>
      <c r="M183" s="270">
        <f t="shared" ca="1" si="44"/>
        <v>0</v>
      </c>
      <c r="N183" s="270">
        <f t="shared" ca="1" si="44"/>
        <v>0</v>
      </c>
      <c r="O183" s="270">
        <f t="shared" ca="1" si="44"/>
        <v>0</v>
      </c>
      <c r="P183" s="270">
        <f t="shared" ca="1" si="44"/>
        <v>0</v>
      </c>
      <c r="Q183" s="270">
        <f t="shared" ca="1" si="44"/>
        <v>0</v>
      </c>
      <c r="R183" s="270">
        <f t="shared" ca="1" si="44"/>
        <v>0</v>
      </c>
      <c r="S183" s="270">
        <f t="shared" ca="1" si="44"/>
        <v>0</v>
      </c>
      <c r="T183" s="270">
        <f t="shared" ca="1" si="44"/>
        <v>0</v>
      </c>
      <c r="U183" s="270">
        <f t="shared" ca="1" si="44"/>
        <v>0</v>
      </c>
      <c r="V183" s="270">
        <f t="shared" ca="1" si="44"/>
        <v>0</v>
      </c>
      <c r="W183" s="270">
        <f t="shared" ca="1" si="44"/>
        <v>0</v>
      </c>
      <c r="X183" s="270">
        <f t="shared" ca="1" si="44"/>
        <v>0</v>
      </c>
      <c r="Y183" s="270">
        <f t="shared" ca="1" si="42"/>
        <v>0</v>
      </c>
    </row>
    <row r="184" spans="4:25">
      <c r="D184" s="9" t="s">
        <v>176</v>
      </c>
      <c r="E184" s="51">
        <f t="shared" ca="1" si="40"/>
        <v>0</v>
      </c>
      <c r="F184" s="270">
        <f t="shared" ca="1" si="44"/>
        <v>0</v>
      </c>
      <c r="G184" s="270">
        <f t="shared" ca="1" si="44"/>
        <v>0</v>
      </c>
      <c r="H184" s="270">
        <f t="shared" ca="1" si="44"/>
        <v>0</v>
      </c>
      <c r="I184" s="270">
        <f t="shared" ca="1" si="44"/>
        <v>0</v>
      </c>
      <c r="J184" s="270">
        <f t="shared" ca="1" si="44"/>
        <v>0</v>
      </c>
      <c r="K184" s="270">
        <f t="shared" ca="1" si="44"/>
        <v>0</v>
      </c>
      <c r="L184" s="270">
        <f t="shared" ca="1" si="44"/>
        <v>0</v>
      </c>
      <c r="M184" s="270">
        <f t="shared" ca="1" si="44"/>
        <v>0</v>
      </c>
      <c r="N184" s="270">
        <f t="shared" ca="1" si="44"/>
        <v>0</v>
      </c>
      <c r="O184" s="270">
        <f t="shared" ca="1" si="44"/>
        <v>0</v>
      </c>
      <c r="P184" s="270">
        <f t="shared" ca="1" si="44"/>
        <v>0</v>
      </c>
      <c r="Q184" s="270">
        <f t="shared" ca="1" si="44"/>
        <v>0</v>
      </c>
      <c r="R184" s="270">
        <f t="shared" ca="1" si="44"/>
        <v>0</v>
      </c>
      <c r="S184" s="270">
        <f t="shared" ca="1" si="44"/>
        <v>0</v>
      </c>
      <c r="T184" s="270">
        <f t="shared" ca="1" si="44"/>
        <v>0</v>
      </c>
      <c r="U184" s="270">
        <f t="shared" ca="1" si="44"/>
        <v>0</v>
      </c>
      <c r="V184" s="270">
        <f t="shared" ca="1" si="44"/>
        <v>0</v>
      </c>
      <c r="W184" s="270">
        <f t="shared" ca="1" si="44"/>
        <v>0</v>
      </c>
      <c r="X184" s="270">
        <f t="shared" ca="1" si="44"/>
        <v>0</v>
      </c>
      <c r="Y184" s="270">
        <f t="shared" ca="1" si="42"/>
        <v>0</v>
      </c>
    </row>
    <row r="185" spans="4:25">
      <c r="D185" s="9" t="s">
        <v>179</v>
      </c>
      <c r="E185" s="51">
        <f t="shared" ca="1" si="40"/>
        <v>0</v>
      </c>
      <c r="F185" s="270">
        <f t="shared" ca="1" si="44"/>
        <v>0</v>
      </c>
      <c r="G185" s="270">
        <f t="shared" ca="1" si="44"/>
        <v>0</v>
      </c>
      <c r="H185" s="270">
        <f t="shared" ca="1" si="44"/>
        <v>0</v>
      </c>
      <c r="I185" s="270">
        <f t="shared" ca="1" si="44"/>
        <v>0</v>
      </c>
      <c r="J185" s="270">
        <f t="shared" ca="1" si="44"/>
        <v>0</v>
      </c>
      <c r="K185" s="270">
        <f t="shared" ca="1" si="44"/>
        <v>0</v>
      </c>
      <c r="L185" s="270">
        <f t="shared" ca="1" si="44"/>
        <v>0</v>
      </c>
      <c r="M185" s="270">
        <f t="shared" ca="1" si="44"/>
        <v>0</v>
      </c>
      <c r="N185" s="270">
        <f t="shared" ca="1" si="44"/>
        <v>0</v>
      </c>
      <c r="O185" s="270">
        <f t="shared" ca="1" si="44"/>
        <v>0</v>
      </c>
      <c r="P185" s="270">
        <f t="shared" ca="1" si="44"/>
        <v>0</v>
      </c>
      <c r="Q185" s="270">
        <f t="shared" ca="1" si="44"/>
        <v>0</v>
      </c>
      <c r="R185" s="270">
        <f t="shared" ca="1" si="44"/>
        <v>0</v>
      </c>
      <c r="S185" s="270">
        <f t="shared" ca="1" si="44"/>
        <v>0</v>
      </c>
      <c r="T185" s="270">
        <f t="shared" ca="1" si="44"/>
        <v>0</v>
      </c>
      <c r="U185" s="270">
        <f t="shared" ca="1" si="44"/>
        <v>0</v>
      </c>
      <c r="V185" s="270">
        <f t="shared" ca="1" si="44"/>
        <v>0</v>
      </c>
      <c r="W185" s="270">
        <f t="shared" ca="1" si="44"/>
        <v>0</v>
      </c>
      <c r="X185" s="270">
        <f t="shared" ca="1" si="44"/>
        <v>0</v>
      </c>
      <c r="Y185" s="270">
        <f t="shared" ca="1" si="42"/>
        <v>0</v>
      </c>
    </row>
    <row r="186" spans="4:25">
      <c r="D186" s="9" t="s">
        <v>182</v>
      </c>
      <c r="E186" s="51">
        <f t="shared" ca="1" si="40"/>
        <v>0</v>
      </c>
      <c r="F186" s="270">
        <f t="shared" ca="1" si="44"/>
        <v>0</v>
      </c>
      <c r="G186" s="270">
        <f t="shared" ca="1" si="44"/>
        <v>0</v>
      </c>
      <c r="H186" s="270">
        <f t="shared" ca="1" si="44"/>
        <v>0</v>
      </c>
      <c r="I186" s="270">
        <f t="shared" ca="1" si="44"/>
        <v>0</v>
      </c>
      <c r="J186" s="270">
        <f t="shared" ca="1" si="44"/>
        <v>0</v>
      </c>
      <c r="K186" s="270">
        <f t="shared" ca="1" si="44"/>
        <v>0</v>
      </c>
      <c r="L186" s="270">
        <f t="shared" ca="1" si="44"/>
        <v>0</v>
      </c>
      <c r="M186" s="270">
        <f t="shared" ca="1" si="44"/>
        <v>0</v>
      </c>
      <c r="N186" s="270">
        <f t="shared" ca="1" si="44"/>
        <v>0</v>
      </c>
      <c r="O186" s="270">
        <f t="shared" ca="1" si="44"/>
        <v>0</v>
      </c>
      <c r="P186" s="270">
        <f t="shared" ca="1" si="44"/>
        <v>0</v>
      </c>
      <c r="Q186" s="270">
        <f t="shared" ca="1" si="44"/>
        <v>0</v>
      </c>
      <c r="R186" s="270">
        <f t="shared" ca="1" si="44"/>
        <v>0</v>
      </c>
      <c r="S186" s="270">
        <f t="shared" ca="1" si="44"/>
        <v>0</v>
      </c>
      <c r="T186" s="270">
        <f t="shared" ca="1" si="44"/>
        <v>0</v>
      </c>
      <c r="U186" s="270">
        <f t="shared" ca="1" si="44"/>
        <v>0</v>
      </c>
      <c r="V186" s="270">
        <f t="shared" ca="1" si="44"/>
        <v>0</v>
      </c>
      <c r="W186" s="270">
        <f t="shared" ca="1" si="44"/>
        <v>0</v>
      </c>
      <c r="X186" s="270">
        <f t="shared" ca="1" si="44"/>
        <v>0</v>
      </c>
      <c r="Y186" s="270">
        <f t="shared" ca="1" si="42"/>
        <v>0</v>
      </c>
    </row>
    <row r="187" spans="4:25">
      <c r="D187" s="9" t="s">
        <v>185</v>
      </c>
      <c r="E187" s="51">
        <f t="shared" ca="1" si="40"/>
        <v>0</v>
      </c>
      <c r="F187" s="270">
        <f t="shared" ca="1" si="44"/>
        <v>0</v>
      </c>
      <c r="G187" s="270">
        <f t="shared" ca="1" si="44"/>
        <v>0</v>
      </c>
      <c r="H187" s="270">
        <f t="shared" ca="1" si="44"/>
        <v>0</v>
      </c>
      <c r="I187" s="270">
        <f t="shared" ca="1" si="44"/>
        <v>0</v>
      </c>
      <c r="J187" s="270">
        <f t="shared" ca="1" si="44"/>
        <v>0</v>
      </c>
      <c r="K187" s="270">
        <f t="shared" ca="1" si="44"/>
        <v>0</v>
      </c>
      <c r="L187" s="270">
        <f t="shared" ca="1" si="44"/>
        <v>0</v>
      </c>
      <c r="M187" s="270">
        <f t="shared" ca="1" si="44"/>
        <v>0</v>
      </c>
      <c r="N187" s="270">
        <f t="shared" ca="1" si="44"/>
        <v>0</v>
      </c>
      <c r="O187" s="270">
        <f t="shared" ca="1" si="44"/>
        <v>0</v>
      </c>
      <c r="P187" s="270">
        <f t="shared" ca="1" si="44"/>
        <v>0</v>
      </c>
      <c r="Q187" s="270">
        <f t="shared" ca="1" si="44"/>
        <v>0</v>
      </c>
      <c r="R187" s="270">
        <f t="shared" ca="1" si="44"/>
        <v>0</v>
      </c>
      <c r="S187" s="270">
        <f t="shared" ca="1" si="44"/>
        <v>0</v>
      </c>
      <c r="T187" s="270">
        <f t="shared" ca="1" si="44"/>
        <v>0</v>
      </c>
      <c r="U187" s="270">
        <f t="shared" ca="1" si="44"/>
        <v>0</v>
      </c>
      <c r="V187" s="270">
        <f t="shared" ca="1" si="44"/>
        <v>0</v>
      </c>
      <c r="W187" s="270">
        <f t="shared" ca="1" si="44"/>
        <v>0</v>
      </c>
      <c r="X187" s="270">
        <f t="shared" ca="1" si="44"/>
        <v>0</v>
      </c>
      <c r="Y187" s="270">
        <f t="shared" ca="1" si="42"/>
        <v>0</v>
      </c>
    </row>
    <row r="188" spans="4:25">
      <c r="D188" s="9" t="s">
        <v>188</v>
      </c>
      <c r="E188" s="51">
        <f t="shared" ca="1" si="40"/>
        <v>0</v>
      </c>
      <c r="F188" s="270">
        <f t="shared" ca="1" si="44"/>
        <v>0</v>
      </c>
      <c r="G188" s="270">
        <f t="shared" ca="1" si="44"/>
        <v>0</v>
      </c>
      <c r="H188" s="270">
        <f t="shared" ca="1" si="44"/>
        <v>0</v>
      </c>
      <c r="I188" s="270">
        <f t="shared" ca="1" si="44"/>
        <v>0</v>
      </c>
      <c r="J188" s="270">
        <f t="shared" ca="1" si="44"/>
        <v>0</v>
      </c>
      <c r="K188" s="270">
        <f t="shared" ca="1" si="44"/>
        <v>0</v>
      </c>
      <c r="L188" s="270">
        <f t="shared" ca="1" si="44"/>
        <v>0</v>
      </c>
      <c r="M188" s="270">
        <f t="shared" ca="1" si="44"/>
        <v>0</v>
      </c>
      <c r="N188" s="270">
        <f t="shared" ref="N188:X188" ca="1" si="45">M188+N149</f>
        <v>0</v>
      </c>
      <c r="O188" s="270">
        <f t="shared" ca="1" si="45"/>
        <v>0</v>
      </c>
      <c r="P188" s="270">
        <f t="shared" ca="1" si="45"/>
        <v>0</v>
      </c>
      <c r="Q188" s="270">
        <f t="shared" ca="1" si="45"/>
        <v>0</v>
      </c>
      <c r="R188" s="270">
        <f t="shared" ca="1" si="45"/>
        <v>0</v>
      </c>
      <c r="S188" s="270">
        <f t="shared" ca="1" si="45"/>
        <v>0</v>
      </c>
      <c r="T188" s="270">
        <f t="shared" ca="1" si="45"/>
        <v>0</v>
      </c>
      <c r="U188" s="270">
        <f t="shared" ca="1" si="45"/>
        <v>0</v>
      </c>
      <c r="V188" s="270">
        <f t="shared" ca="1" si="45"/>
        <v>0</v>
      </c>
      <c r="W188" s="270">
        <f t="shared" ca="1" si="45"/>
        <v>0</v>
      </c>
      <c r="X188" s="270">
        <f t="shared" ca="1" si="45"/>
        <v>0</v>
      </c>
      <c r="Y188" s="270">
        <f t="shared" ca="1" si="42"/>
        <v>0</v>
      </c>
    </row>
    <row r="189" spans="4:25">
      <c r="D189" s="9" t="s">
        <v>191</v>
      </c>
      <c r="E189" s="51">
        <f t="shared" ca="1" si="40"/>
        <v>0</v>
      </c>
      <c r="F189" s="270">
        <f t="shared" ref="F189:X192" ca="1" si="46">E189+F150</f>
        <v>0</v>
      </c>
      <c r="G189" s="270">
        <f t="shared" ca="1" si="46"/>
        <v>0</v>
      </c>
      <c r="H189" s="270">
        <f t="shared" ca="1" si="46"/>
        <v>0</v>
      </c>
      <c r="I189" s="270">
        <f t="shared" ca="1" si="46"/>
        <v>0</v>
      </c>
      <c r="J189" s="270">
        <f t="shared" ca="1" si="46"/>
        <v>0</v>
      </c>
      <c r="K189" s="270">
        <f t="shared" ca="1" si="46"/>
        <v>0</v>
      </c>
      <c r="L189" s="270">
        <f t="shared" ca="1" si="46"/>
        <v>0</v>
      </c>
      <c r="M189" s="270">
        <f t="shared" ca="1" si="46"/>
        <v>0</v>
      </c>
      <c r="N189" s="270">
        <f t="shared" ca="1" si="46"/>
        <v>0</v>
      </c>
      <c r="O189" s="270">
        <f t="shared" ca="1" si="46"/>
        <v>0</v>
      </c>
      <c r="P189" s="270">
        <f t="shared" ca="1" si="46"/>
        <v>0</v>
      </c>
      <c r="Q189" s="270">
        <f t="shared" ca="1" si="46"/>
        <v>0</v>
      </c>
      <c r="R189" s="270">
        <f t="shared" ca="1" si="46"/>
        <v>0</v>
      </c>
      <c r="S189" s="270">
        <f t="shared" ca="1" si="46"/>
        <v>0</v>
      </c>
      <c r="T189" s="270">
        <f t="shared" ca="1" si="46"/>
        <v>0</v>
      </c>
      <c r="U189" s="270">
        <f t="shared" ca="1" si="46"/>
        <v>0</v>
      </c>
      <c r="V189" s="270">
        <f t="shared" ca="1" si="46"/>
        <v>0</v>
      </c>
      <c r="W189" s="270">
        <f t="shared" ca="1" si="46"/>
        <v>0</v>
      </c>
      <c r="X189" s="270">
        <f t="shared" ca="1" si="46"/>
        <v>0</v>
      </c>
      <c r="Y189" s="270">
        <f t="shared" ca="1" si="42"/>
        <v>0</v>
      </c>
    </row>
    <row r="190" spans="4:25">
      <c r="D190" s="9" t="s">
        <v>194</v>
      </c>
      <c r="E190" s="51">
        <f t="shared" ca="1" si="40"/>
        <v>0</v>
      </c>
      <c r="F190" s="270">
        <f t="shared" ca="1" si="46"/>
        <v>0</v>
      </c>
      <c r="G190" s="270">
        <f t="shared" ca="1" si="46"/>
        <v>0</v>
      </c>
      <c r="H190" s="270">
        <f t="shared" ca="1" si="46"/>
        <v>0</v>
      </c>
      <c r="I190" s="270">
        <f t="shared" ca="1" si="46"/>
        <v>0</v>
      </c>
      <c r="J190" s="270">
        <f t="shared" ca="1" si="46"/>
        <v>0</v>
      </c>
      <c r="K190" s="270">
        <f t="shared" ca="1" si="46"/>
        <v>0</v>
      </c>
      <c r="L190" s="270">
        <f t="shared" ca="1" si="46"/>
        <v>0</v>
      </c>
      <c r="M190" s="270">
        <f t="shared" ca="1" si="46"/>
        <v>0</v>
      </c>
      <c r="N190" s="270">
        <f t="shared" ca="1" si="46"/>
        <v>0</v>
      </c>
      <c r="O190" s="270">
        <f t="shared" ca="1" si="46"/>
        <v>0</v>
      </c>
      <c r="P190" s="270">
        <f t="shared" ca="1" si="46"/>
        <v>0</v>
      </c>
      <c r="Q190" s="270">
        <f t="shared" ca="1" si="46"/>
        <v>0</v>
      </c>
      <c r="R190" s="270">
        <f t="shared" ca="1" si="46"/>
        <v>0</v>
      </c>
      <c r="S190" s="270">
        <f t="shared" ca="1" si="46"/>
        <v>0</v>
      </c>
      <c r="T190" s="270">
        <f t="shared" ca="1" si="46"/>
        <v>0</v>
      </c>
      <c r="U190" s="270">
        <f t="shared" ca="1" si="46"/>
        <v>0</v>
      </c>
      <c r="V190" s="270">
        <f t="shared" ca="1" si="46"/>
        <v>0</v>
      </c>
      <c r="W190" s="270">
        <f t="shared" ca="1" si="46"/>
        <v>0</v>
      </c>
      <c r="X190" s="270">
        <f t="shared" ca="1" si="46"/>
        <v>0</v>
      </c>
      <c r="Y190" s="270">
        <f t="shared" ca="1" si="42"/>
        <v>0</v>
      </c>
    </row>
    <row r="191" spans="4:25">
      <c r="D191" s="9" t="s">
        <v>197</v>
      </c>
      <c r="E191" s="51">
        <f t="shared" ca="1" si="40"/>
        <v>0</v>
      </c>
      <c r="F191" s="270">
        <f t="shared" ca="1" si="46"/>
        <v>0</v>
      </c>
      <c r="G191" s="270">
        <f t="shared" ca="1" si="46"/>
        <v>0</v>
      </c>
      <c r="H191" s="270">
        <f t="shared" ca="1" si="46"/>
        <v>0</v>
      </c>
      <c r="I191" s="270">
        <f t="shared" ca="1" si="46"/>
        <v>0</v>
      </c>
      <c r="J191" s="270">
        <f t="shared" ca="1" si="46"/>
        <v>0</v>
      </c>
      <c r="K191" s="270">
        <f t="shared" ca="1" si="46"/>
        <v>0</v>
      </c>
      <c r="L191" s="270">
        <f t="shared" ca="1" si="46"/>
        <v>0</v>
      </c>
      <c r="M191" s="270">
        <f t="shared" ca="1" si="46"/>
        <v>0</v>
      </c>
      <c r="N191" s="270">
        <f t="shared" ca="1" si="46"/>
        <v>0</v>
      </c>
      <c r="O191" s="270">
        <f t="shared" ca="1" si="46"/>
        <v>0</v>
      </c>
      <c r="P191" s="270">
        <f t="shared" ca="1" si="46"/>
        <v>0</v>
      </c>
      <c r="Q191" s="270">
        <f t="shared" ca="1" si="46"/>
        <v>0</v>
      </c>
      <c r="R191" s="270">
        <f t="shared" ca="1" si="46"/>
        <v>0</v>
      </c>
      <c r="S191" s="270">
        <f t="shared" ca="1" si="46"/>
        <v>0</v>
      </c>
      <c r="T191" s="270">
        <f t="shared" ca="1" si="46"/>
        <v>0</v>
      </c>
      <c r="U191" s="270">
        <f t="shared" ca="1" si="46"/>
        <v>0</v>
      </c>
      <c r="V191" s="270">
        <f t="shared" ca="1" si="46"/>
        <v>0</v>
      </c>
      <c r="W191" s="270">
        <f t="shared" ca="1" si="46"/>
        <v>0</v>
      </c>
      <c r="X191" s="270">
        <f t="shared" ca="1" si="46"/>
        <v>0</v>
      </c>
      <c r="Y191" s="270">
        <f t="shared" ca="1" si="42"/>
        <v>0</v>
      </c>
    </row>
    <row r="192" spans="4:25">
      <c r="D192" s="9" t="s">
        <v>200</v>
      </c>
      <c r="E192" s="51">
        <f t="shared" ca="1" si="40"/>
        <v>0</v>
      </c>
      <c r="F192" s="270">
        <f t="shared" ca="1" si="46"/>
        <v>0</v>
      </c>
      <c r="G192" s="270">
        <f t="shared" ca="1" si="46"/>
        <v>0</v>
      </c>
      <c r="H192" s="270">
        <f t="shared" ca="1" si="46"/>
        <v>0</v>
      </c>
      <c r="I192" s="270">
        <f t="shared" ca="1" si="46"/>
        <v>0</v>
      </c>
      <c r="J192" s="270">
        <f t="shared" ca="1" si="46"/>
        <v>0</v>
      </c>
      <c r="K192" s="270">
        <f t="shared" ca="1" si="46"/>
        <v>0</v>
      </c>
      <c r="L192" s="270">
        <f t="shared" ca="1" si="46"/>
        <v>0</v>
      </c>
      <c r="M192" s="270">
        <f t="shared" ca="1" si="46"/>
        <v>0</v>
      </c>
      <c r="N192" s="270">
        <f t="shared" ca="1" si="46"/>
        <v>0</v>
      </c>
      <c r="O192" s="270">
        <f t="shared" ca="1" si="46"/>
        <v>0</v>
      </c>
      <c r="P192" s="270">
        <f t="shared" ca="1" si="46"/>
        <v>0</v>
      </c>
      <c r="Q192" s="270">
        <f t="shared" ca="1" si="46"/>
        <v>0</v>
      </c>
      <c r="R192" s="270">
        <f t="shared" ca="1" si="46"/>
        <v>0</v>
      </c>
      <c r="S192" s="270">
        <f t="shared" ca="1" si="46"/>
        <v>0</v>
      </c>
      <c r="T192" s="270">
        <f t="shared" ca="1" si="46"/>
        <v>0</v>
      </c>
      <c r="U192" s="270">
        <f t="shared" ca="1" si="46"/>
        <v>0</v>
      </c>
      <c r="V192" s="270">
        <f t="shared" ca="1" si="46"/>
        <v>0</v>
      </c>
      <c r="W192" s="270">
        <f t="shared" ca="1" si="46"/>
        <v>0</v>
      </c>
      <c r="X192" s="270">
        <f t="shared" ca="1" si="46"/>
        <v>0</v>
      </c>
      <c r="Y192" s="270">
        <f t="shared" ca="1" si="42"/>
        <v>0</v>
      </c>
    </row>
    <row r="194" spans="4:78" ht="15">
      <c r="D194" s="66" t="s">
        <v>132</v>
      </c>
      <c r="E194" s="66">
        <f t="shared" ref="E194:Y194" ca="1" si="47">SUM(E161:E192)</f>
        <v>4.8955374715287849E-3</v>
      </c>
      <c r="F194" s="66">
        <f t="shared" ca="1" si="47"/>
        <v>1.9543595002072714E-2</v>
      </c>
      <c r="G194" s="66">
        <f t="shared" ca="1" si="47"/>
        <v>5.1454803430897873E-2</v>
      </c>
      <c r="H194" s="66">
        <f t="shared" ca="1" si="47"/>
        <v>0.11136464719786747</v>
      </c>
      <c r="I194" s="66">
        <f t="shared" ca="1" si="47"/>
        <v>0.21364970243884909</v>
      </c>
      <c r="J194" s="66">
        <f t="shared" ca="1" si="47"/>
        <v>0.37644943261700353</v>
      </c>
      <c r="K194" s="66">
        <f t="shared" ca="1" si="47"/>
        <v>0.6213243632761638</v>
      </c>
      <c r="L194" s="66">
        <f t="shared" ca="1" si="47"/>
        <v>0.9722788846145749</v>
      </c>
      <c r="M194" s="66">
        <f t="shared" ca="1" si="47"/>
        <v>1.4540268900753801</v>
      </c>
      <c r="N194" s="66">
        <f t="shared" ca="1" si="47"/>
        <v>2.0895049502461922</v>
      </c>
      <c r="O194" s="66">
        <f t="shared" ca="1" si="47"/>
        <v>2.8968480037101298</v>
      </c>
      <c r="P194" s="66">
        <f t="shared" ca="1" si="47"/>
        <v>3.8863062087631097</v>
      </c>
      <c r="Q194" s="66">
        <f t="shared" ca="1" si="47"/>
        <v>5.0578145316287522</v>
      </c>
      <c r="R194" s="66">
        <f t="shared" ca="1" si="47"/>
        <v>6.3999990770637076</v>
      </c>
      <c r="S194" s="66">
        <f t="shared" ca="1" si="47"/>
        <v>7.8911912621278182</v>
      </c>
      <c r="T194" s="66">
        <f t="shared" ca="1" si="47"/>
        <v>9.6923996340478613</v>
      </c>
      <c r="U194" s="66">
        <f t="shared" ca="1" si="47"/>
        <v>11.584095587357677</v>
      </c>
      <c r="V194" s="66">
        <f t="shared" ca="1" si="47"/>
        <v>13.530933410965288</v>
      </c>
      <c r="W194" s="66">
        <f t="shared" ca="1" si="47"/>
        <v>15.509524875235392</v>
      </c>
      <c r="X194" s="66">
        <f t="shared" ca="1" si="47"/>
        <v>17.498742982836337</v>
      </c>
      <c r="Y194" s="66">
        <f t="shared" ca="1" si="47"/>
        <v>28.422016780083752</v>
      </c>
      <c r="AB194"/>
      <c r="AC194"/>
      <c r="AD194"/>
      <c r="AE194"/>
      <c r="AF194"/>
      <c r="AG194"/>
      <c r="AH194"/>
      <c r="AI194"/>
      <c r="AJ194"/>
      <c r="AK194"/>
      <c r="AL194"/>
      <c r="AM194"/>
      <c r="AN194"/>
      <c r="AO194"/>
      <c r="AP194"/>
      <c r="AQ194"/>
      <c r="AR194"/>
      <c r="AS194"/>
      <c r="AT194"/>
      <c r="AU194"/>
      <c r="AV194"/>
      <c r="AW194"/>
      <c r="AX194"/>
      <c r="AY194"/>
      <c r="AZ194"/>
      <c r="BA194"/>
      <c r="BB194"/>
      <c r="BC194"/>
      <c r="BD194"/>
      <c r="BE194"/>
      <c r="BF194"/>
      <c r="BG194"/>
      <c r="BH194"/>
      <c r="BI194"/>
      <c r="BJ194"/>
      <c r="BK194"/>
      <c r="BL194"/>
      <c r="BM194"/>
      <c r="BN194"/>
      <c r="BO194"/>
      <c r="BP194"/>
      <c r="BQ194"/>
      <c r="BR194"/>
      <c r="BS194"/>
      <c r="BT194"/>
      <c r="BU194"/>
      <c r="BV194"/>
      <c r="BW194"/>
      <c r="BX194"/>
      <c r="BY194"/>
      <c r="BZ194"/>
    </row>
    <row r="195" spans="4:78">
      <c r="E195" s="34"/>
      <c r="F195" s="39"/>
      <c r="G195" s="39"/>
      <c r="H195" s="39"/>
      <c r="I195" s="39"/>
      <c r="J195" s="39"/>
      <c r="K195" s="39"/>
      <c r="L195" s="39"/>
      <c r="M195" s="39"/>
      <c r="N195" s="39"/>
      <c r="O195" s="39"/>
      <c r="P195" s="39"/>
      <c r="Q195" s="39"/>
      <c r="R195" s="39"/>
      <c r="S195" s="39"/>
      <c r="T195" s="39"/>
      <c r="U195" s="39"/>
      <c r="V195" s="39"/>
      <c r="W195" s="39"/>
      <c r="X195" s="39"/>
      <c r="Y195" s="39"/>
    </row>
    <row r="198" spans="4:78" customFormat="1"/>
    <row r="199" spans="4:78" customFormat="1"/>
    <row r="200" spans="4:78" customFormat="1"/>
    <row r="201" spans="4:78" customFormat="1"/>
    <row r="202" spans="4:78" customFormat="1"/>
    <row r="203" spans="4:78" customFormat="1"/>
    <row r="204" spans="4:78" customFormat="1"/>
    <row r="205" spans="4:78" customFormat="1"/>
    <row r="206" spans="4:78" customFormat="1"/>
    <row r="207" spans="4:78" customFormat="1"/>
    <row r="208" spans="4:78" customFormat="1"/>
    <row r="209" customFormat="1"/>
    <row r="210" customFormat="1"/>
    <row r="211" customFormat="1"/>
    <row r="212" customFormat="1"/>
    <row r="213" customFormat="1"/>
    <row r="214" customFormat="1"/>
    <row r="215" customFormat="1"/>
    <row r="216" customFormat="1"/>
  </sheetData>
  <mergeCells count="2">
    <mergeCell ref="B1:T6"/>
    <mergeCell ref="U1:U6"/>
  </mergeCells>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sheetPr codeName="Sheet4"/>
  <dimension ref="A1:EA8"/>
  <sheetViews>
    <sheetView workbookViewId="0">
      <selection sqref="A1:EA8"/>
    </sheetView>
  </sheetViews>
  <sheetFormatPr defaultRowHeight="12.75"/>
  <sheetData>
    <row r="1" spans="1:131" ht="13.5" thickBot="1">
      <c r="A1" s="32" t="s">
        <v>45</v>
      </c>
      <c r="B1" s="33"/>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row>
    <row r="2" spans="1:131" ht="13.5" thickBot="1">
      <c r="A2" s="40"/>
      <c r="B2" s="41"/>
      <c r="C2" s="42"/>
      <c r="D2" s="42"/>
      <c r="E2" s="42"/>
      <c r="F2" s="42"/>
      <c r="G2" s="42"/>
      <c r="H2" s="42"/>
      <c r="I2" s="42"/>
      <c r="J2" s="42"/>
      <c r="K2" s="42"/>
      <c r="L2" s="42"/>
      <c r="M2" s="42"/>
      <c r="N2" s="42"/>
      <c r="O2" s="43" t="s">
        <v>202</v>
      </c>
      <c r="P2" s="44"/>
      <c r="Q2" s="44"/>
      <c r="R2" s="44"/>
      <c r="S2" s="44"/>
      <c r="T2" s="44"/>
      <c r="U2" s="44"/>
      <c r="V2" s="44"/>
      <c r="W2" s="44"/>
      <c r="X2" s="44"/>
      <c r="Y2" s="44"/>
      <c r="Z2" s="38"/>
      <c r="AA2" s="42"/>
      <c r="AB2" s="43" t="s">
        <v>203</v>
      </c>
      <c r="AC2" s="44"/>
      <c r="AD2" s="44"/>
      <c r="AE2" s="44"/>
      <c r="AF2" s="44"/>
      <c r="AG2" s="44"/>
      <c r="AH2" s="44"/>
      <c r="AI2" s="44"/>
      <c r="AJ2" s="44"/>
      <c r="AK2" s="44"/>
      <c r="AL2" s="44"/>
      <c r="AM2" s="38"/>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c r="CO2" s="34"/>
      <c r="CP2" s="34"/>
      <c r="CQ2" s="34"/>
      <c r="CR2" s="34"/>
      <c r="CS2" s="34"/>
      <c r="CT2" s="34"/>
      <c r="CU2" s="34"/>
      <c r="CV2" s="34"/>
      <c r="CW2" s="34"/>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row>
    <row r="3" spans="1:131" ht="191.25">
      <c r="A3" s="35" t="s">
        <v>21</v>
      </c>
      <c r="B3" s="36" t="s">
        <v>22</v>
      </c>
      <c r="C3" s="37" t="s">
        <v>46</v>
      </c>
      <c r="D3" s="37" t="s">
        <v>25</v>
      </c>
      <c r="E3" s="37" t="s">
        <v>26</v>
      </c>
      <c r="F3" s="37" t="s">
        <v>27</v>
      </c>
      <c r="G3" s="37" t="s">
        <v>28</v>
      </c>
      <c r="H3" s="37" t="s">
        <v>29</v>
      </c>
      <c r="I3" s="37" t="s">
        <v>30</v>
      </c>
      <c r="J3" s="37" t="s">
        <v>31</v>
      </c>
      <c r="K3" s="37" t="s">
        <v>24</v>
      </c>
      <c r="L3" s="37" t="s">
        <v>23</v>
      </c>
      <c r="M3" s="37" t="s">
        <v>32</v>
      </c>
      <c r="N3" s="37" t="s">
        <v>204</v>
      </c>
      <c r="O3" s="37" t="s">
        <v>33</v>
      </c>
      <c r="P3" s="37" t="s">
        <v>34</v>
      </c>
      <c r="Q3" s="37" t="s">
        <v>35</v>
      </c>
      <c r="R3" s="37" t="s">
        <v>36</v>
      </c>
      <c r="S3" s="37" t="s">
        <v>37</v>
      </c>
      <c r="T3" s="37" t="s">
        <v>38</v>
      </c>
      <c r="U3" s="37" t="s">
        <v>39</v>
      </c>
      <c r="V3" s="37" t="s">
        <v>40</v>
      </c>
      <c r="W3" s="37" t="s">
        <v>41</v>
      </c>
      <c r="X3" s="37" t="s">
        <v>42</v>
      </c>
      <c r="Y3" s="37" t="s">
        <v>43</v>
      </c>
      <c r="Z3" s="37" t="s">
        <v>44</v>
      </c>
      <c r="AA3" s="37"/>
      <c r="AB3" s="37" t="s">
        <v>33</v>
      </c>
      <c r="AC3" s="37" t="s">
        <v>34</v>
      </c>
      <c r="AD3" s="37" t="s">
        <v>35</v>
      </c>
      <c r="AE3" s="37" t="s">
        <v>36</v>
      </c>
      <c r="AF3" s="37" t="s">
        <v>37</v>
      </c>
      <c r="AG3" s="37" t="s">
        <v>38</v>
      </c>
      <c r="AH3" s="37" t="s">
        <v>39</v>
      </c>
      <c r="AI3" s="37" t="s">
        <v>40</v>
      </c>
      <c r="AJ3" s="37" t="s">
        <v>41</v>
      </c>
      <c r="AK3" s="37" t="s">
        <v>42</v>
      </c>
      <c r="AL3" s="37" t="s">
        <v>43</v>
      </c>
      <c r="AM3" s="37" t="s">
        <v>44</v>
      </c>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c r="CO3" s="34"/>
      <c r="CP3" s="34"/>
      <c r="CQ3" s="34"/>
      <c r="CR3" s="34"/>
      <c r="CS3" s="34"/>
      <c r="CT3" s="34"/>
      <c r="CU3" s="34"/>
      <c r="CV3" s="34"/>
      <c r="CW3" s="34"/>
      <c r="CX3" s="9"/>
      <c r="CY3" s="9"/>
      <c r="CZ3" s="9"/>
      <c r="DA3" s="9"/>
      <c r="DB3" s="9"/>
      <c r="DC3" s="9"/>
      <c r="DD3" s="9"/>
      <c r="DE3" s="9"/>
      <c r="DF3" s="9"/>
      <c r="DG3" s="9"/>
      <c r="DH3" s="9"/>
      <c r="DI3" s="9"/>
      <c r="DJ3" s="9"/>
      <c r="DK3" s="9"/>
      <c r="DL3" s="9"/>
      <c r="DM3" s="9"/>
      <c r="DN3" s="9"/>
      <c r="DO3" s="9"/>
      <c r="DP3" s="9"/>
      <c r="DQ3" s="9"/>
      <c r="DR3" s="9"/>
      <c r="DS3" s="9"/>
      <c r="DT3" s="9"/>
      <c r="DU3" s="9"/>
      <c r="DV3" s="9"/>
      <c r="DW3" s="9"/>
      <c r="DX3" s="9"/>
      <c r="DY3" s="9"/>
      <c r="DZ3" s="9"/>
      <c r="EA3" s="9"/>
    </row>
    <row r="4" spans="1:131">
      <c r="A4" s="9" t="s">
        <v>1177</v>
      </c>
      <c r="B4" s="9"/>
      <c r="C4" s="39">
        <v>2334.1470078520424</v>
      </c>
      <c r="D4" s="39">
        <v>5568.9513326368924</v>
      </c>
      <c r="E4" s="39">
        <v>1113.7902665273784</v>
      </c>
      <c r="F4" s="39">
        <v>6682.7415991642711</v>
      </c>
      <c r="G4" s="39">
        <v>6774.8714345888684</v>
      </c>
      <c r="H4" s="39">
        <v>2635.0507566597635</v>
      </c>
      <c r="I4" s="39">
        <v>25080.175418149935</v>
      </c>
      <c r="J4" s="39">
        <v>131.18343064554222</v>
      </c>
      <c r="K4" s="39">
        <v>168.74734982295431</v>
      </c>
      <c r="L4" s="410">
        <v>0.38894476184545795</v>
      </c>
      <c r="M4" s="39">
        <v>22.174666054793832</v>
      </c>
      <c r="N4" s="39">
        <v>0.81542308094159122</v>
      </c>
      <c r="O4" s="39">
        <v>199.60147839961118</v>
      </c>
      <c r="P4" s="39">
        <v>145.75482180343462</v>
      </c>
      <c r="Q4" s="39">
        <v>118.0754001314985</v>
      </c>
      <c r="R4" s="39">
        <v>102.36883214628728</v>
      </c>
      <c r="S4" s="39">
        <v>37.562434715738341</v>
      </c>
      <c r="T4" s="39">
        <v>24.285433993313205</v>
      </c>
      <c r="U4" s="39">
        <v>70.609511427337338</v>
      </c>
      <c r="V4" s="39">
        <v>70.423606264735383</v>
      </c>
      <c r="W4" s="39">
        <v>40.952947455806559</v>
      </c>
      <c r="X4" s="39">
        <v>93.029309299270437</v>
      </c>
      <c r="Y4" s="39">
        <v>144.44980788030531</v>
      </c>
      <c r="Z4" s="39">
        <v>252.06289023884565</v>
      </c>
      <c r="AA4" s="39"/>
      <c r="AB4" s="39">
        <v>189.38910491904875</v>
      </c>
      <c r="AC4" s="39">
        <v>134.14163977732761</v>
      </c>
      <c r="AD4" s="39">
        <v>99.056567865472445</v>
      </c>
      <c r="AE4" s="39">
        <v>92.391100943271894</v>
      </c>
      <c r="AF4" s="39">
        <v>36.524696577000171</v>
      </c>
      <c r="AG4" s="39">
        <v>11.283232616375846</v>
      </c>
      <c r="AH4" s="39">
        <v>34.756340614647833</v>
      </c>
      <c r="AI4" s="39">
        <v>24.882723026281603</v>
      </c>
      <c r="AJ4" s="39">
        <v>23.529802493487779</v>
      </c>
      <c r="AK4" s="39">
        <v>57.151917977125478</v>
      </c>
      <c r="AL4" s="39">
        <v>113.74208671206858</v>
      </c>
      <c r="AM4" s="34">
        <v>218.12132057375095</v>
      </c>
      <c r="AN4" s="34"/>
      <c r="AO4" s="34"/>
      <c r="AP4" s="34"/>
      <c r="AQ4" s="34"/>
      <c r="AR4" s="34"/>
      <c r="AS4" s="34"/>
      <c r="AT4" s="34"/>
      <c r="AU4" s="34"/>
      <c r="AV4" s="34"/>
      <c r="AW4" s="34"/>
      <c r="AX4" s="34"/>
      <c r="AY4" s="34"/>
      <c r="AZ4" s="34"/>
      <c r="BA4" s="34"/>
      <c r="BB4" s="34"/>
      <c r="BC4" s="34"/>
      <c r="BD4" s="34"/>
      <c r="BE4" s="34"/>
      <c r="BF4" s="34"/>
      <c r="BG4" s="34"/>
      <c r="BH4" s="34"/>
      <c r="BI4" s="34"/>
      <c r="BJ4" s="34"/>
      <c r="BK4" s="34"/>
      <c r="BL4" s="34"/>
      <c r="BM4" s="34"/>
      <c r="BN4" s="34"/>
      <c r="BO4" s="34"/>
      <c r="BP4" s="34"/>
      <c r="BQ4" s="34"/>
      <c r="BR4" s="34"/>
      <c r="BS4" s="34"/>
      <c r="BT4" s="34"/>
      <c r="BU4" s="34"/>
      <c r="BV4" s="34"/>
      <c r="BW4" s="34"/>
      <c r="BX4" s="34"/>
      <c r="BY4" s="34"/>
      <c r="BZ4" s="34"/>
      <c r="CA4" s="34"/>
      <c r="CB4" s="34"/>
      <c r="CC4" s="34"/>
      <c r="CD4" s="34"/>
      <c r="CE4" s="34"/>
      <c r="CF4" s="34"/>
      <c r="CG4" s="34"/>
      <c r="CH4" s="34"/>
      <c r="CI4" s="34"/>
      <c r="CJ4" s="34"/>
      <c r="CK4" s="34"/>
      <c r="CL4" s="34"/>
      <c r="CM4" s="34"/>
      <c r="CN4" s="34"/>
      <c r="CO4" s="34"/>
      <c r="CP4" s="34"/>
      <c r="CQ4" s="34"/>
      <c r="CR4" s="34"/>
      <c r="CS4" s="34"/>
      <c r="CT4" s="34"/>
      <c r="CU4" s="34"/>
      <c r="CV4" s="34"/>
      <c r="CW4" s="34"/>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row>
    <row r="5" spans="1:131">
      <c r="A5" s="9" t="s">
        <v>1174</v>
      </c>
      <c r="B5" s="9"/>
      <c r="C5" s="39">
        <v>3822.4043943278657</v>
      </c>
      <c r="D5" s="39">
        <v>8215.9389935462095</v>
      </c>
      <c r="E5" s="39">
        <v>1643.1877987092421</v>
      </c>
      <c r="F5" s="39">
        <v>9859.1267922554507</v>
      </c>
      <c r="G5" s="39">
        <v>9995.0470153139504</v>
      </c>
      <c r="H5" s="39">
        <v>3809.7303484812337</v>
      </c>
      <c r="I5" s="39">
        <v>22594.666024431568</v>
      </c>
      <c r="J5" s="39">
        <v>116.21716698687352</v>
      </c>
      <c r="K5" s="39">
        <v>157.31156480020979</v>
      </c>
      <c r="L5" s="410">
        <v>0.38116182371570045</v>
      </c>
      <c r="M5" s="39">
        <v>36.313283047495922</v>
      </c>
      <c r="N5" s="39">
        <v>1.3353386729037928</v>
      </c>
      <c r="O5" s="39">
        <v>326.86783033906278</v>
      </c>
      <c r="P5" s="39">
        <v>238.68842428593052</v>
      </c>
      <c r="Q5" s="39">
        <v>193.36054104835117</v>
      </c>
      <c r="R5" s="39">
        <v>167.63942995958192</v>
      </c>
      <c r="S5" s="39">
        <v>61.512327645214462</v>
      </c>
      <c r="T5" s="39">
        <v>39.769881375048328</v>
      </c>
      <c r="U5" s="39">
        <v>115.63029485857743</v>
      </c>
      <c r="V5" s="39">
        <v>115.32585614581963</v>
      </c>
      <c r="W5" s="39">
        <v>67.064638940546075</v>
      </c>
      <c r="X5" s="39">
        <v>152.34500632162332</v>
      </c>
      <c r="Y5" s="39">
        <v>236.55133054776923</v>
      </c>
      <c r="Z5" s="39">
        <v>412.77875645997869</v>
      </c>
      <c r="AA5" s="39"/>
      <c r="AB5" s="39">
        <v>310.14402453878404</v>
      </c>
      <c r="AC5" s="39">
        <v>219.6706512581853</v>
      </c>
      <c r="AD5" s="39">
        <v>162.21525851726443</v>
      </c>
      <c r="AE5" s="39">
        <v>151.29987488120452</v>
      </c>
      <c r="AF5" s="39">
        <v>59.812925333221855</v>
      </c>
      <c r="AG5" s="39">
        <v>18.477447131638602</v>
      </c>
      <c r="AH5" s="39">
        <v>56.917061628625262</v>
      </c>
      <c r="AI5" s="39">
        <v>40.748003239961719</v>
      </c>
      <c r="AJ5" s="39">
        <v>38.53245752997389</v>
      </c>
      <c r="AK5" s="39">
        <v>93.592109530865443</v>
      </c>
      <c r="AL5" s="39">
        <v>186.26429723821033</v>
      </c>
      <c r="AM5" s="34">
        <v>357.1959655724275</v>
      </c>
      <c r="AN5" s="34"/>
      <c r="AO5" s="34"/>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34"/>
      <c r="BX5" s="34"/>
      <c r="BY5" s="34"/>
      <c r="BZ5" s="34"/>
      <c r="CA5" s="34"/>
      <c r="CB5" s="34"/>
      <c r="CC5" s="34"/>
      <c r="CD5" s="34"/>
      <c r="CE5" s="34"/>
      <c r="CF5" s="34"/>
      <c r="CG5" s="34"/>
      <c r="CH5" s="34"/>
      <c r="CI5" s="34"/>
      <c r="CJ5" s="34"/>
      <c r="CK5" s="34"/>
      <c r="CL5" s="34"/>
      <c r="CM5" s="34"/>
      <c r="CN5" s="34"/>
      <c r="CO5" s="34"/>
      <c r="CP5" s="34"/>
      <c r="CQ5" s="34"/>
      <c r="CR5" s="34"/>
      <c r="CS5" s="34"/>
      <c r="CT5" s="34"/>
      <c r="CU5" s="34"/>
      <c r="CV5" s="34"/>
      <c r="CW5" s="34"/>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row>
    <row r="6" spans="1:131">
      <c r="A6" s="9" t="s">
        <v>1176</v>
      </c>
      <c r="B6" s="9"/>
      <c r="C6" s="39">
        <v>2554.7951225840852</v>
      </c>
      <c r="D6" s="39">
        <v>6063.3048792715572</v>
      </c>
      <c r="E6" s="39">
        <v>1212.6609758543116</v>
      </c>
      <c r="F6" s="39">
        <v>7275.965855125869</v>
      </c>
      <c r="G6" s="39">
        <v>7376.2740186005085</v>
      </c>
      <c r="H6" s="39">
        <v>2809.2080225365844</v>
      </c>
      <c r="I6" s="39">
        <v>24948.169161382466</v>
      </c>
      <c r="J6" s="39">
        <v>130.38856724717047</v>
      </c>
      <c r="K6" s="39">
        <v>169.78149233545739</v>
      </c>
      <c r="L6" s="410">
        <v>0.38084377226940003</v>
      </c>
      <c r="M6" s="39">
        <v>24.27084861884984</v>
      </c>
      <c r="N6" s="39">
        <v>0.89250544332643766</v>
      </c>
      <c r="O6" s="39">
        <v>218.46990860492693</v>
      </c>
      <c r="P6" s="39">
        <v>159.53309992209856</v>
      </c>
      <c r="Q6" s="39">
        <v>129.23712831211625</v>
      </c>
      <c r="R6" s="39">
        <v>112.04581039333651</v>
      </c>
      <c r="S6" s="39">
        <v>41.113230949605402</v>
      </c>
      <c r="T6" s="39">
        <v>26.581148534020361</v>
      </c>
      <c r="U6" s="39">
        <v>77.284264785280172</v>
      </c>
      <c r="V6" s="39">
        <v>77.080785912235356</v>
      </c>
      <c r="W6" s="39">
        <v>44.824250599287453</v>
      </c>
      <c r="X6" s="39">
        <v>101.82341765776562</v>
      </c>
      <c r="Y6" s="39">
        <v>158.10472236297338</v>
      </c>
      <c r="Z6" s="39">
        <v>275.8905246329158</v>
      </c>
      <c r="AA6" s="39"/>
      <c r="AB6" s="39">
        <v>207.2921542174013</v>
      </c>
      <c r="AC6" s="39">
        <v>146.82211783820574</v>
      </c>
      <c r="AD6" s="39">
        <v>108.42043606992472</v>
      </c>
      <c r="AE6" s="39">
        <v>101.12487913829253</v>
      </c>
      <c r="AF6" s="39">
        <v>39.97739489195817</v>
      </c>
      <c r="AG6" s="39">
        <v>12.349842387102097</v>
      </c>
      <c r="AH6" s="39">
        <v>38.041875332816232</v>
      </c>
      <c r="AI6" s="39">
        <v>27.234899605854029</v>
      </c>
      <c r="AJ6" s="39">
        <v>25.754086800663046</v>
      </c>
      <c r="AK6" s="39">
        <v>62.554518118655409</v>
      </c>
      <c r="AL6" s="39">
        <v>124.49418455092817</v>
      </c>
      <c r="AM6" s="34">
        <v>238.74044096572266</v>
      </c>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c r="BX6" s="34"/>
      <c r="BY6" s="34"/>
      <c r="BZ6" s="34"/>
      <c r="CA6" s="34"/>
      <c r="CB6" s="34"/>
      <c r="CC6" s="34"/>
      <c r="CD6" s="34"/>
      <c r="CE6" s="34"/>
      <c r="CF6" s="34"/>
      <c r="CG6" s="34"/>
      <c r="CH6" s="34"/>
      <c r="CI6" s="34"/>
      <c r="CJ6" s="34"/>
      <c r="CK6" s="34"/>
      <c r="CL6" s="34"/>
      <c r="CM6" s="34"/>
      <c r="CN6" s="34"/>
      <c r="CO6" s="34"/>
      <c r="CP6" s="34"/>
      <c r="CQ6" s="34"/>
      <c r="CR6" s="34"/>
      <c r="CS6" s="34"/>
      <c r="CT6" s="34"/>
      <c r="CU6" s="34"/>
      <c r="CV6" s="34"/>
      <c r="CW6" s="34"/>
      <c r="CX6" s="9"/>
      <c r="CY6" s="9"/>
      <c r="CZ6" s="9"/>
      <c r="DA6" s="9"/>
      <c r="DB6" s="9"/>
      <c r="DC6" s="9"/>
      <c r="DD6" s="9"/>
      <c r="DE6" s="9"/>
      <c r="DF6" s="9"/>
      <c r="DG6" s="9"/>
      <c r="DH6" s="9"/>
      <c r="DI6" s="9"/>
      <c r="DJ6" s="9"/>
      <c r="DK6" s="9"/>
      <c r="DL6" s="9"/>
      <c r="DM6" s="9"/>
      <c r="DN6" s="9"/>
      <c r="DO6" s="9"/>
      <c r="DP6" s="9"/>
      <c r="DQ6" s="9"/>
      <c r="DR6" s="9"/>
      <c r="DS6" s="9"/>
      <c r="DT6" s="9"/>
      <c r="DU6" s="9"/>
      <c r="DV6" s="9"/>
      <c r="DW6" s="9"/>
      <c r="DX6" s="9"/>
      <c r="DY6" s="9"/>
      <c r="DZ6" s="9"/>
      <c r="EA6" s="9"/>
    </row>
    <row r="7" spans="1:131">
      <c r="A7" s="9" t="s">
        <v>1175</v>
      </c>
      <c r="B7" s="9"/>
      <c r="C7" s="39">
        <v>3867.7113310152445</v>
      </c>
      <c r="D7" s="39">
        <v>9455.4012779609584</v>
      </c>
      <c r="E7" s="39">
        <v>1891.0802555921919</v>
      </c>
      <c r="F7" s="39">
        <v>11346.481533553149</v>
      </c>
      <c r="G7" s="39">
        <v>11502.906776220803</v>
      </c>
      <c r="H7" s="39">
        <v>3970.1969721727019</v>
      </c>
      <c r="I7" s="39">
        <v>25698.706477102864</v>
      </c>
      <c r="J7" s="39">
        <v>134.90785789283433</v>
      </c>
      <c r="K7" s="39">
        <v>181.55043025550398</v>
      </c>
      <c r="L7" s="410">
        <v>0.34514727880608637</v>
      </c>
      <c r="M7" s="39">
        <v>36.743704176768674</v>
      </c>
      <c r="N7" s="39">
        <v>1.3511664342990126</v>
      </c>
      <c r="O7" s="39">
        <v>330.74219279958334</v>
      </c>
      <c r="P7" s="39">
        <v>241.51759676783232</v>
      </c>
      <c r="Q7" s="39">
        <v>195.65244239822275</v>
      </c>
      <c r="R7" s="39">
        <v>169.62645913178511</v>
      </c>
      <c r="S7" s="39">
        <v>62.241432901123709</v>
      </c>
      <c r="T7" s="39">
        <v>40.241273543861674</v>
      </c>
      <c r="U7" s="39">
        <v>117.00086005991368</v>
      </c>
      <c r="V7" s="39">
        <v>116.69281283689345</v>
      </c>
      <c r="W7" s="39">
        <v>67.859555709412845</v>
      </c>
      <c r="X7" s="39">
        <v>154.15075078086852</v>
      </c>
      <c r="Y7" s="39">
        <v>239.35517207022741</v>
      </c>
      <c r="Z7" s="39">
        <v>417.67142061989307</v>
      </c>
      <c r="AA7" s="39"/>
      <c r="AB7" s="39">
        <v>313.82015982802739</v>
      </c>
      <c r="AC7" s="39">
        <v>222.27440618882494</v>
      </c>
      <c r="AD7" s="39">
        <v>164.13799501743028</v>
      </c>
      <c r="AE7" s="39">
        <v>153.09323140366541</v>
      </c>
      <c r="AF7" s="39">
        <v>60.521887583574156</v>
      </c>
      <c r="AG7" s="39">
        <v>18.696460203248662</v>
      </c>
      <c r="AH7" s="39">
        <v>57.591699223607733</v>
      </c>
      <c r="AI7" s="39">
        <v>41.230989081457089</v>
      </c>
      <c r="AJ7" s="39">
        <v>38.989182521267395</v>
      </c>
      <c r="AK7" s="39">
        <v>94.701456251805155</v>
      </c>
      <c r="AL7" s="39">
        <v>188.47208685215429</v>
      </c>
      <c r="AM7" s="34">
        <v>361.42980724056497</v>
      </c>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4"/>
      <c r="CK7" s="34"/>
      <c r="CL7" s="34"/>
      <c r="CM7" s="34"/>
      <c r="CN7" s="34"/>
      <c r="CO7" s="34"/>
      <c r="CP7" s="34"/>
      <c r="CQ7" s="34"/>
      <c r="CR7" s="34"/>
      <c r="CS7" s="34"/>
      <c r="CT7" s="34"/>
      <c r="CU7" s="34"/>
      <c r="CV7" s="34"/>
      <c r="CW7" s="34"/>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row>
    <row r="8" spans="1:131">
      <c r="A8" s="9"/>
      <c r="B8" s="9"/>
      <c r="C8" s="34"/>
      <c r="D8" s="34"/>
      <c r="E8" s="34"/>
      <c r="F8" s="34"/>
      <c r="G8" s="34"/>
      <c r="H8" s="34"/>
      <c r="I8" s="34"/>
      <c r="J8" s="34"/>
      <c r="K8" s="34"/>
      <c r="L8" s="34"/>
      <c r="M8" s="34"/>
      <c r="N8" s="34"/>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4"/>
      <c r="CK8" s="34"/>
      <c r="CL8" s="34"/>
      <c r="CM8" s="34"/>
      <c r="CN8" s="34"/>
      <c r="CO8" s="34"/>
      <c r="CP8" s="34"/>
      <c r="CQ8" s="34"/>
      <c r="CR8" s="34"/>
      <c r="CS8" s="34"/>
      <c r="CT8" s="34"/>
      <c r="CU8" s="34"/>
      <c r="CV8" s="34"/>
      <c r="CW8" s="34"/>
      <c r="CX8" s="9"/>
      <c r="CY8" s="9"/>
      <c r="CZ8" s="9"/>
      <c r="DA8" s="9"/>
      <c r="DB8" s="9"/>
      <c r="DC8" s="9"/>
      <c r="DD8" s="9"/>
      <c r="DE8" s="9"/>
      <c r="DF8" s="9"/>
      <c r="DG8" s="9"/>
      <c r="DH8" s="9"/>
      <c r="DI8" s="9"/>
      <c r="DJ8" s="9"/>
      <c r="DK8" s="9"/>
      <c r="DL8" s="9"/>
      <c r="DM8" s="9"/>
      <c r="DN8" s="9"/>
      <c r="DO8" s="9"/>
      <c r="DP8" s="9"/>
      <c r="DQ8" s="9"/>
      <c r="DR8" s="9"/>
      <c r="DS8" s="9"/>
      <c r="DT8" s="9"/>
      <c r="DU8" s="9"/>
      <c r="DV8" s="9"/>
      <c r="DW8" s="9"/>
      <c r="DX8" s="9"/>
      <c r="DY8" s="9"/>
      <c r="DZ8" s="9"/>
      <c r="EA8" s="9"/>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sheetPr codeName="Sheet5"/>
  <dimension ref="A1:EA108"/>
  <sheetViews>
    <sheetView workbookViewId="0">
      <selection activeCell="A22" sqref="A22:EA108"/>
    </sheetView>
  </sheetViews>
  <sheetFormatPr defaultRowHeight="12.75"/>
  <cols>
    <col min="1" max="1" width="71.42578125" bestFit="1" customWidth="1"/>
    <col min="2" max="2" width="18.7109375" customWidth="1"/>
    <col min="3" max="3" width="18" customWidth="1"/>
    <col min="7" max="7" width="26.5703125" customWidth="1"/>
    <col min="15" max="15" width="11.140625" customWidth="1"/>
  </cols>
  <sheetData>
    <row r="1" spans="1:131">
      <c r="A1" s="1" t="s">
        <v>0</v>
      </c>
      <c r="B1" s="2"/>
      <c r="C1" s="2"/>
      <c r="D1" s="2"/>
      <c r="E1" s="2"/>
      <c r="F1" s="2"/>
      <c r="G1" s="2"/>
      <c r="H1" s="3"/>
      <c r="I1" s="4"/>
      <c r="J1" s="4"/>
      <c r="K1" s="4"/>
      <c r="L1" s="4"/>
      <c r="M1" s="4"/>
      <c r="N1" s="5"/>
      <c r="O1" s="6"/>
      <c r="P1" s="5"/>
    </row>
    <row r="2" spans="1:131">
      <c r="A2" s="10" t="s">
        <v>1</v>
      </c>
      <c r="B2" s="3"/>
      <c r="C2" s="3"/>
      <c r="D2" s="3"/>
      <c r="E2" s="3"/>
      <c r="F2" s="3"/>
      <c r="G2" s="3"/>
      <c r="H2" s="3"/>
      <c r="I2" s="4"/>
      <c r="J2" s="4"/>
      <c r="K2" s="4"/>
      <c r="L2" s="4"/>
      <c r="M2" s="4"/>
      <c r="N2" s="5"/>
      <c r="O2" s="5"/>
      <c r="P2" s="5"/>
    </row>
    <row r="3" spans="1:131">
      <c r="A3" s="10" t="s">
        <v>2</v>
      </c>
      <c r="B3" s="9">
        <v>2012</v>
      </c>
      <c r="C3" s="10"/>
      <c r="D3" s="9"/>
      <c r="E3" s="9"/>
      <c r="F3" s="9"/>
      <c r="G3" s="9"/>
      <c r="H3" s="9"/>
      <c r="I3" s="9"/>
      <c r="J3" s="11"/>
      <c r="K3" s="12"/>
      <c r="L3" s="9"/>
      <c r="M3" s="9"/>
      <c r="N3" s="9"/>
      <c r="O3" s="9"/>
      <c r="P3" s="9"/>
    </row>
    <row r="4" spans="1:131">
      <c r="A4" s="9"/>
      <c r="B4" s="9"/>
      <c r="C4" s="9"/>
      <c r="D4" s="9"/>
      <c r="E4" s="9"/>
      <c r="F4" s="9"/>
      <c r="G4" s="9"/>
      <c r="H4" s="9"/>
      <c r="I4" s="9"/>
      <c r="J4" s="9"/>
      <c r="K4" s="9"/>
      <c r="L4" s="9"/>
      <c r="M4" s="9"/>
      <c r="N4" s="9"/>
      <c r="O4" s="9"/>
      <c r="P4" s="9"/>
    </row>
    <row r="5" spans="1:131">
      <c r="A5" s="13">
        <v>1</v>
      </c>
      <c r="B5" s="13">
        <v>2</v>
      </c>
      <c r="C5" s="13">
        <v>3</v>
      </c>
      <c r="D5" s="13">
        <v>4</v>
      </c>
      <c r="E5" s="13">
        <v>5</v>
      </c>
      <c r="F5" s="13">
        <v>6</v>
      </c>
      <c r="G5" s="13">
        <v>7</v>
      </c>
      <c r="H5" s="13">
        <v>8</v>
      </c>
      <c r="I5" s="13">
        <v>9</v>
      </c>
      <c r="J5" s="13">
        <v>10</v>
      </c>
      <c r="K5" s="13">
        <v>11</v>
      </c>
      <c r="L5" s="13">
        <v>12</v>
      </c>
      <c r="M5" s="13">
        <v>13</v>
      </c>
      <c r="N5" s="13">
        <v>14</v>
      </c>
      <c r="O5" s="13">
        <v>15</v>
      </c>
      <c r="P5" s="13">
        <v>16</v>
      </c>
    </row>
    <row r="6" spans="1:131">
      <c r="A6" s="14" t="s">
        <v>3</v>
      </c>
      <c r="B6" s="15"/>
      <c r="C6" s="15"/>
      <c r="D6" s="15"/>
      <c r="E6" s="15"/>
      <c r="F6" s="15"/>
      <c r="G6" s="16"/>
      <c r="H6" s="17"/>
      <c r="I6" s="613" t="s">
        <v>4</v>
      </c>
      <c r="J6" s="614"/>
      <c r="K6" s="614"/>
      <c r="L6" s="614"/>
      <c r="M6" s="614"/>
      <c r="N6" s="615"/>
      <c r="O6" s="616" t="s">
        <v>5</v>
      </c>
      <c r="P6" s="617"/>
      <c r="Q6" s="84" t="s">
        <v>161</v>
      </c>
      <c r="R6" s="618" t="s">
        <v>162</v>
      </c>
      <c r="S6" s="618"/>
      <c r="T6" s="618"/>
    </row>
    <row r="7" spans="1:131" ht="38.25">
      <c r="A7" s="23" t="s">
        <v>6</v>
      </c>
      <c r="B7" s="23" t="s">
        <v>7</v>
      </c>
      <c r="C7" s="23" t="s">
        <v>8</v>
      </c>
      <c r="D7" s="23" t="s">
        <v>9</v>
      </c>
      <c r="E7" s="23" t="s">
        <v>10</v>
      </c>
      <c r="F7" s="23" t="s">
        <v>11</v>
      </c>
      <c r="G7" s="23" t="s">
        <v>12</v>
      </c>
      <c r="H7" s="23" t="s">
        <v>13</v>
      </c>
      <c r="I7" s="23" t="s">
        <v>14</v>
      </c>
      <c r="J7" s="23" t="s">
        <v>15</v>
      </c>
      <c r="K7" s="23" t="s">
        <v>16</v>
      </c>
      <c r="L7" s="23" t="s">
        <v>17</v>
      </c>
      <c r="M7" s="23" t="s">
        <v>18</v>
      </c>
      <c r="N7" s="23" t="s">
        <v>19</v>
      </c>
      <c r="O7" s="24" t="s">
        <v>20</v>
      </c>
      <c r="P7" s="23" t="s">
        <v>12</v>
      </c>
      <c r="Q7" s="85" t="s">
        <v>163</v>
      </c>
      <c r="R7" s="86" t="s">
        <v>164</v>
      </c>
      <c r="S7" s="86" t="s">
        <v>165</v>
      </c>
      <c r="T7" s="86" t="s">
        <v>166</v>
      </c>
    </row>
    <row r="8" spans="1:131">
      <c r="A8" t="str">
        <f>Segmented!B118</f>
        <v xml:space="preserve">Ground Source Heat Pump Upgrade from Air Source Heat Pump - With Desuperheater - New House less than 4000 square feet </v>
      </c>
      <c r="B8" t="str">
        <f>Segmented!C118</f>
        <v>heat</v>
      </c>
      <c r="C8">
        <f>Segmented!D118</f>
        <v>569.66842729033488</v>
      </c>
      <c r="D8">
        <f>Segmented!E118</f>
        <v>20</v>
      </c>
      <c r="E8">
        <f>Segmented!F118</f>
        <v>46.141192690137672</v>
      </c>
      <c r="F8">
        <f>Segmented!G118</f>
        <v>0</v>
      </c>
      <c r="G8" t="s">
        <v>1172</v>
      </c>
      <c r="H8">
        <f>Raw!H8</f>
        <v>58.329107224533132</v>
      </c>
      <c r="I8">
        <f>Raw!I8</f>
        <v>0</v>
      </c>
      <c r="J8">
        <f>Raw!J8</f>
        <v>0</v>
      </c>
      <c r="K8">
        <f>Raw!K8</f>
        <v>0</v>
      </c>
      <c r="L8">
        <f>Raw!L8</f>
        <v>0</v>
      </c>
      <c r="M8">
        <f>Raw!M8</f>
        <v>0</v>
      </c>
      <c r="N8">
        <f>Raw!N8</f>
        <v>0</v>
      </c>
      <c r="O8">
        <f>Raw!O8</f>
        <v>0</v>
      </c>
      <c r="Q8" t="s">
        <v>1173</v>
      </c>
    </row>
    <row r="9" spans="1:131">
      <c r="A9" t="str">
        <f>Segmented!B119</f>
        <v xml:space="preserve">Ground Source Heat Pump Upgrade from Air Source Heat Pump - With Desuperheater - New House less than 4000 square feet </v>
      </c>
      <c r="B9" t="str">
        <f>Segmented!C119</f>
        <v>cool</v>
      </c>
      <c r="C9">
        <f>Segmented!D119</f>
        <v>74.529988350894186</v>
      </c>
      <c r="D9">
        <f>Segmented!E119</f>
        <v>20</v>
      </c>
      <c r="E9">
        <f>Segmented!F119</f>
        <v>0</v>
      </c>
      <c r="F9">
        <f>Segmented!G119</f>
        <v>0</v>
      </c>
      <c r="G9" t="s">
        <v>1172</v>
      </c>
      <c r="H9">
        <f>Raw!H9</f>
        <v>0</v>
      </c>
      <c r="I9">
        <f>Raw!I9</f>
        <v>0</v>
      </c>
      <c r="J9">
        <f>Raw!J9</f>
        <v>0</v>
      </c>
      <c r="K9">
        <f>Raw!K9</f>
        <v>0</v>
      </c>
      <c r="L9">
        <f>Raw!L9</f>
        <v>0</v>
      </c>
      <c r="M9">
        <f>Raw!M9</f>
        <v>0</v>
      </c>
      <c r="N9">
        <f>Raw!N9</f>
        <v>0</v>
      </c>
      <c r="O9">
        <f>Raw!O9</f>
        <v>0</v>
      </c>
      <c r="Q9" t="s">
        <v>1173</v>
      </c>
    </row>
    <row r="10" spans="1:131">
      <c r="A10" t="str">
        <f>Segmented!B120</f>
        <v xml:space="preserve">Ground Source Heat Pump Upgrade from Air Source Heat Pump - With Desuperheater - New House less than 4000 square feet </v>
      </c>
      <c r="B10" t="str">
        <f>Segmented!C120</f>
        <v>dhw</v>
      </c>
      <c r="C10">
        <f>Segmented!D120</f>
        <v>1522.7604340357743</v>
      </c>
      <c r="D10">
        <f>Segmented!E120</f>
        <v>20</v>
      </c>
      <c r="E10">
        <f>Segmented!F120</f>
        <v>5522.810139946755</v>
      </c>
      <c r="F10">
        <f>Segmented!G120</f>
        <v>0</v>
      </c>
      <c r="G10" t="s">
        <v>1172</v>
      </c>
      <c r="H10">
        <f>Raw!H10</f>
        <v>0</v>
      </c>
      <c r="I10">
        <f>Raw!I10</f>
        <v>0</v>
      </c>
      <c r="J10">
        <f>Raw!J10</f>
        <v>0</v>
      </c>
      <c r="K10">
        <f>Raw!K10</f>
        <v>0</v>
      </c>
      <c r="L10">
        <f>Raw!L10</f>
        <v>0</v>
      </c>
      <c r="M10">
        <f>Raw!M10</f>
        <v>0</v>
      </c>
      <c r="N10">
        <f>Raw!N10</f>
        <v>0</v>
      </c>
      <c r="O10">
        <f>Raw!O10</f>
        <v>0</v>
      </c>
      <c r="Q10" t="s">
        <v>1173</v>
      </c>
    </row>
    <row r="11" spans="1:131">
      <c r="A11" t="str">
        <f>Segmented!B121</f>
        <v xml:space="preserve">Ground Source Heat Pump Upgrade from Air Source Heat Pump - With Desuperheater - New House 4000 square feet or greater </v>
      </c>
      <c r="B11" t="str">
        <f>Segmented!C121</f>
        <v>heat</v>
      </c>
      <c r="C11">
        <f>Segmented!D121</f>
        <v>1577.5789753112574</v>
      </c>
      <c r="D11">
        <f>Segmented!E121</f>
        <v>20</v>
      </c>
      <c r="E11">
        <f>Segmented!F121</f>
        <v>88.829797572187445</v>
      </c>
      <c r="F11">
        <f>Segmented!G121</f>
        <v>0</v>
      </c>
      <c r="G11" t="s">
        <v>1172</v>
      </c>
      <c r="H11">
        <f>Raw!H11</f>
        <v>58.329107224533132</v>
      </c>
      <c r="I11">
        <f>Raw!I11</f>
        <v>0</v>
      </c>
      <c r="J11">
        <f>Raw!J11</f>
        <v>0</v>
      </c>
      <c r="K11">
        <f>Raw!K11</f>
        <v>0</v>
      </c>
      <c r="L11">
        <f>Raw!L11</f>
        <v>0</v>
      </c>
      <c r="M11">
        <f>Raw!M11</f>
        <v>0</v>
      </c>
      <c r="N11">
        <f>Raw!N11</f>
        <v>0</v>
      </c>
      <c r="O11">
        <f>Raw!O11</f>
        <v>0</v>
      </c>
      <c r="Q11" t="s">
        <v>1173</v>
      </c>
    </row>
    <row r="12" spans="1:131">
      <c r="A12" t="str">
        <f>Segmented!B122</f>
        <v xml:space="preserve">Ground Source Heat Pump Upgrade from Air Source Heat Pump - With Desuperheater - New House 4000 square feet or greater </v>
      </c>
      <c r="B12" t="str">
        <f>Segmented!C122</f>
        <v>cool</v>
      </c>
      <c r="C12">
        <f>Segmented!D122</f>
        <v>119.25836456936337</v>
      </c>
      <c r="D12">
        <f>Segmented!E122</f>
        <v>20</v>
      </c>
      <c r="E12">
        <f>Segmented!F122</f>
        <v>0</v>
      </c>
      <c r="F12">
        <f>Segmented!G122</f>
        <v>0</v>
      </c>
      <c r="G12" t="s">
        <v>1172</v>
      </c>
      <c r="H12">
        <f>Raw!H12</f>
        <v>0</v>
      </c>
      <c r="I12">
        <f>Raw!I12</f>
        <v>0</v>
      </c>
      <c r="J12">
        <f>Raw!J12</f>
        <v>0</v>
      </c>
      <c r="K12">
        <f>Raw!K12</f>
        <v>0</v>
      </c>
      <c r="L12">
        <f>Raw!L12</f>
        <v>0</v>
      </c>
      <c r="M12">
        <f>Raw!M12</f>
        <v>0</v>
      </c>
      <c r="N12">
        <f>Raw!N12</f>
        <v>0</v>
      </c>
      <c r="O12">
        <f>Raw!O12</f>
        <v>0</v>
      </c>
      <c r="Q12" t="s">
        <v>1173</v>
      </c>
    </row>
    <row r="13" spans="1:131">
      <c r="A13" t="str">
        <f>Segmented!B123</f>
        <v xml:space="preserve">Ground Source Heat Pump Upgrade from Air Source Heat Pump - With Desuperheater - New House 4000 square feet or greater </v>
      </c>
      <c r="B13" t="str">
        <f>Segmented!C123</f>
        <v>dhw</v>
      </c>
      <c r="C13">
        <f>Segmented!D123</f>
        <v>1851.7793502717759</v>
      </c>
      <c r="D13">
        <f>Segmented!E123</f>
        <v>20</v>
      </c>
      <c r="E13">
        <f>Segmented!F123</f>
        <v>8127.1091959740215</v>
      </c>
      <c r="F13">
        <f>Segmented!G123</f>
        <v>0</v>
      </c>
      <c r="G13" t="s">
        <v>1172</v>
      </c>
      <c r="H13">
        <f>Raw!H13</f>
        <v>0</v>
      </c>
      <c r="I13">
        <f>Raw!I13</f>
        <v>0</v>
      </c>
      <c r="J13">
        <f>Raw!J13</f>
        <v>0</v>
      </c>
      <c r="K13">
        <f>Raw!K13</f>
        <v>0</v>
      </c>
      <c r="L13">
        <f>Raw!L13</f>
        <v>0</v>
      </c>
      <c r="M13">
        <f>Raw!M13</f>
        <v>0</v>
      </c>
      <c r="N13">
        <f>Raw!N13</f>
        <v>0</v>
      </c>
      <c r="O13">
        <f>Raw!O13</f>
        <v>0</v>
      </c>
      <c r="Q13" t="s">
        <v>1173</v>
      </c>
    </row>
    <row r="14" spans="1:131">
      <c r="A14" t="str">
        <f>Segmented!B124</f>
        <v xml:space="preserve">Ground Source Heat Pump Upgrade from Air Source Heat Pump - With Desuperheater - Existing House less than 4000 square feet </v>
      </c>
      <c r="B14" t="str">
        <f>Segmented!C124</f>
        <v>heat</v>
      </c>
      <c r="C14">
        <f>Segmented!D124</f>
        <v>681.78940700394162</v>
      </c>
      <c r="D14">
        <f>Segmented!E124</f>
        <v>20</v>
      </c>
      <c r="E14">
        <f>Segmented!F124</f>
        <v>51.785953362720107</v>
      </c>
      <c r="F14">
        <f>Segmented!G124</f>
        <v>0</v>
      </c>
      <c r="G14" t="s">
        <v>1172</v>
      </c>
      <c r="H14">
        <f>Raw!H14</f>
        <v>58.329107224533132</v>
      </c>
      <c r="I14">
        <f>Raw!I14</f>
        <v>0</v>
      </c>
      <c r="J14">
        <f>Raw!J14</f>
        <v>0</v>
      </c>
      <c r="K14">
        <f>Raw!K14</f>
        <v>0</v>
      </c>
      <c r="L14">
        <f>Raw!L14</f>
        <v>0</v>
      </c>
      <c r="M14">
        <f>Raw!M14</f>
        <v>0</v>
      </c>
      <c r="N14">
        <f>Raw!N14</f>
        <v>0</v>
      </c>
      <c r="O14">
        <f>Raw!O14</f>
        <v>0</v>
      </c>
      <c r="Q14" t="s">
        <v>1173</v>
      </c>
    </row>
    <row r="15" spans="1:131">
      <c r="A15" t="str">
        <f>Segmented!B125</f>
        <v xml:space="preserve">Ground Source Heat Pump Upgrade from Air Source Heat Pump - With Desuperheater - Existing House less than 4000 square feet </v>
      </c>
      <c r="B15" t="str">
        <f>Segmented!C125</f>
        <v>cool</v>
      </c>
      <c r="C15">
        <f>Segmented!D125</f>
        <v>78.556140210834883</v>
      </c>
      <c r="D15">
        <f>Segmented!E125</f>
        <v>20</v>
      </c>
      <c r="E15">
        <f>Segmented!F125</f>
        <v>0</v>
      </c>
      <c r="F15">
        <f>Segmented!G125</f>
        <v>0</v>
      </c>
      <c r="G15" t="s">
        <v>1172</v>
      </c>
      <c r="H15">
        <f>Raw!H15</f>
        <v>0</v>
      </c>
      <c r="I15">
        <f>Raw!I15</f>
        <v>0</v>
      </c>
      <c r="J15">
        <f>Raw!J15</f>
        <v>0</v>
      </c>
      <c r="K15">
        <f>Raw!K15</f>
        <v>0</v>
      </c>
      <c r="L15">
        <f>Raw!L15</f>
        <v>0</v>
      </c>
      <c r="M15">
        <f>Raw!M15</f>
        <v>0</v>
      </c>
      <c r="N15">
        <f>Raw!N15</f>
        <v>0</v>
      </c>
      <c r="O15">
        <f>Raw!O15</f>
        <v>0</v>
      </c>
      <c r="P15" s="9"/>
      <c r="Q15" t="s">
        <v>1173</v>
      </c>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c r="CM15" s="9"/>
      <c r="CN15" s="9"/>
      <c r="CO15" s="9"/>
      <c r="CP15" s="9"/>
      <c r="CQ15" s="9"/>
      <c r="CR15" s="9"/>
      <c r="CS15" s="9"/>
      <c r="CT15" s="9"/>
      <c r="CU15" s="9"/>
      <c r="CV15" s="9"/>
      <c r="CW15" s="9"/>
      <c r="CX15" s="9"/>
      <c r="CY15" s="9"/>
      <c r="CZ15" s="9"/>
      <c r="DA15" s="9"/>
      <c r="DB15" s="9"/>
      <c r="DC15" s="9"/>
      <c r="DD15" s="9"/>
      <c r="DE15" s="9"/>
      <c r="DF15" s="9"/>
      <c r="DG15" s="9"/>
      <c r="DH15" s="9"/>
      <c r="DI15" s="9"/>
      <c r="DJ15" s="9"/>
      <c r="DK15" s="9"/>
      <c r="DL15" s="9"/>
      <c r="DM15" s="9"/>
      <c r="DN15" s="9"/>
      <c r="DO15" s="9"/>
      <c r="DP15" s="9"/>
      <c r="DQ15" s="9"/>
      <c r="DR15" s="9"/>
      <c r="DS15" s="9"/>
      <c r="DT15" s="9"/>
      <c r="DU15" s="9"/>
      <c r="DV15" s="9"/>
      <c r="DW15" s="9"/>
      <c r="DX15" s="9"/>
      <c r="DY15" s="9"/>
      <c r="DZ15" s="9"/>
      <c r="EA15" s="9"/>
    </row>
    <row r="16" spans="1:131">
      <c r="A16" t="str">
        <f>Segmented!B126</f>
        <v xml:space="preserve">Ground Source Heat Pump Upgrade from Air Source Heat Pump - With Desuperheater - Existing House less than 4000 square feet </v>
      </c>
      <c r="B16" t="str">
        <f>Segmented!C126</f>
        <v>dhw</v>
      </c>
      <c r="C16">
        <f>Segmented!D126</f>
        <v>1611.4570347870144</v>
      </c>
      <c r="D16">
        <f>Segmented!E126</f>
        <v>20</v>
      </c>
      <c r="E16">
        <f>Segmented!F126</f>
        <v>6011.5189259088374</v>
      </c>
      <c r="F16">
        <f>Segmented!G126</f>
        <v>0</v>
      </c>
      <c r="G16" t="s">
        <v>1172</v>
      </c>
      <c r="H16">
        <f>Raw!H16</f>
        <v>0</v>
      </c>
      <c r="I16">
        <f>Raw!I16</f>
        <v>0</v>
      </c>
      <c r="J16">
        <f>Raw!J16</f>
        <v>0</v>
      </c>
      <c r="K16">
        <f>Raw!K16</f>
        <v>0</v>
      </c>
      <c r="L16">
        <f>Raw!L16</f>
        <v>0</v>
      </c>
      <c r="M16">
        <f>Raw!M16</f>
        <v>0</v>
      </c>
      <c r="N16">
        <f>Raw!N16</f>
        <v>0</v>
      </c>
      <c r="O16">
        <f>Raw!O16</f>
        <v>0</v>
      </c>
      <c r="Q16" t="s">
        <v>1173</v>
      </c>
    </row>
    <row r="17" spans="1:131">
      <c r="A17" t="str">
        <f>Segmented!B127</f>
        <v xml:space="preserve">Ground Source Heat Pump Upgrade from Air Source Heat Pump - With Desuperheater - Existing House 4000 square feet or greater </v>
      </c>
      <c r="B17" t="str">
        <f>Segmented!C127</f>
        <v>heat</v>
      </c>
      <c r="C17">
        <f>Segmented!D127</f>
        <v>1672.5531951567405</v>
      </c>
      <c r="D17">
        <f>Segmented!E127</f>
        <v>20</v>
      </c>
      <c r="E17">
        <f>Segmented!F127</f>
        <v>92.798871937568435</v>
      </c>
      <c r="F17">
        <f>Segmented!G127</f>
        <v>0</v>
      </c>
      <c r="G17" t="s">
        <v>1172</v>
      </c>
      <c r="H17">
        <f>Raw!H17</f>
        <v>67.50518697184954</v>
      </c>
      <c r="I17">
        <f>Raw!I17</f>
        <v>0</v>
      </c>
      <c r="J17">
        <f>Raw!J17</f>
        <v>0</v>
      </c>
      <c r="K17">
        <f>Raw!K17</f>
        <v>0</v>
      </c>
      <c r="L17">
        <f>Raw!L17</f>
        <v>0</v>
      </c>
      <c r="M17">
        <f>Raw!M17</f>
        <v>0</v>
      </c>
      <c r="N17">
        <f>Raw!N17</f>
        <v>0</v>
      </c>
      <c r="O17">
        <f>Raw!O17</f>
        <v>0</v>
      </c>
      <c r="Q17" t="s">
        <v>1173</v>
      </c>
    </row>
    <row r="18" spans="1:131">
      <c r="A18" t="str">
        <f>Segmented!B128</f>
        <v xml:space="preserve">Ground Source Heat Pump Upgrade from Air Source Heat Pump - With Desuperheater - Existing House 4000 square feet or greater </v>
      </c>
      <c r="B18" t="str">
        <f>Segmented!C128</f>
        <v>cool</v>
      </c>
      <c r="C18">
        <f>Segmented!D128</f>
        <v>125.28860455388956</v>
      </c>
      <c r="D18">
        <f>Segmented!E128</f>
        <v>20</v>
      </c>
      <c r="E18">
        <f>Segmented!F128</f>
        <v>0</v>
      </c>
      <c r="F18">
        <f>Segmented!G128</f>
        <v>0</v>
      </c>
      <c r="G18" t="s">
        <v>1172</v>
      </c>
      <c r="H18">
        <f>Raw!H18</f>
        <v>0</v>
      </c>
      <c r="I18">
        <f>Raw!I18</f>
        <v>0</v>
      </c>
      <c r="J18">
        <f>Raw!J18</f>
        <v>0</v>
      </c>
      <c r="K18">
        <f>Raw!K18</f>
        <v>0</v>
      </c>
      <c r="L18">
        <f>Raw!L18</f>
        <v>0</v>
      </c>
      <c r="M18">
        <f>Raw!M18</f>
        <v>0</v>
      </c>
      <c r="N18">
        <f>Raw!N18</f>
        <v>0</v>
      </c>
      <c r="O18">
        <f>Raw!O18</f>
        <v>0</v>
      </c>
      <c r="Q18" t="s">
        <v>1173</v>
      </c>
    </row>
    <row r="19" spans="1:131">
      <c r="A19" t="str">
        <f>Segmented!B129</f>
        <v xml:space="preserve">Ground Source Heat Pump Upgrade from Air Source Heat Pump - With Desuperheater - Existing House 4000 square feet or greater </v>
      </c>
      <c r="B19" t="str">
        <f>Segmented!C129</f>
        <v>dhw</v>
      </c>
      <c r="C19">
        <f>Segmented!D129</f>
        <v>1792.836623090225</v>
      </c>
      <c r="D19">
        <f>Segmented!E129</f>
        <v>20</v>
      </c>
      <c r="E19">
        <f>Segmented!F129</f>
        <v>9362.6024060233904</v>
      </c>
      <c r="F19">
        <f>Segmented!G129</f>
        <v>0</v>
      </c>
      <c r="G19" t="s">
        <v>1172</v>
      </c>
      <c r="H19">
        <f>Raw!H19</f>
        <v>0</v>
      </c>
      <c r="I19">
        <f>Raw!I19</f>
        <v>0</v>
      </c>
      <c r="J19">
        <f>Raw!J19</f>
        <v>0</v>
      </c>
      <c r="K19">
        <f>Raw!K19</f>
        <v>0</v>
      </c>
      <c r="L19">
        <f>Raw!L19</f>
        <v>0</v>
      </c>
      <c r="M19">
        <f>Raw!M19</f>
        <v>0</v>
      </c>
      <c r="N19">
        <f>Raw!N19</f>
        <v>0</v>
      </c>
      <c r="O19">
        <f>Raw!O19</f>
        <v>0</v>
      </c>
      <c r="Q19" t="s">
        <v>1173</v>
      </c>
    </row>
    <row r="22" spans="1:131">
      <c r="A22" s="9"/>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row>
    <row r="23" spans="1:131">
      <c r="A23" s="411" t="s">
        <v>1178</v>
      </c>
      <c r="B23" s="412"/>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c r="CG23" s="9"/>
      <c r="CH23" s="9"/>
      <c r="CI23" s="9"/>
      <c r="CJ23" s="9"/>
      <c r="CK23" s="9"/>
      <c r="CL23" s="9"/>
      <c r="CM23" s="9"/>
      <c r="CN23" s="9"/>
      <c r="CO23" s="9"/>
      <c r="CP23" s="9"/>
      <c r="CQ23" s="9"/>
      <c r="CR23" s="9"/>
      <c r="CS23" s="9"/>
      <c r="CT23" s="9"/>
      <c r="CU23" s="9"/>
      <c r="CV23" s="9"/>
      <c r="CW23" s="9"/>
      <c r="CX23" s="9"/>
      <c r="CY23" s="9"/>
      <c r="CZ23" s="9"/>
      <c r="DA23" s="9"/>
      <c r="DB23" s="9"/>
      <c r="DC23" s="9"/>
      <c r="DD23" s="9"/>
      <c r="DE23" s="9"/>
      <c r="DF23" s="9"/>
      <c r="DG23" s="9"/>
      <c r="DH23" s="9"/>
      <c r="DI23" s="9"/>
      <c r="DJ23" s="9"/>
      <c r="DK23" s="9"/>
      <c r="DL23" s="9"/>
      <c r="DM23" s="9"/>
      <c r="DN23" s="9"/>
      <c r="DO23" s="9"/>
      <c r="DP23" s="9"/>
      <c r="DQ23" s="9"/>
      <c r="DR23" s="9"/>
      <c r="DS23" s="9"/>
      <c r="DT23" s="9"/>
      <c r="DU23" s="9"/>
      <c r="DV23" s="9"/>
      <c r="DW23" s="9"/>
      <c r="DX23" s="9"/>
      <c r="DY23" s="9"/>
      <c r="DZ23" s="9"/>
      <c r="EA23" s="9"/>
    </row>
    <row r="24" spans="1:131">
      <c r="A24" s="9" t="s">
        <v>1179</v>
      </c>
      <c r="B24" s="9" t="s">
        <v>1180</v>
      </c>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c r="CN24" s="9"/>
      <c r="CO24" s="9"/>
      <c r="CP24" s="9"/>
      <c r="CQ24" s="9"/>
      <c r="CR24" s="9"/>
      <c r="CS24" s="9"/>
      <c r="CT24" s="9"/>
      <c r="CU24" s="9"/>
      <c r="CV24" s="9"/>
      <c r="CW24" s="9"/>
      <c r="CX24" s="9"/>
      <c r="CY24" s="9"/>
      <c r="CZ24" s="9"/>
      <c r="DA24" s="9"/>
      <c r="DB24" s="9"/>
      <c r="DC24" s="9"/>
      <c r="DD24" s="9"/>
      <c r="DE24" s="9"/>
      <c r="DF24" s="9"/>
      <c r="DG24" s="9"/>
      <c r="DH24" s="9"/>
      <c r="DI24" s="9"/>
      <c r="DJ24" s="9"/>
      <c r="DK24" s="9"/>
      <c r="DL24" s="9"/>
      <c r="DM24" s="9"/>
      <c r="DN24" s="9"/>
      <c r="DO24" s="9"/>
      <c r="DP24" s="9"/>
      <c r="DQ24" s="9"/>
      <c r="DR24" s="9"/>
      <c r="DS24" s="9"/>
      <c r="DT24" s="9"/>
      <c r="DU24" s="9"/>
      <c r="DV24" s="9"/>
      <c r="DW24" s="9"/>
      <c r="DX24" s="9"/>
      <c r="DY24" s="9"/>
      <c r="DZ24" s="9"/>
      <c r="EA24" s="9"/>
    </row>
    <row r="25" spans="1:131">
      <c r="A25" s="9" t="s">
        <v>1181</v>
      </c>
      <c r="B25" s="9" t="s">
        <v>1904</v>
      </c>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9"/>
      <c r="CF25" s="9"/>
      <c r="CG25" s="9"/>
      <c r="CH25" s="9"/>
      <c r="CI25" s="9"/>
      <c r="CJ25" s="9"/>
      <c r="CK25" s="9"/>
      <c r="CL25" s="9"/>
      <c r="CM25" s="9"/>
      <c r="CN25" s="9"/>
      <c r="CO25" s="9"/>
      <c r="CP25" s="9"/>
      <c r="CQ25" s="9"/>
      <c r="CR25" s="9"/>
      <c r="CS25" s="9"/>
      <c r="CT25" s="9"/>
      <c r="CU25" s="9"/>
      <c r="CV25" s="9"/>
      <c r="CW25" s="9"/>
      <c r="CX25" s="9"/>
      <c r="CY25" s="9"/>
      <c r="CZ25" s="9"/>
      <c r="DA25" s="9"/>
      <c r="DB25" s="9"/>
      <c r="DC25" s="9"/>
      <c r="DD25" s="9"/>
      <c r="DE25" s="9"/>
      <c r="DF25" s="9"/>
      <c r="DG25" s="9"/>
      <c r="DH25" s="9"/>
      <c r="DI25" s="9"/>
      <c r="DJ25" s="9"/>
      <c r="DK25" s="9"/>
      <c r="DL25" s="9"/>
      <c r="DM25" s="9"/>
      <c r="DN25" s="9"/>
      <c r="DO25" s="9"/>
      <c r="DP25" s="9"/>
      <c r="DQ25" s="9"/>
      <c r="DR25" s="9"/>
      <c r="DS25" s="9"/>
      <c r="DT25" s="9"/>
      <c r="DU25" s="9"/>
      <c r="DV25" s="9"/>
      <c r="DW25" s="9"/>
      <c r="DX25" s="9"/>
      <c r="DY25" s="9"/>
      <c r="DZ25" s="9"/>
      <c r="EA25" s="9"/>
    </row>
    <row r="26" spans="1:131">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9"/>
      <c r="CF26" s="9"/>
      <c r="CG26" s="9"/>
      <c r="CH26" s="9"/>
      <c r="CI26" s="9"/>
      <c r="CJ26" s="9"/>
      <c r="CK26" s="9"/>
      <c r="CL26" s="9"/>
      <c r="CM26" s="9"/>
      <c r="CN26" s="9"/>
      <c r="CO26" s="9"/>
      <c r="CP26" s="9"/>
      <c r="CQ26" s="9"/>
      <c r="CR26" s="9"/>
      <c r="CS26" s="9"/>
      <c r="CT26" s="9"/>
      <c r="CU26" s="9"/>
      <c r="CV26" s="9"/>
      <c r="CW26" s="9"/>
      <c r="CX26" s="9"/>
      <c r="CY26" s="9"/>
      <c r="CZ26" s="9"/>
      <c r="DA26" s="9"/>
      <c r="DB26" s="9"/>
      <c r="DC26" s="9"/>
      <c r="DD26" s="9"/>
      <c r="DE26" s="9"/>
      <c r="DF26" s="9"/>
      <c r="DG26" s="9"/>
      <c r="DH26" s="9"/>
      <c r="DI26" s="9"/>
      <c r="DJ26" s="9"/>
      <c r="DK26" s="9"/>
      <c r="DL26" s="9"/>
      <c r="DM26" s="9"/>
      <c r="DN26" s="9"/>
      <c r="DO26" s="9"/>
      <c r="DP26" s="9"/>
      <c r="DQ26" s="9"/>
      <c r="DR26" s="9"/>
      <c r="DS26" s="9"/>
      <c r="DT26" s="9"/>
      <c r="DU26" s="9"/>
      <c r="DV26" s="9"/>
      <c r="DW26" s="9"/>
      <c r="DX26" s="9"/>
      <c r="DY26" s="9"/>
      <c r="DZ26" s="9"/>
      <c r="EA26" s="9"/>
    </row>
    <row r="27" spans="1:131" ht="13.5" thickBot="1">
      <c r="A27" s="32" t="s">
        <v>1182</v>
      </c>
      <c r="B27" s="413"/>
      <c r="C27" s="413"/>
      <c r="D27" s="413"/>
      <c r="E27" s="413"/>
      <c r="F27" s="413"/>
      <c r="G27" s="413"/>
      <c r="H27" s="413"/>
      <c r="I27" s="413"/>
      <c r="J27" s="413"/>
      <c r="K27" s="413"/>
      <c r="L27" s="413"/>
      <c r="M27" s="413"/>
      <c r="N27" s="413"/>
      <c r="O27" s="413"/>
      <c r="P27" s="413"/>
      <c r="Q27" s="413"/>
      <c r="R27" s="413"/>
      <c r="S27" s="413"/>
      <c r="T27" s="413"/>
      <c r="U27" s="413"/>
      <c r="V27" s="413"/>
      <c r="W27" s="413"/>
      <c r="X27" s="413"/>
      <c r="Y27" s="413"/>
      <c r="Z27" s="413"/>
      <c r="AA27" s="413"/>
      <c r="AB27" s="413"/>
      <c r="AC27" s="413"/>
      <c r="AD27" s="413"/>
      <c r="AE27" s="413"/>
      <c r="AF27" s="413"/>
      <c r="AG27" s="413"/>
      <c r="AH27" s="413"/>
      <c r="AI27" s="33"/>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c r="CI27" s="9"/>
      <c r="CJ27" s="9"/>
      <c r="CK27" s="9"/>
      <c r="CL27" s="9"/>
      <c r="CM27" s="9"/>
      <c r="CN27" s="9"/>
      <c r="CO27" s="9"/>
      <c r="CP27" s="9"/>
      <c r="CQ27" s="9"/>
      <c r="CR27" s="9"/>
      <c r="CS27" s="9"/>
      <c r="CT27" s="9"/>
      <c r="CU27" s="9"/>
      <c r="CV27" s="9"/>
      <c r="CW27" s="9"/>
      <c r="CX27" s="9"/>
      <c r="CY27" s="9"/>
      <c r="CZ27" s="9"/>
      <c r="DA27" s="9"/>
      <c r="DB27" s="9"/>
      <c r="DC27" s="9"/>
      <c r="DD27" s="9"/>
      <c r="DE27" s="9"/>
      <c r="DF27" s="9"/>
      <c r="DG27" s="9"/>
      <c r="DH27" s="9"/>
      <c r="DI27" s="9"/>
      <c r="DJ27" s="9"/>
      <c r="DK27" s="9"/>
      <c r="DL27" s="9"/>
      <c r="DM27" s="9"/>
      <c r="DN27" s="9"/>
      <c r="DO27" s="9"/>
      <c r="DP27" s="9"/>
      <c r="DQ27" s="9"/>
      <c r="DR27" s="9"/>
      <c r="DS27" s="9"/>
      <c r="DT27" s="9"/>
      <c r="DU27" s="9"/>
      <c r="DV27" s="9"/>
      <c r="DW27" s="9"/>
      <c r="DX27" s="9"/>
      <c r="DY27" s="9"/>
      <c r="DZ27" s="9"/>
      <c r="EA27" s="9"/>
    </row>
    <row r="28" spans="1:131">
      <c r="A28" s="9"/>
      <c r="B28" s="414" t="s">
        <v>1183</v>
      </c>
      <c r="C28" s="415"/>
      <c r="D28" s="415" t="s">
        <v>1183</v>
      </c>
      <c r="E28" s="416"/>
      <c r="F28" s="9"/>
      <c r="G28" s="414" t="s">
        <v>1184</v>
      </c>
      <c r="H28" s="415"/>
      <c r="I28" s="415"/>
      <c r="J28" s="415"/>
      <c r="K28" s="415"/>
      <c r="L28" s="415"/>
      <c r="M28" s="415"/>
      <c r="N28" s="415"/>
      <c r="O28" s="416"/>
      <c r="P28" s="9"/>
      <c r="Q28" s="414" t="s">
        <v>1185</v>
      </c>
      <c r="R28" s="415"/>
      <c r="S28" s="415"/>
      <c r="T28" s="415"/>
      <c r="U28" s="416"/>
      <c r="V28" s="9"/>
      <c r="W28" s="414" t="s">
        <v>1186</v>
      </c>
      <c r="X28" s="416"/>
      <c r="Y28" s="9"/>
      <c r="Z28" s="414" t="s">
        <v>1187</v>
      </c>
      <c r="AA28" s="415"/>
      <c r="AB28" s="416"/>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c r="CJ28" s="9"/>
      <c r="CK28" s="9"/>
      <c r="CL28" s="9"/>
      <c r="CM28" s="9"/>
      <c r="CN28" s="9"/>
      <c r="CO28" s="9"/>
      <c r="CP28" s="9"/>
      <c r="CQ28" s="9"/>
      <c r="CR28" s="9"/>
      <c r="CS28" s="9"/>
      <c r="CT28" s="9"/>
      <c r="CU28" s="9"/>
      <c r="CV28" s="9"/>
      <c r="CW28" s="9"/>
      <c r="CX28" s="9"/>
      <c r="CY28" s="9"/>
      <c r="CZ28" s="9"/>
      <c r="DA28" s="9"/>
      <c r="DB28" s="9"/>
      <c r="DC28" s="9"/>
      <c r="DD28" s="9"/>
      <c r="DE28" s="9"/>
      <c r="DF28" s="9"/>
      <c r="DG28" s="9"/>
      <c r="DH28" s="9"/>
      <c r="DI28" s="9"/>
      <c r="DJ28" s="9"/>
      <c r="DK28" s="9"/>
      <c r="DL28" s="9"/>
      <c r="DM28" s="9"/>
      <c r="DN28" s="9"/>
      <c r="DO28" s="9"/>
      <c r="DP28" s="9"/>
      <c r="DQ28" s="9"/>
      <c r="DR28" s="9"/>
      <c r="DS28" s="9"/>
      <c r="DT28" s="9"/>
      <c r="DU28" s="9"/>
      <c r="DV28" s="9"/>
      <c r="DW28" s="9"/>
      <c r="DX28" s="9"/>
      <c r="DY28" s="9"/>
      <c r="DZ28" s="9"/>
      <c r="EA28" s="9"/>
    </row>
    <row r="29" spans="1:131">
      <c r="A29" s="9"/>
      <c r="B29" s="417" t="s">
        <v>1188</v>
      </c>
      <c r="C29" s="407" t="s">
        <v>1189</v>
      </c>
      <c r="D29" s="407" t="s">
        <v>1188</v>
      </c>
      <c r="E29" s="418" t="s">
        <v>1189</v>
      </c>
      <c r="F29" s="9"/>
      <c r="G29" s="417" t="s">
        <v>1190</v>
      </c>
      <c r="H29" s="407" t="s">
        <v>1191</v>
      </c>
      <c r="I29" s="407"/>
      <c r="J29" s="407"/>
      <c r="K29" s="407" t="s">
        <v>1192</v>
      </c>
      <c r="L29" s="407"/>
      <c r="M29" s="407"/>
      <c r="N29" s="407"/>
      <c r="O29" s="418"/>
      <c r="P29" s="9"/>
      <c r="Q29" s="417"/>
      <c r="R29" s="407" t="s">
        <v>1193</v>
      </c>
      <c r="S29" s="407" t="s">
        <v>1194</v>
      </c>
      <c r="T29" s="407" t="s">
        <v>1195</v>
      </c>
      <c r="U29" s="418" t="s">
        <v>1196</v>
      </c>
      <c r="V29" s="9"/>
      <c r="W29" s="417" t="s">
        <v>1197</v>
      </c>
      <c r="X29" s="418">
        <v>20</v>
      </c>
      <c r="Y29" s="9"/>
      <c r="Z29" s="417"/>
      <c r="AA29" s="407" t="s">
        <v>1189</v>
      </c>
      <c r="AB29" s="418" t="s">
        <v>1198</v>
      </c>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9"/>
      <c r="CF29" s="9"/>
      <c r="CG29" s="9"/>
      <c r="CH29" s="9"/>
      <c r="CI29" s="9"/>
      <c r="CJ29" s="9"/>
      <c r="CK29" s="9"/>
      <c r="CL29" s="9"/>
      <c r="CM29" s="9"/>
      <c r="CN29" s="9"/>
      <c r="CO29" s="9"/>
      <c r="CP29" s="9"/>
      <c r="CQ29" s="9"/>
      <c r="CR29" s="9"/>
      <c r="CS29" s="9"/>
      <c r="CT29" s="9"/>
      <c r="CU29" s="9"/>
      <c r="CV29" s="9"/>
      <c r="CW29" s="9"/>
      <c r="CX29" s="9"/>
      <c r="CY29" s="9"/>
      <c r="CZ29" s="9"/>
      <c r="DA29" s="9"/>
      <c r="DB29" s="9"/>
      <c r="DC29" s="9"/>
      <c r="DD29" s="9"/>
      <c r="DE29" s="9"/>
      <c r="DF29" s="9"/>
      <c r="DG29" s="9"/>
      <c r="DH29" s="9"/>
      <c r="DI29" s="9"/>
      <c r="DJ29" s="9"/>
      <c r="DK29" s="9"/>
      <c r="DL29" s="9"/>
      <c r="DM29" s="9"/>
      <c r="DN29" s="9"/>
      <c r="DO29" s="9"/>
      <c r="DP29" s="9"/>
      <c r="DQ29" s="9"/>
      <c r="DR29" s="9"/>
      <c r="DS29" s="9"/>
      <c r="DT29" s="9"/>
      <c r="DU29" s="9"/>
      <c r="DV29" s="9"/>
      <c r="DW29" s="9"/>
      <c r="DX29" s="9"/>
      <c r="DY29" s="9"/>
      <c r="DZ29" s="9"/>
      <c r="EA29" s="9"/>
    </row>
    <row r="30" spans="1:131">
      <c r="A30" s="9"/>
      <c r="B30" s="417" t="s">
        <v>1199</v>
      </c>
      <c r="C30" s="407" t="s">
        <v>1200</v>
      </c>
      <c r="D30" s="407" t="s">
        <v>1199</v>
      </c>
      <c r="E30" s="418" t="s">
        <v>1200</v>
      </c>
      <c r="F30" s="9"/>
      <c r="G30" s="417" t="s">
        <v>1201</v>
      </c>
      <c r="H30" s="407" t="s">
        <v>1202</v>
      </c>
      <c r="I30" s="407"/>
      <c r="J30" s="407"/>
      <c r="K30" s="407" t="s">
        <v>1203</v>
      </c>
      <c r="L30" s="407"/>
      <c r="M30" s="407"/>
      <c r="N30" s="407"/>
      <c r="O30" s="418"/>
      <c r="P30" s="9"/>
      <c r="Q30" s="417" t="s">
        <v>1204</v>
      </c>
      <c r="R30" s="407">
        <v>4.3096045197740109E-2</v>
      </c>
      <c r="S30" s="407">
        <v>4.387844424080023E-2</v>
      </c>
      <c r="T30" s="407">
        <v>5.3289007766645871E-2</v>
      </c>
      <c r="U30" s="418">
        <v>5.447903102274565E-2</v>
      </c>
      <c r="V30" s="9"/>
      <c r="W30" s="417" t="s">
        <v>1205</v>
      </c>
      <c r="X30" s="418">
        <v>2016</v>
      </c>
      <c r="Y30" s="9"/>
      <c r="Z30" s="417" t="s">
        <v>1206</v>
      </c>
      <c r="AA30" s="407">
        <v>4.03890184699085E-3</v>
      </c>
      <c r="AB30" s="418">
        <v>0.01</v>
      </c>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9"/>
      <c r="CF30" s="9"/>
      <c r="CG30" s="9"/>
      <c r="CH30" s="9"/>
      <c r="CI30" s="9"/>
      <c r="CJ30" s="9"/>
      <c r="CK30" s="9"/>
      <c r="CL30" s="9"/>
      <c r="CM30" s="9"/>
      <c r="CN30" s="9"/>
      <c r="CO30" s="9"/>
      <c r="CP30" s="9"/>
      <c r="CQ30" s="9"/>
      <c r="CR30" s="9"/>
      <c r="CS30" s="9"/>
      <c r="CT30" s="9"/>
      <c r="CU30" s="9"/>
      <c r="CV30" s="9"/>
      <c r="CW30" s="9"/>
      <c r="CX30" s="9"/>
      <c r="CY30" s="9"/>
      <c r="CZ30" s="9"/>
      <c r="DA30" s="9"/>
      <c r="DB30" s="9"/>
      <c r="DC30" s="9"/>
      <c r="DD30" s="9"/>
      <c r="DE30" s="9"/>
      <c r="DF30" s="9"/>
      <c r="DG30" s="9"/>
      <c r="DH30" s="9"/>
      <c r="DI30" s="9"/>
      <c r="DJ30" s="9"/>
      <c r="DK30" s="9"/>
      <c r="DL30" s="9"/>
      <c r="DM30" s="9"/>
      <c r="DN30" s="9"/>
      <c r="DO30" s="9"/>
      <c r="DP30" s="9"/>
      <c r="DQ30" s="9"/>
      <c r="DR30" s="9"/>
      <c r="DS30" s="9"/>
      <c r="DT30" s="9"/>
      <c r="DU30" s="9"/>
      <c r="DV30" s="9"/>
      <c r="DW30" s="9"/>
      <c r="DX30" s="9"/>
      <c r="DY30" s="9"/>
      <c r="DZ30" s="9"/>
      <c r="EA30" s="9"/>
    </row>
    <row r="31" spans="1:131">
      <c r="A31" s="9"/>
      <c r="B31" s="417" t="s">
        <v>1207</v>
      </c>
      <c r="C31" s="407" t="s">
        <v>1208</v>
      </c>
      <c r="D31" s="407" t="s">
        <v>1207</v>
      </c>
      <c r="E31" s="418" t="s">
        <v>1208</v>
      </c>
      <c r="F31" s="9"/>
      <c r="G31" s="417" t="s">
        <v>1209</v>
      </c>
      <c r="H31" s="407" t="s">
        <v>1210</v>
      </c>
      <c r="I31" s="407"/>
      <c r="J31" s="407"/>
      <c r="K31" s="407" t="s">
        <v>1211</v>
      </c>
      <c r="L31" s="407"/>
      <c r="M31" s="407"/>
      <c r="N31" s="407"/>
      <c r="O31" s="418"/>
      <c r="P31" s="9"/>
      <c r="Q31" s="417" t="s">
        <v>1212</v>
      </c>
      <c r="R31" s="407">
        <v>12</v>
      </c>
      <c r="S31" s="407">
        <v>12</v>
      </c>
      <c r="T31" s="407">
        <v>1</v>
      </c>
      <c r="U31" s="418">
        <v>1</v>
      </c>
      <c r="V31" s="9"/>
      <c r="W31" s="417" t="s">
        <v>1213</v>
      </c>
      <c r="X31" s="418">
        <v>2016</v>
      </c>
      <c r="Y31" s="9"/>
      <c r="Z31" s="417" t="s">
        <v>1214</v>
      </c>
      <c r="AA31" s="407">
        <v>26</v>
      </c>
      <c r="AB31" s="418">
        <v>0</v>
      </c>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9"/>
      <c r="CF31" s="9"/>
      <c r="CG31" s="9"/>
      <c r="CH31" s="9"/>
      <c r="CI31" s="9"/>
      <c r="CJ31" s="9"/>
      <c r="CK31" s="9"/>
      <c r="CL31" s="9"/>
      <c r="CM31" s="9"/>
      <c r="CN31" s="9"/>
      <c r="CO31" s="9"/>
      <c r="CP31" s="9"/>
      <c r="CQ31" s="9"/>
      <c r="CR31" s="9"/>
      <c r="CS31" s="9"/>
      <c r="CT31" s="9"/>
      <c r="CU31" s="9"/>
      <c r="CV31" s="9"/>
      <c r="CW31" s="9"/>
      <c r="CX31" s="9"/>
      <c r="CY31" s="9"/>
      <c r="CZ31" s="9"/>
      <c r="DA31" s="9"/>
      <c r="DB31" s="9"/>
      <c r="DC31" s="9"/>
      <c r="DD31" s="9"/>
      <c r="DE31" s="9"/>
      <c r="DF31" s="9"/>
      <c r="DG31" s="9"/>
      <c r="DH31" s="9"/>
      <c r="DI31" s="9"/>
      <c r="DJ31" s="9"/>
      <c r="DK31" s="9"/>
      <c r="DL31" s="9"/>
      <c r="DM31" s="9"/>
      <c r="DN31" s="9"/>
      <c r="DO31" s="9"/>
      <c r="DP31" s="9"/>
      <c r="DQ31" s="9"/>
      <c r="DR31" s="9"/>
      <c r="DS31" s="9"/>
      <c r="DT31" s="9"/>
      <c r="DU31" s="9"/>
      <c r="DV31" s="9"/>
      <c r="DW31" s="9"/>
      <c r="DX31" s="9"/>
      <c r="DY31" s="9"/>
      <c r="DZ31" s="9"/>
      <c r="EA31" s="9"/>
    </row>
    <row r="32" spans="1:131" ht="13.5" thickBot="1">
      <c r="A32" s="9"/>
      <c r="B32" s="419" t="s">
        <v>1215</v>
      </c>
      <c r="C32" s="420" t="s">
        <v>1208</v>
      </c>
      <c r="D32" s="420" t="s">
        <v>1215</v>
      </c>
      <c r="E32" s="421" t="s">
        <v>1208</v>
      </c>
      <c r="F32" s="9"/>
      <c r="G32" s="417" t="s">
        <v>1216</v>
      </c>
      <c r="H32" s="407" t="s">
        <v>1217</v>
      </c>
      <c r="I32" s="407"/>
      <c r="J32" s="407"/>
      <c r="K32" s="407" t="s">
        <v>1203</v>
      </c>
      <c r="L32" s="407"/>
      <c r="M32" s="407"/>
      <c r="N32" s="407"/>
      <c r="O32" s="418"/>
      <c r="P32" s="9"/>
      <c r="Q32" s="417"/>
      <c r="R32" s="407" t="s">
        <v>1193</v>
      </c>
      <c r="S32" s="407" t="s">
        <v>1194</v>
      </c>
      <c r="T32" s="407" t="s">
        <v>1195</v>
      </c>
      <c r="U32" s="418" t="s">
        <v>1196</v>
      </c>
      <c r="V32" s="9"/>
      <c r="W32" s="417" t="s">
        <v>1218</v>
      </c>
      <c r="X32" s="418">
        <v>2012</v>
      </c>
      <c r="Y32" s="9"/>
      <c r="Z32" s="417" t="s">
        <v>1219</v>
      </c>
      <c r="AA32" s="407">
        <v>0.9</v>
      </c>
      <c r="AB32" s="418" t="s">
        <v>415</v>
      </c>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9"/>
      <c r="BZ32" s="9"/>
      <c r="CA32" s="9"/>
      <c r="CB32" s="9"/>
      <c r="CC32" s="9"/>
      <c r="CD32" s="9"/>
      <c r="CE32" s="9"/>
      <c r="CF32" s="9"/>
      <c r="CG32" s="9"/>
      <c r="CH32" s="9"/>
      <c r="CI32" s="9"/>
      <c r="CJ32" s="9"/>
      <c r="CK32" s="9"/>
      <c r="CL32" s="9"/>
      <c r="CM32" s="9"/>
      <c r="CN32" s="9"/>
      <c r="CO32" s="9"/>
      <c r="CP32" s="9"/>
      <c r="CQ32" s="9"/>
      <c r="CR32" s="9"/>
      <c r="CS32" s="9"/>
      <c r="CT32" s="9"/>
      <c r="CU32" s="9"/>
      <c r="CV32" s="9"/>
      <c r="CW32" s="9"/>
      <c r="CX32" s="9"/>
      <c r="CY32" s="9"/>
      <c r="CZ32" s="9"/>
      <c r="DA32" s="9"/>
      <c r="DB32" s="9"/>
      <c r="DC32" s="9"/>
      <c r="DD32" s="9"/>
      <c r="DE32" s="9"/>
      <c r="DF32" s="9"/>
      <c r="DG32" s="9"/>
      <c r="DH32" s="9"/>
      <c r="DI32" s="9"/>
      <c r="DJ32" s="9"/>
      <c r="DK32" s="9"/>
      <c r="DL32" s="9"/>
      <c r="DM32" s="9"/>
      <c r="DN32" s="9"/>
      <c r="DO32" s="9"/>
      <c r="DP32" s="9"/>
      <c r="DQ32" s="9"/>
      <c r="DR32" s="9"/>
      <c r="DS32" s="9"/>
      <c r="DT32" s="9"/>
      <c r="DU32" s="9"/>
      <c r="DV32" s="9"/>
      <c r="DW32" s="9"/>
      <c r="DX32" s="9"/>
      <c r="DY32" s="9"/>
      <c r="DZ32" s="9"/>
      <c r="EA32" s="9"/>
    </row>
    <row r="33" spans="1:131">
      <c r="A33" s="9"/>
      <c r="B33" s="9"/>
      <c r="C33" s="9"/>
      <c r="D33" s="9"/>
      <c r="E33" s="9"/>
      <c r="F33" s="9"/>
      <c r="G33" s="417" t="s">
        <v>1220</v>
      </c>
      <c r="H33" s="407" t="s">
        <v>1210</v>
      </c>
      <c r="I33" s="407"/>
      <c r="J33" s="407"/>
      <c r="K33" s="407"/>
      <c r="L33" s="407"/>
      <c r="M33" s="407"/>
      <c r="N33" s="407"/>
      <c r="O33" s="418"/>
      <c r="P33" s="9"/>
      <c r="Q33" s="417" t="s">
        <v>1221</v>
      </c>
      <c r="R33" s="407">
        <v>0.35</v>
      </c>
      <c r="S33" s="407">
        <v>0.19500000000000001</v>
      </c>
      <c r="T33" s="407">
        <v>0.45499999999999996</v>
      </c>
      <c r="U33" s="418">
        <v>0</v>
      </c>
      <c r="V33" s="9"/>
      <c r="W33" s="417" t="s">
        <v>1222</v>
      </c>
      <c r="X33" s="418">
        <v>0.04</v>
      </c>
      <c r="Y33" s="9"/>
      <c r="Z33" s="417" t="s">
        <v>1223</v>
      </c>
      <c r="AA33" s="407">
        <v>4.7399348199455904E-2</v>
      </c>
      <c r="AB33" s="418">
        <v>0</v>
      </c>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9"/>
      <c r="BY33" s="9"/>
      <c r="BZ33" s="9"/>
      <c r="CA33" s="9"/>
      <c r="CB33" s="9"/>
      <c r="CC33" s="9"/>
      <c r="CD33" s="9"/>
      <c r="CE33" s="9"/>
      <c r="CF33" s="9"/>
      <c r="CG33" s="9"/>
      <c r="CH33" s="9"/>
      <c r="CI33" s="9"/>
      <c r="CJ33" s="9"/>
      <c r="CK33" s="9"/>
      <c r="CL33" s="9"/>
      <c r="CM33" s="9"/>
      <c r="CN33" s="9"/>
      <c r="CO33" s="9"/>
      <c r="CP33" s="9"/>
      <c r="CQ33" s="9"/>
      <c r="CR33" s="9"/>
      <c r="CS33" s="9"/>
      <c r="CT33" s="9"/>
      <c r="CU33" s="9"/>
      <c r="CV33" s="9"/>
      <c r="CW33" s="9"/>
      <c r="CX33" s="9"/>
      <c r="CY33" s="9"/>
      <c r="CZ33" s="9"/>
      <c r="DA33" s="9"/>
      <c r="DB33" s="9"/>
      <c r="DC33" s="9"/>
      <c r="DD33" s="9"/>
      <c r="DE33" s="9"/>
      <c r="DF33" s="9"/>
      <c r="DG33" s="9"/>
      <c r="DH33" s="9"/>
      <c r="DI33" s="9"/>
      <c r="DJ33" s="9"/>
      <c r="DK33" s="9"/>
      <c r="DL33" s="9"/>
      <c r="DM33" s="9"/>
      <c r="DN33" s="9"/>
      <c r="DO33" s="9"/>
      <c r="DP33" s="9"/>
      <c r="DQ33" s="9"/>
      <c r="DR33" s="9"/>
      <c r="DS33" s="9"/>
      <c r="DT33" s="9"/>
      <c r="DU33" s="9"/>
      <c r="DV33" s="9"/>
      <c r="DW33" s="9"/>
      <c r="DX33" s="9"/>
      <c r="DY33" s="9"/>
      <c r="DZ33" s="9"/>
      <c r="EA33" s="9"/>
    </row>
    <row r="34" spans="1:131">
      <c r="A34" s="9"/>
      <c r="B34" s="9" t="s">
        <v>1224</v>
      </c>
      <c r="C34" s="9" t="s">
        <v>1189</v>
      </c>
      <c r="D34" s="9"/>
      <c r="E34" s="9"/>
      <c r="F34" s="9"/>
      <c r="G34" s="417" t="s">
        <v>1225</v>
      </c>
      <c r="H34" s="407" t="s">
        <v>1226</v>
      </c>
      <c r="I34" s="407"/>
      <c r="J34" s="407"/>
      <c r="K34" s="407" t="s">
        <v>1227</v>
      </c>
      <c r="L34" s="407"/>
      <c r="M34" s="407"/>
      <c r="N34" s="407"/>
      <c r="O34" s="418"/>
      <c r="P34" s="9"/>
      <c r="Q34" s="417" t="s">
        <v>1228</v>
      </c>
      <c r="R34" s="407">
        <v>1</v>
      </c>
      <c r="S34" s="407">
        <v>0</v>
      </c>
      <c r="T34" s="407">
        <v>0</v>
      </c>
      <c r="U34" s="418">
        <v>0</v>
      </c>
      <c r="V34" s="9"/>
      <c r="W34" s="417" t="s">
        <v>1229</v>
      </c>
      <c r="X34" s="418">
        <v>0</v>
      </c>
      <c r="Y34" s="9"/>
      <c r="Z34" s="417" t="s">
        <v>1230</v>
      </c>
      <c r="AA34" s="407">
        <v>31</v>
      </c>
      <c r="AB34" s="418">
        <v>0</v>
      </c>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9"/>
      <c r="BZ34" s="9"/>
      <c r="CA34" s="9"/>
      <c r="CB34" s="9"/>
      <c r="CC34" s="9"/>
      <c r="CD34" s="9"/>
      <c r="CE34" s="9"/>
      <c r="CF34" s="9"/>
      <c r="CG34" s="9"/>
      <c r="CH34" s="9"/>
      <c r="CI34" s="9"/>
      <c r="CJ34" s="9"/>
      <c r="CK34" s="9"/>
      <c r="CL34" s="9"/>
      <c r="CM34" s="9"/>
      <c r="CN34" s="9"/>
      <c r="CO34" s="9"/>
      <c r="CP34" s="9"/>
      <c r="CQ34" s="9"/>
      <c r="CR34" s="9"/>
      <c r="CS34" s="9"/>
      <c r="CT34" s="9"/>
      <c r="CU34" s="9"/>
      <c r="CV34" s="9"/>
      <c r="CW34" s="9"/>
      <c r="CX34" s="9"/>
      <c r="CY34" s="9"/>
      <c r="CZ34" s="9"/>
      <c r="DA34" s="9"/>
      <c r="DB34" s="9"/>
      <c r="DC34" s="9"/>
      <c r="DD34" s="9"/>
      <c r="DE34" s="9"/>
      <c r="DF34" s="9"/>
      <c r="DG34" s="9"/>
      <c r="DH34" s="9"/>
      <c r="DI34" s="9"/>
      <c r="DJ34" s="9"/>
      <c r="DK34" s="9"/>
      <c r="DL34" s="9"/>
      <c r="DM34" s="9"/>
      <c r="DN34" s="9"/>
      <c r="DO34" s="9"/>
      <c r="DP34" s="9"/>
      <c r="DQ34" s="9"/>
      <c r="DR34" s="9"/>
      <c r="DS34" s="9"/>
      <c r="DT34" s="9"/>
      <c r="DU34" s="9"/>
      <c r="DV34" s="9"/>
      <c r="DW34" s="9"/>
      <c r="DX34" s="9"/>
      <c r="DY34" s="9"/>
      <c r="DZ34" s="9"/>
      <c r="EA34" s="9"/>
    </row>
    <row r="35" spans="1:131">
      <c r="A35" s="9"/>
      <c r="B35" s="9" t="s">
        <v>1231</v>
      </c>
      <c r="C35" s="9" t="s">
        <v>1232</v>
      </c>
      <c r="D35" s="9"/>
      <c r="E35" s="9"/>
      <c r="F35" s="9"/>
      <c r="G35" s="417" t="s">
        <v>1233</v>
      </c>
      <c r="H35" s="407" t="s">
        <v>1227</v>
      </c>
      <c r="I35" s="407"/>
      <c r="J35" s="407"/>
      <c r="K35" s="407" t="s">
        <v>1234</v>
      </c>
      <c r="L35" s="407"/>
      <c r="M35" s="407"/>
      <c r="N35" s="407"/>
      <c r="O35" s="418"/>
      <c r="P35" s="9"/>
      <c r="Q35" s="417" t="s">
        <v>1235</v>
      </c>
      <c r="R35" s="407">
        <v>1</v>
      </c>
      <c r="S35" s="407">
        <v>0</v>
      </c>
      <c r="T35" s="407">
        <v>0</v>
      </c>
      <c r="U35" s="418">
        <v>0</v>
      </c>
      <c r="V35" s="9"/>
      <c r="W35" s="417" t="s">
        <v>1236</v>
      </c>
      <c r="X35" s="418">
        <v>0.2</v>
      </c>
      <c r="Y35" s="9"/>
      <c r="Z35" s="417" t="s">
        <v>1237</v>
      </c>
      <c r="AA35" s="407">
        <v>0.7</v>
      </c>
      <c r="AB35" s="418" t="s">
        <v>415</v>
      </c>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9"/>
      <c r="BZ35" s="9"/>
      <c r="CA35" s="9"/>
      <c r="CB35" s="9"/>
      <c r="CC35" s="9"/>
      <c r="CD35" s="9"/>
      <c r="CE35" s="9"/>
      <c r="CF35" s="9"/>
      <c r="CG35" s="9"/>
      <c r="CH35" s="9"/>
      <c r="CI35" s="9"/>
      <c r="CJ35" s="9"/>
      <c r="CK35" s="9"/>
      <c r="CL35" s="9"/>
      <c r="CM35" s="9"/>
      <c r="CN35" s="9"/>
      <c r="CO35" s="9"/>
      <c r="CP35" s="9"/>
      <c r="CQ35" s="9"/>
      <c r="CR35" s="9"/>
      <c r="CS35" s="9"/>
      <c r="CT35" s="9"/>
      <c r="CU35" s="9"/>
      <c r="CV35" s="9"/>
      <c r="CW35" s="9"/>
      <c r="CX35" s="9"/>
      <c r="CY35" s="9"/>
      <c r="CZ35" s="9"/>
      <c r="DA35" s="9"/>
      <c r="DB35" s="9"/>
      <c r="DC35" s="9"/>
      <c r="DD35" s="9"/>
      <c r="DE35" s="9"/>
      <c r="DF35" s="9"/>
      <c r="DG35" s="9"/>
      <c r="DH35" s="9"/>
      <c r="DI35" s="9"/>
      <c r="DJ35" s="9"/>
      <c r="DK35" s="9"/>
      <c r="DL35" s="9"/>
      <c r="DM35" s="9"/>
      <c r="DN35" s="9"/>
      <c r="DO35" s="9"/>
      <c r="DP35" s="9"/>
      <c r="DQ35" s="9"/>
      <c r="DR35" s="9"/>
      <c r="DS35" s="9"/>
      <c r="DT35" s="9"/>
      <c r="DU35" s="9"/>
      <c r="DV35" s="9"/>
      <c r="DW35" s="9"/>
      <c r="DX35" s="9"/>
      <c r="DY35" s="9"/>
      <c r="DZ35" s="9"/>
      <c r="EA35" s="9"/>
    </row>
    <row r="36" spans="1:131">
      <c r="A36" s="9"/>
      <c r="B36" s="9" t="s">
        <v>1238</v>
      </c>
      <c r="C36" s="9" t="s">
        <v>1239</v>
      </c>
      <c r="D36" s="9"/>
      <c r="E36" s="9"/>
      <c r="F36" s="9"/>
      <c r="G36" s="417" t="s">
        <v>1240</v>
      </c>
      <c r="H36" s="407" t="s">
        <v>1234</v>
      </c>
      <c r="I36" s="407"/>
      <c r="J36" s="407"/>
      <c r="K36" s="407" t="s">
        <v>1241</v>
      </c>
      <c r="L36" s="407"/>
      <c r="M36" s="407"/>
      <c r="N36" s="407"/>
      <c r="O36" s="418"/>
      <c r="P36" s="9"/>
      <c r="Q36" s="417" t="s">
        <v>1242</v>
      </c>
      <c r="R36" s="407"/>
      <c r="S36" s="407">
        <v>0.3</v>
      </c>
      <c r="T36" s="407">
        <v>0.7</v>
      </c>
      <c r="U36" s="418">
        <v>0</v>
      </c>
      <c r="V36" s="9"/>
      <c r="W36" s="417" t="s">
        <v>1243</v>
      </c>
      <c r="X36" s="418">
        <v>0</v>
      </c>
      <c r="Y36" s="9"/>
      <c r="Z36" s="417" t="s">
        <v>1244</v>
      </c>
      <c r="AA36" s="407">
        <v>0</v>
      </c>
      <c r="AB36" s="418">
        <v>0</v>
      </c>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c r="BW36" s="9"/>
      <c r="BX36" s="9"/>
      <c r="BY36" s="9"/>
      <c r="BZ36" s="9"/>
      <c r="CA36" s="9"/>
      <c r="CB36" s="9"/>
      <c r="CC36" s="9"/>
      <c r="CD36" s="9"/>
      <c r="CE36" s="9"/>
      <c r="CF36" s="9"/>
      <c r="CG36" s="9"/>
      <c r="CH36" s="9"/>
      <c r="CI36" s="9"/>
      <c r="CJ36" s="9"/>
      <c r="CK36" s="9"/>
      <c r="CL36" s="9"/>
      <c r="CM36" s="9"/>
      <c r="CN36" s="9"/>
      <c r="CO36" s="9"/>
      <c r="CP36" s="9"/>
      <c r="CQ36" s="9"/>
      <c r="CR36" s="9"/>
      <c r="CS36" s="9"/>
      <c r="CT36" s="9"/>
      <c r="CU36" s="9"/>
      <c r="CV36" s="9"/>
      <c r="CW36" s="9"/>
      <c r="CX36" s="9"/>
      <c r="CY36" s="9"/>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row>
    <row r="37" spans="1:131" ht="13.5" thickBot="1">
      <c r="A37" s="9"/>
      <c r="B37" s="9" t="s">
        <v>1245</v>
      </c>
      <c r="C37" s="9" t="s">
        <v>1246</v>
      </c>
      <c r="D37" s="9"/>
      <c r="E37" s="9"/>
      <c r="F37" s="9"/>
      <c r="G37" s="419" t="s">
        <v>1247</v>
      </c>
      <c r="H37" s="420" t="s">
        <v>1241</v>
      </c>
      <c r="I37" s="420"/>
      <c r="J37" s="420"/>
      <c r="K37" s="420"/>
      <c r="L37" s="420"/>
      <c r="M37" s="420"/>
      <c r="N37" s="420"/>
      <c r="O37" s="421"/>
      <c r="P37" s="9"/>
      <c r="Q37" s="419" t="s">
        <v>1248</v>
      </c>
      <c r="R37" s="420"/>
      <c r="S37" s="420">
        <v>20</v>
      </c>
      <c r="T37" s="420"/>
      <c r="U37" s="421"/>
      <c r="V37" s="9"/>
      <c r="W37" s="419" t="s">
        <v>1249</v>
      </c>
      <c r="X37" s="421">
        <v>2018</v>
      </c>
      <c r="Y37" s="9"/>
      <c r="Z37" s="419" t="s">
        <v>1250</v>
      </c>
      <c r="AA37" s="420">
        <v>0</v>
      </c>
      <c r="AB37" s="421">
        <v>0</v>
      </c>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9"/>
      <c r="BZ37" s="9"/>
      <c r="CA37" s="9"/>
      <c r="CB37" s="9"/>
      <c r="CC37" s="9"/>
      <c r="CD37" s="9"/>
      <c r="CE37" s="9"/>
      <c r="CF37" s="9"/>
      <c r="CG37" s="9"/>
      <c r="CH37" s="9"/>
      <c r="CI37" s="9"/>
      <c r="CJ37" s="9"/>
      <c r="CK37" s="9"/>
      <c r="CL37" s="9"/>
      <c r="CM37" s="9"/>
      <c r="CN37" s="9"/>
      <c r="CO37" s="9"/>
      <c r="CP37" s="9"/>
      <c r="CQ37" s="9"/>
      <c r="CR37" s="9"/>
      <c r="CS37" s="9"/>
      <c r="CT37" s="9"/>
      <c r="CU37" s="9"/>
      <c r="CV37" s="9"/>
      <c r="CW37" s="9"/>
      <c r="CX37" s="9"/>
      <c r="CY37" s="9"/>
      <c r="CZ37" s="9"/>
      <c r="DA37" s="9"/>
      <c r="DB37" s="9"/>
      <c r="DC37" s="9"/>
      <c r="DD37" s="9"/>
      <c r="DE37" s="9"/>
      <c r="DF37" s="9"/>
      <c r="DG37" s="9"/>
      <c r="DH37" s="9"/>
      <c r="DI37" s="9"/>
      <c r="DJ37" s="9"/>
      <c r="DK37" s="9"/>
      <c r="DL37" s="9"/>
      <c r="DM37" s="9"/>
      <c r="DN37" s="9"/>
      <c r="DO37" s="9"/>
      <c r="DP37" s="9"/>
      <c r="DQ37" s="9"/>
      <c r="DR37" s="9"/>
      <c r="DS37" s="9"/>
      <c r="DT37" s="9"/>
      <c r="DU37" s="9"/>
      <c r="DV37" s="9"/>
      <c r="DW37" s="9"/>
      <c r="DX37" s="9"/>
      <c r="DY37" s="9"/>
      <c r="DZ37" s="9"/>
      <c r="EA37" s="9"/>
    </row>
    <row r="38" spans="1:131">
      <c r="A38" s="9"/>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9"/>
      <c r="BZ38" s="9"/>
      <c r="CA38" s="9"/>
      <c r="CB38" s="9"/>
      <c r="CC38" s="9"/>
      <c r="CD38" s="9"/>
      <c r="CE38" s="9"/>
      <c r="CF38" s="9"/>
      <c r="CG38" s="9"/>
      <c r="CH38" s="9"/>
      <c r="CI38" s="9"/>
      <c r="CJ38" s="9"/>
      <c r="CK38" s="9"/>
      <c r="CL38" s="9"/>
      <c r="CM38" s="9"/>
      <c r="CN38" s="9"/>
      <c r="CO38" s="9"/>
      <c r="CP38" s="9"/>
      <c r="CQ38" s="9"/>
      <c r="CR38" s="9"/>
      <c r="CS38" s="9"/>
      <c r="CT38" s="9"/>
      <c r="CU38" s="9"/>
      <c r="CV38" s="9"/>
      <c r="CW38" s="9"/>
      <c r="CX38" s="9"/>
      <c r="CY38" s="9"/>
      <c r="CZ38" s="9"/>
      <c r="DA38" s="9"/>
      <c r="DB38" s="9"/>
      <c r="DC38" s="9"/>
      <c r="DD38" s="9"/>
      <c r="DE38" s="9"/>
      <c r="DF38" s="9"/>
      <c r="DG38" s="9"/>
      <c r="DH38" s="9"/>
      <c r="DI38" s="9"/>
      <c r="DJ38" s="9"/>
      <c r="DK38" s="9"/>
      <c r="DL38" s="9"/>
      <c r="DM38" s="9"/>
      <c r="DN38" s="9"/>
      <c r="DO38" s="9"/>
      <c r="DP38" s="9"/>
      <c r="DQ38" s="9"/>
      <c r="DR38" s="9"/>
      <c r="DS38" s="9"/>
      <c r="DT38" s="9"/>
      <c r="DU38" s="9"/>
      <c r="DV38" s="9"/>
      <c r="DW38" s="9"/>
      <c r="DX38" s="9"/>
      <c r="DY38" s="9"/>
      <c r="DZ38" s="9"/>
      <c r="EA38" s="9"/>
    </row>
    <row r="39" spans="1:131">
      <c r="A39" s="9"/>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c r="BX39" s="9"/>
      <c r="BY39" s="9"/>
      <c r="BZ39" s="9"/>
      <c r="CA39" s="9"/>
      <c r="CB39" s="9"/>
      <c r="CC39" s="9"/>
      <c r="CD39" s="9"/>
      <c r="CE39" s="9"/>
      <c r="CF39" s="9"/>
      <c r="CG39" s="9"/>
      <c r="CH39" s="9"/>
      <c r="CI39" s="9"/>
      <c r="CJ39" s="9"/>
      <c r="CK39" s="9"/>
      <c r="CL39" s="9"/>
      <c r="CM39" s="9"/>
      <c r="CN39" s="9"/>
      <c r="CO39" s="9"/>
      <c r="CP39" s="9"/>
      <c r="CQ39" s="9"/>
      <c r="CR39" s="9"/>
      <c r="CS39" s="9"/>
      <c r="CT39" s="9"/>
      <c r="CU39" s="9"/>
      <c r="CV39" s="9"/>
      <c r="CW39" s="9"/>
      <c r="CX39" s="9"/>
      <c r="CY39" s="9"/>
      <c r="CZ39" s="9"/>
      <c r="DA39" s="9"/>
      <c r="DB39" s="9"/>
      <c r="DC39" s="9"/>
      <c r="DD39" s="9"/>
      <c r="DE39" s="9"/>
      <c r="DF39" s="9"/>
      <c r="DG39" s="9"/>
      <c r="DH39" s="9"/>
      <c r="DI39" s="9"/>
      <c r="DJ39" s="9"/>
      <c r="DK39" s="9"/>
      <c r="DL39" s="9"/>
      <c r="DM39" s="9"/>
      <c r="DN39" s="9"/>
      <c r="DO39" s="9"/>
      <c r="DP39" s="9"/>
      <c r="DQ39" s="9"/>
      <c r="DR39" s="9"/>
      <c r="DS39" s="9"/>
      <c r="DT39" s="9"/>
      <c r="DU39" s="9"/>
      <c r="DV39" s="9"/>
      <c r="DW39" s="9"/>
      <c r="DX39" s="9"/>
      <c r="DY39" s="9"/>
      <c r="DZ39" s="9"/>
      <c r="EA39" s="9"/>
    </row>
    <row r="40" spans="1:131">
      <c r="A40" s="9"/>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c r="BU40" s="9"/>
      <c r="BV40" s="9"/>
      <c r="BW40" s="9"/>
      <c r="BX40" s="9"/>
      <c r="BY40" s="9"/>
      <c r="BZ40" s="9"/>
      <c r="CA40" s="9"/>
      <c r="CB40" s="9"/>
      <c r="CC40" s="9"/>
      <c r="CD40" s="9"/>
      <c r="CE40" s="9"/>
      <c r="CF40" s="9"/>
      <c r="CG40" s="9"/>
      <c r="CH40" s="9"/>
      <c r="CI40" s="9"/>
      <c r="CJ40" s="9"/>
      <c r="CK40" s="9"/>
      <c r="CL40" s="9"/>
      <c r="CM40" s="9"/>
      <c r="CN40" s="9"/>
      <c r="CO40" s="9"/>
      <c r="CP40" s="9"/>
      <c r="CQ40" s="9"/>
      <c r="CR40" s="9"/>
      <c r="CS40" s="9"/>
      <c r="CT40" s="9"/>
      <c r="CU40" s="9"/>
      <c r="CV40" s="9"/>
      <c r="CW40" s="9"/>
      <c r="CX40" s="9"/>
      <c r="CY40" s="9"/>
      <c r="CZ40" s="9"/>
      <c r="DA40" s="9"/>
      <c r="DB40" s="9"/>
      <c r="DC40" s="9"/>
      <c r="DD40" s="9"/>
      <c r="DE40" s="9"/>
      <c r="DF40" s="9"/>
      <c r="DG40" s="9"/>
      <c r="DH40" s="9"/>
      <c r="DI40" s="9"/>
      <c r="DJ40" s="9"/>
      <c r="DK40" s="9"/>
      <c r="DL40" s="9"/>
      <c r="DM40" s="9"/>
      <c r="DN40" s="9"/>
      <c r="DO40" s="9"/>
      <c r="DP40" s="9"/>
      <c r="DQ40" s="9"/>
      <c r="DR40" s="9"/>
      <c r="DS40" s="9"/>
      <c r="DT40" s="9"/>
      <c r="DU40" s="9"/>
      <c r="DV40" s="9"/>
      <c r="DW40" s="9"/>
      <c r="DX40" s="9"/>
      <c r="DY40" s="9"/>
      <c r="DZ40" s="9"/>
      <c r="EA40" s="9"/>
    </row>
    <row r="41" spans="1:131">
      <c r="A41" s="9"/>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c r="BY41" s="9"/>
      <c r="BZ41" s="9"/>
      <c r="CA41" s="9"/>
      <c r="CB41" s="9"/>
      <c r="CC41" s="9"/>
      <c r="CD41" s="9"/>
      <c r="CE41" s="9"/>
      <c r="CF41" s="9"/>
      <c r="CG41" s="9"/>
      <c r="CH41" s="9"/>
      <c r="CI41" s="9"/>
      <c r="CJ41" s="9"/>
      <c r="CK41" s="9"/>
      <c r="CL41" s="9"/>
      <c r="CM41" s="9"/>
      <c r="CN41" s="9"/>
      <c r="CO41" s="9"/>
      <c r="CP41" s="9"/>
      <c r="CQ41" s="9"/>
      <c r="CR41" s="9"/>
      <c r="CS41" s="9"/>
      <c r="CT41" s="9"/>
      <c r="CU41" s="9"/>
      <c r="CV41" s="9"/>
      <c r="CW41" s="9"/>
      <c r="CX41" s="9"/>
      <c r="CY41" s="9"/>
      <c r="CZ41" s="9"/>
      <c r="DA41" s="9"/>
      <c r="DB41" s="9"/>
      <c r="DC41" s="9"/>
      <c r="DD41" s="9"/>
      <c r="DE41" s="9"/>
      <c r="DF41" s="9"/>
      <c r="DG41" s="9"/>
      <c r="DH41" s="9"/>
      <c r="DI41" s="9"/>
      <c r="DJ41" s="9"/>
      <c r="DK41" s="9"/>
      <c r="DL41" s="9"/>
      <c r="DM41" s="9"/>
      <c r="DN41" s="9"/>
      <c r="DO41" s="9"/>
      <c r="DP41" s="9"/>
      <c r="DQ41" s="9"/>
      <c r="DR41" s="9"/>
      <c r="DS41" s="9"/>
      <c r="DT41" s="9"/>
      <c r="DU41" s="9"/>
      <c r="DV41" s="9"/>
      <c r="DW41" s="9"/>
      <c r="DX41" s="9"/>
      <c r="DY41" s="9"/>
      <c r="DZ41" s="9"/>
      <c r="EA41" s="9"/>
    </row>
    <row r="42" spans="1:131">
      <c r="A42" s="9"/>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9"/>
      <c r="BZ42" s="9"/>
      <c r="CA42" s="9"/>
      <c r="CB42" s="9"/>
      <c r="CC42" s="9"/>
      <c r="CD42" s="9"/>
      <c r="CE42" s="9"/>
      <c r="CF42" s="9"/>
      <c r="CG42" s="9"/>
      <c r="CH42" s="9"/>
      <c r="CI42" s="9"/>
      <c r="CJ42" s="9"/>
      <c r="CK42" s="9"/>
      <c r="CL42" s="9"/>
      <c r="CM42" s="9"/>
      <c r="CN42" s="9"/>
      <c r="CO42" s="9"/>
      <c r="CP42" s="9"/>
      <c r="CQ42" s="9"/>
      <c r="CR42" s="9"/>
      <c r="CS42" s="9"/>
      <c r="CT42" s="9"/>
      <c r="CU42" s="9"/>
      <c r="CV42" s="9"/>
      <c r="CW42" s="9"/>
      <c r="CX42" s="9"/>
      <c r="CY42" s="9"/>
      <c r="CZ42" s="9"/>
      <c r="DA42" s="9"/>
      <c r="DB42" s="9"/>
      <c r="DC42" s="9"/>
      <c r="DD42" s="9"/>
      <c r="DE42" s="9"/>
      <c r="DF42" s="9"/>
      <c r="DG42" s="9"/>
      <c r="DH42" s="9"/>
      <c r="DI42" s="9"/>
      <c r="DJ42" s="9"/>
      <c r="DK42" s="9"/>
      <c r="DL42" s="9"/>
      <c r="DM42" s="9"/>
      <c r="DN42" s="9"/>
      <c r="DO42" s="9"/>
      <c r="DP42" s="9"/>
      <c r="DQ42" s="9"/>
      <c r="DR42" s="9"/>
      <c r="DS42" s="9"/>
      <c r="DT42" s="9"/>
      <c r="DU42" s="9"/>
      <c r="DV42" s="9"/>
      <c r="DW42" s="9"/>
      <c r="DX42" s="9"/>
      <c r="DY42" s="9"/>
      <c r="DZ42" s="9"/>
      <c r="EA42" s="9"/>
    </row>
    <row r="43" spans="1:131">
      <c r="A43" s="9"/>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c r="BY43" s="9"/>
      <c r="BZ43" s="9"/>
      <c r="CA43" s="9"/>
      <c r="CB43" s="9"/>
      <c r="CC43" s="9"/>
      <c r="CD43" s="9"/>
      <c r="CE43" s="9"/>
      <c r="CF43" s="9"/>
      <c r="CG43" s="9"/>
      <c r="CH43" s="9"/>
      <c r="CI43" s="9"/>
      <c r="CJ43" s="9"/>
      <c r="CK43" s="9"/>
      <c r="CL43" s="9"/>
      <c r="CM43" s="9"/>
      <c r="CN43" s="9"/>
      <c r="CO43" s="9"/>
      <c r="CP43" s="9"/>
      <c r="CQ43" s="9"/>
      <c r="CR43" s="9"/>
      <c r="CS43" s="9"/>
      <c r="CT43" s="9"/>
      <c r="CU43" s="9"/>
      <c r="CV43" s="9"/>
      <c r="CW43" s="9"/>
      <c r="CX43" s="9"/>
      <c r="CY43" s="9"/>
      <c r="CZ43" s="9"/>
      <c r="DA43" s="9"/>
      <c r="DB43" s="9"/>
      <c r="DC43" s="9"/>
      <c r="DD43" s="9"/>
      <c r="DE43" s="9"/>
      <c r="DF43" s="9"/>
      <c r="DG43" s="9"/>
      <c r="DH43" s="9"/>
      <c r="DI43" s="9"/>
      <c r="DJ43" s="9"/>
      <c r="DK43" s="9"/>
      <c r="DL43" s="9"/>
      <c r="DM43" s="9"/>
      <c r="DN43" s="9"/>
      <c r="DO43" s="9"/>
      <c r="DP43" s="9"/>
      <c r="DQ43" s="9"/>
      <c r="DR43" s="9"/>
      <c r="DS43" s="9"/>
      <c r="DT43" s="9"/>
      <c r="DU43" s="9"/>
      <c r="DV43" s="9"/>
      <c r="DW43" s="9"/>
      <c r="DX43" s="9"/>
      <c r="DY43" s="9"/>
      <c r="DZ43" s="9"/>
      <c r="EA43" s="9"/>
    </row>
    <row r="44" spans="1:131">
      <c r="A44" s="9"/>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c r="BH44" s="9"/>
      <c r="BI44" s="9"/>
      <c r="BJ44" s="9"/>
      <c r="BK44" s="9"/>
      <c r="BL44" s="9"/>
      <c r="BM44" s="9"/>
      <c r="BN44" s="9"/>
      <c r="BO44" s="9"/>
      <c r="BP44" s="9"/>
      <c r="BQ44" s="9"/>
      <c r="BR44" s="9"/>
      <c r="BS44" s="9"/>
      <c r="BT44" s="9"/>
      <c r="BU44" s="9"/>
      <c r="BV44" s="9"/>
      <c r="BW44" s="9"/>
      <c r="BX44" s="9"/>
      <c r="BY44" s="9"/>
      <c r="BZ44" s="9"/>
      <c r="CA44" s="9"/>
      <c r="CB44" s="9"/>
      <c r="CC44" s="9"/>
      <c r="CD44" s="9"/>
      <c r="CE44" s="9"/>
      <c r="CF44" s="9"/>
      <c r="CG44" s="9"/>
      <c r="CH44" s="9"/>
      <c r="CI44" s="9"/>
      <c r="CJ44" s="9"/>
      <c r="CK44" s="9"/>
      <c r="CL44" s="9"/>
      <c r="CM44" s="9"/>
      <c r="CN44" s="9"/>
      <c r="CO44" s="9"/>
      <c r="CP44" s="9"/>
      <c r="CQ44" s="9"/>
      <c r="CR44" s="9"/>
      <c r="CS44" s="9"/>
      <c r="CT44" s="9"/>
      <c r="CU44" s="9"/>
      <c r="CV44" s="9"/>
      <c r="CW44" s="9"/>
      <c r="CX44" s="9"/>
      <c r="CY44" s="9"/>
      <c r="CZ44" s="9"/>
      <c r="DA44" s="9"/>
      <c r="DB44" s="9"/>
      <c r="DC44" s="9"/>
      <c r="DD44" s="9"/>
      <c r="DE44" s="9"/>
      <c r="DF44" s="9"/>
      <c r="DG44" s="9"/>
      <c r="DH44" s="9"/>
      <c r="DI44" s="9"/>
      <c r="DJ44" s="9"/>
      <c r="DK44" s="9"/>
      <c r="DL44" s="9"/>
      <c r="DM44" s="9"/>
      <c r="DN44" s="9"/>
      <c r="DO44" s="9"/>
      <c r="DP44" s="9"/>
      <c r="DQ44" s="9"/>
      <c r="DR44" s="9"/>
      <c r="DS44" s="9"/>
      <c r="DT44" s="9"/>
      <c r="DU44" s="9"/>
      <c r="DV44" s="9"/>
      <c r="DW44" s="9"/>
      <c r="DX44" s="9"/>
      <c r="DY44" s="9"/>
      <c r="DZ44" s="9"/>
      <c r="EA44" s="9"/>
    </row>
    <row r="45" spans="1:131" ht="13.5" thickBot="1">
      <c r="A45" s="32" t="s">
        <v>1251</v>
      </c>
      <c r="B45" s="33"/>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c r="BF45" s="34"/>
      <c r="BG45" s="34"/>
      <c r="BH45" s="34"/>
      <c r="BI45" s="34"/>
      <c r="BJ45" s="34"/>
      <c r="BK45" s="34"/>
      <c r="BL45" s="34"/>
      <c r="BM45" s="34"/>
      <c r="BN45" s="34"/>
      <c r="BO45" s="34"/>
      <c r="BP45" s="34"/>
      <c r="BQ45" s="34"/>
      <c r="BR45" s="34"/>
      <c r="BS45" s="34"/>
      <c r="BT45" s="34"/>
      <c r="BU45" s="34"/>
      <c r="BV45" s="34"/>
      <c r="BW45" s="34"/>
      <c r="BX45" s="34"/>
      <c r="BY45" s="34"/>
      <c r="BZ45" s="34"/>
      <c r="CA45" s="34"/>
      <c r="CB45" s="34"/>
      <c r="CC45" s="34"/>
      <c r="CD45" s="34"/>
      <c r="CE45" s="34"/>
      <c r="CF45" s="34"/>
      <c r="CG45" s="34"/>
      <c r="CH45" s="34"/>
      <c r="CI45" s="34"/>
      <c r="CJ45" s="34"/>
      <c r="CK45" s="34"/>
      <c r="CL45" s="34"/>
      <c r="CM45" s="34"/>
      <c r="CN45" s="34"/>
      <c r="CO45" s="34"/>
      <c r="CP45" s="34"/>
      <c r="CQ45" s="34"/>
      <c r="CR45" s="34"/>
      <c r="CS45" s="34"/>
      <c r="CT45" s="34"/>
      <c r="CU45" s="34"/>
      <c r="CV45" s="34"/>
      <c r="CW45" s="34"/>
      <c r="CX45" s="9"/>
      <c r="CY45" s="9"/>
      <c r="CZ45" s="9"/>
      <c r="DA45" s="9"/>
      <c r="DB45" s="9"/>
      <c r="DC45" s="9"/>
      <c r="DD45" s="9"/>
      <c r="DE45" s="9"/>
      <c r="DF45" s="9"/>
      <c r="DG45" s="9"/>
      <c r="DH45" s="9"/>
      <c r="DI45" s="9"/>
      <c r="DJ45" s="9"/>
      <c r="DK45" s="9"/>
      <c r="DL45" s="9"/>
      <c r="DM45" s="9"/>
      <c r="DN45" s="9"/>
      <c r="DO45" s="9"/>
      <c r="DP45" s="9"/>
      <c r="DQ45" s="9"/>
      <c r="DR45" s="9"/>
      <c r="DS45" s="9"/>
      <c r="DT45" s="9"/>
      <c r="DU45" s="9"/>
      <c r="DV45" s="9"/>
      <c r="DW45" s="9"/>
      <c r="DX45" s="9"/>
      <c r="DY45" s="9"/>
      <c r="DZ45" s="9"/>
      <c r="EA45" s="9"/>
    </row>
    <row r="46" spans="1:131" ht="26.25" thickBot="1">
      <c r="A46" s="422" t="s">
        <v>1252</v>
      </c>
      <c r="B46" s="423"/>
      <c r="C46" s="424" t="s">
        <v>1253</v>
      </c>
      <c r="D46" s="425"/>
      <c r="E46" s="425"/>
      <c r="F46" s="425"/>
      <c r="G46" s="425"/>
      <c r="H46" s="425"/>
      <c r="I46" s="425"/>
      <c r="J46" s="425"/>
      <c r="K46" s="426"/>
      <c r="L46" s="424" t="s">
        <v>1254</v>
      </c>
      <c r="M46" s="425"/>
      <c r="N46" s="425"/>
      <c r="O46" s="425"/>
      <c r="P46" s="425"/>
      <c r="Q46" s="426"/>
      <c r="R46" s="424" t="s">
        <v>1255</v>
      </c>
      <c r="S46" s="425"/>
      <c r="T46" s="425"/>
      <c r="U46" s="426"/>
      <c r="V46" s="424" t="s">
        <v>1256</v>
      </c>
      <c r="W46" s="425"/>
      <c r="X46" s="425"/>
      <c r="Y46" s="426"/>
      <c r="Z46" s="424" t="s">
        <v>1257</v>
      </c>
      <c r="AA46" s="425"/>
      <c r="AB46" s="425"/>
      <c r="AC46" s="426"/>
      <c r="AD46" s="424" t="s">
        <v>1258</v>
      </c>
      <c r="AE46" s="425"/>
      <c r="AF46" s="425"/>
      <c r="AG46" s="426"/>
      <c r="AH46" s="424" t="s">
        <v>1259</v>
      </c>
      <c r="AI46" s="425"/>
      <c r="AJ46" s="425"/>
      <c r="AK46" s="425"/>
      <c r="AL46" s="426"/>
      <c r="AM46" s="424" t="s">
        <v>1260</v>
      </c>
      <c r="AN46" s="425"/>
      <c r="AO46" s="425"/>
      <c r="AP46" s="425"/>
      <c r="AQ46" s="425"/>
      <c r="AR46" s="425"/>
      <c r="AS46" s="426"/>
      <c r="AT46" s="424" t="s">
        <v>1261</v>
      </c>
      <c r="AU46" s="425"/>
      <c r="AV46" s="425"/>
      <c r="AW46" s="425"/>
      <c r="AX46" s="425"/>
      <c r="AY46" s="425"/>
      <c r="AZ46" s="426"/>
      <c r="BA46" s="424" t="s">
        <v>1262</v>
      </c>
      <c r="BB46" s="425"/>
      <c r="BC46" s="425"/>
      <c r="BD46" s="425"/>
      <c r="BE46" s="425"/>
      <c r="BF46" s="426"/>
      <c r="BG46" s="424" t="s">
        <v>1263</v>
      </c>
      <c r="BH46" s="426"/>
      <c r="BI46" s="424" t="s">
        <v>1264</v>
      </c>
      <c r="BJ46" s="425"/>
      <c r="BK46" s="425"/>
      <c r="BL46" s="425"/>
      <c r="BM46" s="426"/>
      <c r="BN46" s="424" t="s">
        <v>1265</v>
      </c>
      <c r="BO46" s="425"/>
      <c r="BP46" s="425"/>
      <c r="BQ46" s="425"/>
      <c r="BR46" s="425"/>
      <c r="BS46" s="425"/>
      <c r="BT46" s="425"/>
      <c r="BU46" s="425"/>
      <c r="BV46" s="425"/>
      <c r="BW46" s="425"/>
      <c r="BX46" s="425"/>
      <c r="BY46" s="425"/>
      <c r="BZ46" s="425"/>
      <c r="CA46" s="425"/>
      <c r="CB46" s="425"/>
      <c r="CC46" s="426"/>
      <c r="CD46" s="424" t="s">
        <v>1266</v>
      </c>
      <c r="CE46" s="426"/>
      <c r="CF46" s="424" t="s">
        <v>1267</v>
      </c>
      <c r="CG46" s="425"/>
      <c r="CH46" s="425"/>
      <c r="CI46" s="425"/>
      <c r="CJ46" s="425"/>
      <c r="CK46" s="426"/>
      <c r="CL46" s="427"/>
      <c r="CM46" s="424" t="s">
        <v>5</v>
      </c>
      <c r="CN46" s="425"/>
      <c r="CO46" s="425"/>
      <c r="CP46" s="426"/>
      <c r="CQ46" s="424" t="s">
        <v>1268</v>
      </c>
      <c r="CR46" s="425"/>
      <c r="CS46" s="425"/>
      <c r="CT46" s="425"/>
      <c r="CU46" s="426"/>
      <c r="CV46" s="424" t="s">
        <v>1269</v>
      </c>
      <c r="CW46" s="426"/>
      <c r="CX46" s="9"/>
      <c r="CY46" s="9"/>
      <c r="CZ46" s="9"/>
      <c r="DA46" s="9"/>
      <c r="DB46" s="9"/>
      <c r="DC46" s="9"/>
      <c r="DD46" s="9"/>
      <c r="DE46" s="9"/>
      <c r="DF46" s="9"/>
      <c r="DG46" s="9"/>
      <c r="DH46" s="9"/>
      <c r="DI46" s="9"/>
      <c r="DJ46" s="9"/>
      <c r="DK46" s="9"/>
      <c r="DL46" s="9"/>
      <c r="DM46" s="9"/>
      <c r="DN46" s="9"/>
      <c r="DO46" s="9"/>
      <c r="DP46" s="9"/>
      <c r="DQ46" s="9"/>
      <c r="DR46" s="9"/>
      <c r="DS46" s="9"/>
      <c r="DT46" s="9"/>
      <c r="DU46" s="9"/>
      <c r="DV46" s="9"/>
      <c r="DW46" s="9"/>
      <c r="DX46" s="9"/>
      <c r="DY46" s="9"/>
      <c r="DZ46" s="9"/>
      <c r="EA46" s="9"/>
    </row>
    <row r="47" spans="1:131" ht="204">
      <c r="A47" s="35" t="s">
        <v>21</v>
      </c>
      <c r="B47" s="36" t="s">
        <v>22</v>
      </c>
      <c r="C47" s="37" t="s">
        <v>144</v>
      </c>
      <c r="D47" s="37" t="s">
        <v>1270</v>
      </c>
      <c r="E47" s="37" t="s">
        <v>1271</v>
      </c>
      <c r="F47" s="37" t="s">
        <v>1272</v>
      </c>
      <c r="G47" s="37" t="s">
        <v>1273</v>
      </c>
      <c r="H47" s="37" t="s">
        <v>1274</v>
      </c>
      <c r="I47" s="37" t="s">
        <v>1275</v>
      </c>
      <c r="J47" s="37" t="s">
        <v>1276</v>
      </c>
      <c r="K47" s="37" t="s">
        <v>1277</v>
      </c>
      <c r="L47" s="37" t="s">
        <v>1278</v>
      </c>
      <c r="M47" s="37" t="s">
        <v>1279</v>
      </c>
      <c r="N47" s="37" t="s">
        <v>1280</v>
      </c>
      <c r="O47" s="37" t="s">
        <v>1281</v>
      </c>
      <c r="P47" s="37" t="s">
        <v>1282</v>
      </c>
      <c r="Q47" s="37" t="s">
        <v>1283</v>
      </c>
      <c r="R47" s="37" t="s">
        <v>1284</v>
      </c>
      <c r="S47" s="37" t="s">
        <v>1285</v>
      </c>
      <c r="T47" s="37" t="s">
        <v>1286</v>
      </c>
      <c r="U47" s="37" t="s">
        <v>1193</v>
      </c>
      <c r="V47" s="37" t="s">
        <v>1284</v>
      </c>
      <c r="W47" s="37" t="s">
        <v>1285</v>
      </c>
      <c r="X47" s="37" t="s">
        <v>1286</v>
      </c>
      <c r="Y47" s="37" t="s">
        <v>1193</v>
      </c>
      <c r="Z47" s="37" t="s">
        <v>1284</v>
      </c>
      <c r="AA47" s="37" t="s">
        <v>1285</v>
      </c>
      <c r="AB47" s="37" t="s">
        <v>1286</v>
      </c>
      <c r="AC47" s="37" t="s">
        <v>1193</v>
      </c>
      <c r="AD47" s="37" t="s">
        <v>1284</v>
      </c>
      <c r="AE47" s="37" t="s">
        <v>1285</v>
      </c>
      <c r="AF47" s="37" t="s">
        <v>1286</v>
      </c>
      <c r="AG47" s="37" t="s">
        <v>1193</v>
      </c>
      <c r="AH47" s="37" t="s">
        <v>1284</v>
      </c>
      <c r="AI47" s="37" t="s">
        <v>1285</v>
      </c>
      <c r="AJ47" s="37" t="s">
        <v>1286</v>
      </c>
      <c r="AK47" s="37" t="s">
        <v>1193</v>
      </c>
      <c r="AL47" s="37" t="s">
        <v>169</v>
      </c>
      <c r="AM47" s="37" t="s">
        <v>1287</v>
      </c>
      <c r="AN47" s="37" t="s">
        <v>1288</v>
      </c>
      <c r="AO47" s="37" t="s">
        <v>1289</v>
      </c>
      <c r="AP47" s="37" t="s">
        <v>1290</v>
      </c>
      <c r="AQ47" s="37" t="s">
        <v>1291</v>
      </c>
      <c r="AR47" s="37" t="s">
        <v>1292</v>
      </c>
      <c r="AS47" s="37" t="s">
        <v>1293</v>
      </c>
      <c r="AT47" s="37" t="s">
        <v>1294</v>
      </c>
      <c r="AU47" s="37" t="s">
        <v>1295</v>
      </c>
      <c r="AV47" s="37" t="s">
        <v>1296</v>
      </c>
      <c r="AW47" s="37" t="s">
        <v>1297</v>
      </c>
      <c r="AX47" s="37" t="s">
        <v>1298</v>
      </c>
      <c r="AY47" s="37" t="s">
        <v>1299</v>
      </c>
      <c r="AZ47" s="37" t="s">
        <v>1300</v>
      </c>
      <c r="BA47" s="37" t="s">
        <v>1301</v>
      </c>
      <c r="BB47" s="37" t="s">
        <v>1302</v>
      </c>
      <c r="BC47" s="37" t="s">
        <v>1303</v>
      </c>
      <c r="BD47" s="37" t="s">
        <v>1304</v>
      </c>
      <c r="BE47" s="37" t="s">
        <v>1305</v>
      </c>
      <c r="BF47" s="37" t="s">
        <v>1306</v>
      </c>
      <c r="BG47" s="37" t="s">
        <v>1307</v>
      </c>
      <c r="BH47" s="37" t="s">
        <v>1308</v>
      </c>
      <c r="BI47" s="37" t="s">
        <v>1309</v>
      </c>
      <c r="BJ47" s="37" t="s">
        <v>1310</v>
      </c>
      <c r="BK47" s="37" t="s">
        <v>1311</v>
      </c>
      <c r="BL47" s="37" t="s">
        <v>1312</v>
      </c>
      <c r="BM47" s="37" t="s">
        <v>1313</v>
      </c>
      <c r="BN47" s="37" t="s">
        <v>1314</v>
      </c>
      <c r="BO47" s="37" t="s">
        <v>1315</v>
      </c>
      <c r="BP47" s="37" t="s">
        <v>1316</v>
      </c>
      <c r="BQ47" s="37" t="s">
        <v>1317</v>
      </c>
      <c r="BR47" s="37" t="s">
        <v>1318</v>
      </c>
      <c r="BS47" s="37" t="s">
        <v>1319</v>
      </c>
      <c r="BT47" s="37" t="s">
        <v>1320</v>
      </c>
      <c r="BU47" s="37" t="s">
        <v>1321</v>
      </c>
      <c r="BV47" s="37" t="s">
        <v>1322</v>
      </c>
      <c r="BW47" s="37" t="s">
        <v>1323</v>
      </c>
      <c r="BX47" s="37" t="s">
        <v>1324</v>
      </c>
      <c r="BY47" s="37" t="s">
        <v>1325</v>
      </c>
      <c r="BZ47" s="37" t="s">
        <v>1326</v>
      </c>
      <c r="CA47" s="37" t="s">
        <v>1327</v>
      </c>
      <c r="CB47" s="37" t="s">
        <v>1328</v>
      </c>
      <c r="CC47" s="37" t="s">
        <v>1329</v>
      </c>
      <c r="CD47" s="37" t="s">
        <v>23</v>
      </c>
      <c r="CE47" s="37" t="s">
        <v>24</v>
      </c>
      <c r="CF47" s="37" t="s">
        <v>1330</v>
      </c>
      <c r="CG47" s="37" t="s">
        <v>1331</v>
      </c>
      <c r="CH47" s="37" t="s">
        <v>1332</v>
      </c>
      <c r="CI47" s="37" t="s">
        <v>1333</v>
      </c>
      <c r="CJ47" s="37" t="s">
        <v>1334</v>
      </c>
      <c r="CK47" s="37" t="s">
        <v>1335</v>
      </c>
      <c r="CL47" s="37"/>
      <c r="CM47" s="37" t="s">
        <v>1336</v>
      </c>
      <c r="CN47" s="37" t="s">
        <v>1337</v>
      </c>
      <c r="CO47" s="37" t="s">
        <v>1338</v>
      </c>
      <c r="CP47" s="37" t="s">
        <v>1339</v>
      </c>
      <c r="CQ47" s="37" t="s">
        <v>1340</v>
      </c>
      <c r="CR47" s="37" t="s">
        <v>1341</v>
      </c>
      <c r="CS47" s="37" t="s">
        <v>1342</v>
      </c>
      <c r="CT47" s="37" t="s">
        <v>1343</v>
      </c>
      <c r="CU47" s="37" t="s">
        <v>1344</v>
      </c>
      <c r="CV47" s="37" t="s">
        <v>1345</v>
      </c>
      <c r="CW47" s="428" t="s">
        <v>1346</v>
      </c>
      <c r="CX47" s="9"/>
      <c r="CY47" s="9"/>
      <c r="CZ47" s="9"/>
      <c r="DA47" s="9"/>
      <c r="DB47" s="9"/>
      <c r="DC47" s="9"/>
      <c r="DD47" s="9"/>
      <c r="DE47" s="9"/>
      <c r="DF47" s="9"/>
      <c r="DG47" s="9"/>
      <c r="DH47" s="9"/>
      <c r="DI47" s="9"/>
      <c r="DJ47" s="9"/>
      <c r="DK47" s="9"/>
      <c r="DL47" s="9"/>
      <c r="DM47" s="9"/>
      <c r="DN47" s="9"/>
      <c r="DO47" s="9"/>
      <c r="DP47" s="9"/>
      <c r="DQ47" s="9"/>
      <c r="DR47" s="9"/>
      <c r="DS47" s="9"/>
      <c r="DT47" s="9"/>
      <c r="DU47" s="9"/>
      <c r="DV47" s="9"/>
      <c r="DW47" s="9"/>
      <c r="DX47" s="9"/>
      <c r="DY47" s="9"/>
      <c r="DZ47" s="9"/>
      <c r="EA47" s="9"/>
    </row>
    <row r="48" spans="1:131">
      <c r="A48" s="9" t="s">
        <v>1177</v>
      </c>
      <c r="B48" s="9" t="s">
        <v>962</v>
      </c>
      <c r="C48" s="34">
        <v>20</v>
      </c>
      <c r="D48" s="34">
        <v>569.66842729033488</v>
      </c>
      <c r="E48" s="34">
        <v>0</v>
      </c>
      <c r="F48" s="34">
        <v>46.141192690137672</v>
      </c>
      <c r="G48" s="34">
        <v>0</v>
      </c>
      <c r="H48" s="34">
        <v>0</v>
      </c>
      <c r="I48" s="34" t="s">
        <v>1172</v>
      </c>
      <c r="J48" s="34"/>
      <c r="K48" s="34"/>
      <c r="L48" s="34">
        <v>613.62026105189364</v>
      </c>
      <c r="M48" s="34">
        <v>0.21436530009117385</v>
      </c>
      <c r="N48" s="34">
        <v>0.21281810748585794</v>
      </c>
      <c r="O48" s="34">
        <v>0</v>
      </c>
      <c r="P48" s="34">
        <v>0</v>
      </c>
      <c r="Q48" s="34">
        <v>0</v>
      </c>
      <c r="R48" s="34">
        <v>9.2011701996362323</v>
      </c>
      <c r="S48" s="34">
        <v>21.262504841272069</v>
      </c>
      <c r="T48" s="34">
        <v>0</v>
      </c>
      <c r="U48" s="34">
        <v>16.440853551255323</v>
      </c>
      <c r="V48" s="34" t="s">
        <v>1347</v>
      </c>
      <c r="W48" s="34" t="s">
        <v>1347</v>
      </c>
      <c r="X48" s="34" t="s">
        <v>1347</v>
      </c>
      <c r="Y48" s="34" t="s">
        <v>1347</v>
      </c>
      <c r="Z48" s="34">
        <v>0</v>
      </c>
      <c r="AA48" s="34">
        <v>0</v>
      </c>
      <c r="AB48" s="34">
        <v>0</v>
      </c>
      <c r="AC48" s="34">
        <v>0</v>
      </c>
      <c r="AD48" s="34">
        <v>0</v>
      </c>
      <c r="AE48" s="34">
        <v>0</v>
      </c>
      <c r="AF48" s="34">
        <v>0</v>
      </c>
      <c r="AG48" s="34">
        <v>0</v>
      </c>
      <c r="AH48" s="34">
        <v>9.2011701996362323</v>
      </c>
      <c r="AI48" s="34">
        <v>21.262504841272069</v>
      </c>
      <c r="AJ48" s="34">
        <v>0</v>
      </c>
      <c r="AK48" s="34">
        <v>16.440853551255323</v>
      </c>
      <c r="AL48" s="34">
        <v>46.904528592163622</v>
      </c>
      <c r="AM48" s="34">
        <v>318.92371501876517</v>
      </c>
      <c r="AN48" s="34">
        <v>75.745654017175582</v>
      </c>
      <c r="AO48" s="34">
        <v>0</v>
      </c>
      <c r="AP48" s="34">
        <v>0</v>
      </c>
      <c r="AQ48" s="34">
        <v>394.66936903594075</v>
      </c>
      <c r="AR48" s="34">
        <v>9.2011701996362323</v>
      </c>
      <c r="AS48" s="429">
        <v>42.893388609586196</v>
      </c>
      <c r="AT48" s="34">
        <v>318.92371501876517</v>
      </c>
      <c r="AU48" s="34">
        <v>89.660293518387803</v>
      </c>
      <c r="AV48" s="34">
        <v>0</v>
      </c>
      <c r="AW48" s="34">
        <v>0</v>
      </c>
      <c r="AX48" s="34">
        <v>408.58400853715295</v>
      </c>
      <c r="AY48" s="34">
        <v>21.262504841272069</v>
      </c>
      <c r="AZ48" s="429">
        <v>19.216174744570154</v>
      </c>
      <c r="BA48" s="34">
        <v>318.92371501876517</v>
      </c>
      <c r="BB48" s="34">
        <v>165.40594753556337</v>
      </c>
      <c r="BC48" s="34">
        <v>0</v>
      </c>
      <c r="BD48" s="34">
        <v>0</v>
      </c>
      <c r="BE48" s="34">
        <v>484.32966255432854</v>
      </c>
      <c r="BF48" s="34">
        <v>30.463675040908299</v>
      </c>
      <c r="BG48" s="34">
        <v>-16.18148753181374</v>
      </c>
      <c r="BH48" s="429">
        <v>15.89859601325001</v>
      </c>
      <c r="BI48" s="34">
        <v>1.1033504780305754</v>
      </c>
      <c r="BJ48" s="34">
        <v>2.5496751360682852</v>
      </c>
      <c r="BK48" s="34">
        <v>0</v>
      </c>
      <c r="BL48" s="34">
        <v>1.9714909333733888</v>
      </c>
      <c r="BM48" s="34">
        <v>5.6245165474722487</v>
      </c>
      <c r="BN48" s="34">
        <v>318.92371501876517</v>
      </c>
      <c r="BO48" s="34">
        <v>0</v>
      </c>
      <c r="BP48" s="34">
        <v>165.40594753556337</v>
      </c>
      <c r="BQ48" s="34">
        <v>0</v>
      </c>
      <c r="BR48" s="34">
        <v>0</v>
      </c>
      <c r="BS48" s="34">
        <v>0</v>
      </c>
      <c r="BT48" s="34">
        <v>0</v>
      </c>
      <c r="BU48" s="34">
        <v>0</v>
      </c>
      <c r="BV48" s="34">
        <v>792.71160259201747</v>
      </c>
      <c r="BW48" s="34">
        <v>0</v>
      </c>
      <c r="BX48" s="34">
        <v>46.904528592163622</v>
      </c>
      <c r="BY48" s="34"/>
      <c r="BZ48" s="34">
        <v>0</v>
      </c>
      <c r="CA48" s="34">
        <v>0</v>
      </c>
      <c r="CB48" s="34">
        <v>1277.0412651463459</v>
      </c>
      <c r="CC48" s="34">
        <v>46.904528592163622</v>
      </c>
      <c r="CD48" s="429">
        <v>27.226395904119634</v>
      </c>
      <c r="CE48" s="34">
        <v>-109.26733242457959</v>
      </c>
      <c r="CF48" s="34">
        <v>5.829463323221697</v>
      </c>
      <c r="CG48" s="34">
        <v>0</v>
      </c>
      <c r="CH48" s="34">
        <v>5.829463323221697</v>
      </c>
      <c r="CI48" s="34">
        <v>0.29146962399964949</v>
      </c>
      <c r="CJ48" s="34">
        <v>0</v>
      </c>
      <c r="CK48" s="34">
        <v>0.29146962399964949</v>
      </c>
      <c r="CL48" s="34"/>
      <c r="CM48" s="34">
        <v>0</v>
      </c>
      <c r="CN48" s="34"/>
      <c r="CO48" s="34">
        <v>0</v>
      </c>
      <c r="CP48" s="34">
        <v>0</v>
      </c>
      <c r="CQ48" s="34">
        <v>0</v>
      </c>
      <c r="CR48" s="34">
        <v>0</v>
      </c>
      <c r="CS48" s="34">
        <v>0</v>
      </c>
      <c r="CT48" s="34">
        <v>0</v>
      </c>
      <c r="CU48" s="34">
        <v>0</v>
      </c>
      <c r="CV48" s="34">
        <v>9999</v>
      </c>
      <c r="CW48" s="429">
        <v>9999</v>
      </c>
      <c r="CX48" s="9"/>
      <c r="CY48" s="9"/>
      <c r="CZ48" s="9"/>
      <c r="DA48" s="9"/>
      <c r="DB48" s="9"/>
      <c r="DC48" s="9"/>
      <c r="DD48" s="9"/>
      <c r="DE48" s="9"/>
      <c r="DF48" s="9"/>
      <c r="DG48" s="9"/>
      <c r="DH48" s="9"/>
      <c r="DI48" s="9"/>
      <c r="DJ48" s="9"/>
      <c r="DK48" s="9"/>
      <c r="DL48" s="9"/>
      <c r="DM48" s="9"/>
      <c r="DN48" s="9"/>
      <c r="DO48" s="9"/>
      <c r="DP48" s="9"/>
      <c r="DQ48" s="9"/>
      <c r="DR48" s="9"/>
      <c r="DS48" s="9"/>
      <c r="DT48" s="9"/>
      <c r="DU48" s="9"/>
      <c r="DV48" s="9"/>
      <c r="DW48" s="9"/>
      <c r="DX48" s="9"/>
      <c r="DY48" s="9"/>
      <c r="DZ48" s="9"/>
      <c r="EA48" s="9"/>
    </row>
    <row r="49" spans="1:131">
      <c r="A49" s="9" t="s">
        <v>1177</v>
      </c>
      <c r="B49" s="9" t="s">
        <v>963</v>
      </c>
      <c r="C49" s="34">
        <v>20</v>
      </c>
      <c r="D49" s="34">
        <v>74.529988350894186</v>
      </c>
      <c r="E49" s="34">
        <v>0</v>
      </c>
      <c r="F49" s="34">
        <v>0</v>
      </c>
      <c r="G49" s="34">
        <v>0</v>
      </c>
      <c r="H49" s="34">
        <v>0</v>
      </c>
      <c r="I49" s="34" t="s">
        <v>1172</v>
      </c>
      <c r="J49" s="34"/>
      <c r="K49" s="34"/>
      <c r="L49" s="34">
        <v>80.280227439675414</v>
      </c>
      <c r="M49" s="34">
        <v>2.8045513062089595E-2</v>
      </c>
      <c r="N49" s="34">
        <v>2.7843093125637659E-2</v>
      </c>
      <c r="O49" s="34">
        <v>0</v>
      </c>
      <c r="P49" s="34">
        <v>0</v>
      </c>
      <c r="Q49" s="34">
        <v>0</v>
      </c>
      <c r="R49" s="34">
        <v>0</v>
      </c>
      <c r="S49" s="34">
        <v>0</v>
      </c>
      <c r="T49" s="34">
        <v>0</v>
      </c>
      <c r="U49" s="34">
        <v>0</v>
      </c>
      <c r="V49" s="34" t="s">
        <v>1347</v>
      </c>
      <c r="W49" s="34" t="s">
        <v>1347</v>
      </c>
      <c r="X49" s="34" t="s">
        <v>1347</v>
      </c>
      <c r="Y49" s="34" t="s">
        <v>1347</v>
      </c>
      <c r="Z49" s="34">
        <v>0</v>
      </c>
      <c r="AA49" s="34">
        <v>0</v>
      </c>
      <c r="AB49" s="34">
        <v>0</v>
      </c>
      <c r="AC49" s="34">
        <v>0</v>
      </c>
      <c r="AD49" s="34">
        <v>0</v>
      </c>
      <c r="AE49" s="34">
        <v>0</v>
      </c>
      <c r="AF49" s="34">
        <v>0</v>
      </c>
      <c r="AG49" s="34">
        <v>0</v>
      </c>
      <c r="AH49" s="34">
        <v>0</v>
      </c>
      <c r="AI49" s="34">
        <v>0</v>
      </c>
      <c r="AJ49" s="34">
        <v>0</v>
      </c>
      <c r="AK49" s="34">
        <v>0</v>
      </c>
      <c r="AL49" s="34">
        <v>0</v>
      </c>
      <c r="AM49" s="34">
        <v>41.724939678038865</v>
      </c>
      <c r="AN49" s="34">
        <v>9.9098395506721388</v>
      </c>
      <c r="AO49" s="34">
        <v>0</v>
      </c>
      <c r="AP49" s="34">
        <v>0</v>
      </c>
      <c r="AQ49" s="34">
        <v>51.634779228711004</v>
      </c>
      <c r="AR49" s="34">
        <v>0</v>
      </c>
      <c r="AS49" s="429">
        <v>9999</v>
      </c>
      <c r="AT49" s="34">
        <v>41.724939678038865</v>
      </c>
      <c r="AU49" s="34">
        <v>11.730298382953006</v>
      </c>
      <c r="AV49" s="34">
        <v>0</v>
      </c>
      <c r="AW49" s="34">
        <v>0</v>
      </c>
      <c r="AX49" s="34">
        <v>53.455238060991874</v>
      </c>
      <c r="AY49" s="34">
        <v>0</v>
      </c>
      <c r="AZ49" s="429">
        <v>9999</v>
      </c>
      <c r="BA49" s="34">
        <v>41.724939678038865</v>
      </c>
      <c r="BB49" s="34">
        <v>21.640137933625144</v>
      </c>
      <c r="BC49" s="34">
        <v>0</v>
      </c>
      <c r="BD49" s="34">
        <v>0</v>
      </c>
      <c r="BE49" s="34">
        <v>63.365077611664013</v>
      </c>
      <c r="BF49" s="34">
        <v>0</v>
      </c>
      <c r="BG49" s="34">
        <v>-19.834513145912602</v>
      </c>
      <c r="BH49" s="429">
        <v>9999</v>
      </c>
      <c r="BI49" s="34">
        <v>0</v>
      </c>
      <c r="BJ49" s="34">
        <v>0</v>
      </c>
      <c r="BK49" s="34">
        <v>0</v>
      </c>
      <c r="BL49" s="34">
        <v>0</v>
      </c>
      <c r="BM49" s="34">
        <v>0</v>
      </c>
      <c r="BN49" s="34">
        <v>41.724939678038865</v>
      </c>
      <c r="BO49" s="34">
        <v>0</v>
      </c>
      <c r="BP49" s="34">
        <v>21.640137933625144</v>
      </c>
      <c r="BQ49" s="34">
        <v>0</v>
      </c>
      <c r="BR49" s="34">
        <v>0</v>
      </c>
      <c r="BS49" s="34">
        <v>0</v>
      </c>
      <c r="BT49" s="34">
        <v>0</v>
      </c>
      <c r="BU49" s="34">
        <v>0</v>
      </c>
      <c r="BV49" s="34">
        <v>0</v>
      </c>
      <c r="BW49" s="34">
        <v>0</v>
      </c>
      <c r="BX49" s="34">
        <v>0</v>
      </c>
      <c r="BY49" s="34"/>
      <c r="BZ49" s="34">
        <v>0</v>
      </c>
      <c r="CA49" s="34">
        <v>0</v>
      </c>
      <c r="CB49" s="34">
        <v>63.365077611664006</v>
      </c>
      <c r="CC49" s="34">
        <v>0</v>
      </c>
      <c r="CD49" s="429">
        <v>9999</v>
      </c>
      <c r="CE49" s="34">
        <v>-19.834513145912599</v>
      </c>
      <c r="CF49" s="34">
        <v>0.76267142912985908</v>
      </c>
      <c r="CG49" s="34">
        <v>0</v>
      </c>
      <c r="CH49" s="34">
        <v>0.76267142912985908</v>
      </c>
      <c r="CI49" s="34">
        <v>3.8133108033845821E-2</v>
      </c>
      <c r="CJ49" s="34">
        <v>0</v>
      </c>
      <c r="CK49" s="34">
        <v>3.8133108033845821E-2</v>
      </c>
      <c r="CL49" s="34"/>
      <c r="CM49" s="34">
        <v>0</v>
      </c>
      <c r="CN49" s="34"/>
      <c r="CO49" s="34">
        <v>0</v>
      </c>
      <c r="CP49" s="34">
        <v>0</v>
      </c>
      <c r="CQ49" s="34">
        <v>0</v>
      </c>
      <c r="CR49" s="34">
        <v>0</v>
      </c>
      <c r="CS49" s="34">
        <v>0</v>
      </c>
      <c r="CT49" s="34">
        <v>0</v>
      </c>
      <c r="CU49" s="34">
        <v>0</v>
      </c>
      <c r="CV49" s="34">
        <v>9999</v>
      </c>
      <c r="CW49" s="429">
        <v>9999</v>
      </c>
      <c r="CX49" s="9"/>
      <c r="CY49" s="9"/>
      <c r="CZ49" s="9"/>
      <c r="DA49" s="9"/>
      <c r="DB49" s="9"/>
      <c r="DC49" s="9"/>
      <c r="DD49" s="9"/>
      <c r="DE49" s="9"/>
      <c r="DF49" s="9"/>
      <c r="DG49" s="9"/>
      <c r="DH49" s="9"/>
      <c r="DI49" s="9"/>
      <c r="DJ49" s="9"/>
      <c r="DK49" s="9"/>
      <c r="DL49" s="9"/>
      <c r="DM49" s="9"/>
      <c r="DN49" s="9"/>
      <c r="DO49" s="9"/>
      <c r="DP49" s="9"/>
      <c r="DQ49" s="9"/>
      <c r="DR49" s="9"/>
      <c r="DS49" s="9"/>
      <c r="DT49" s="9"/>
      <c r="DU49" s="9"/>
      <c r="DV49" s="9"/>
      <c r="DW49" s="9"/>
      <c r="DX49" s="9"/>
      <c r="DY49" s="9"/>
      <c r="DZ49" s="9"/>
      <c r="EA49" s="9"/>
    </row>
    <row r="50" spans="1:131">
      <c r="A50" s="9" t="s">
        <v>1177</v>
      </c>
      <c r="B50" s="9" t="s">
        <v>964</v>
      </c>
      <c r="C50" s="34">
        <v>20</v>
      </c>
      <c r="D50" s="34">
        <v>1522.7604340357743</v>
      </c>
      <c r="E50" s="34">
        <v>0</v>
      </c>
      <c r="F50" s="34">
        <v>5522.810139946755</v>
      </c>
      <c r="G50" s="34">
        <v>0</v>
      </c>
      <c r="H50" s="34">
        <v>0</v>
      </c>
      <c r="I50" s="34" t="s">
        <v>1172</v>
      </c>
      <c r="J50" s="34"/>
      <c r="K50" s="34"/>
      <c r="L50" s="34">
        <v>1640.2465193604733</v>
      </c>
      <c r="M50" s="34">
        <v>0.57301226778832781</v>
      </c>
      <c r="N50" s="34">
        <v>0.56887652220310325</v>
      </c>
      <c r="O50" s="34">
        <v>0</v>
      </c>
      <c r="P50" s="34">
        <v>0</v>
      </c>
      <c r="Q50" s="34">
        <v>0</v>
      </c>
      <c r="R50" s="34">
        <v>1101.3221183766343</v>
      </c>
      <c r="S50" s="34">
        <v>2544.9879054197886</v>
      </c>
      <c r="T50" s="34">
        <v>0</v>
      </c>
      <c r="U50" s="34">
        <v>1967.866615672903</v>
      </c>
      <c r="V50" s="34" t="s">
        <v>1347</v>
      </c>
      <c r="W50" s="34" t="s">
        <v>1347</v>
      </c>
      <c r="X50" s="34" t="s">
        <v>1347</v>
      </c>
      <c r="Y50" s="34" t="s">
        <v>1347</v>
      </c>
      <c r="Z50" s="34">
        <v>0</v>
      </c>
      <c r="AA50" s="34">
        <v>0</v>
      </c>
      <c r="AB50" s="34">
        <v>0</v>
      </c>
      <c r="AC50" s="34">
        <v>0</v>
      </c>
      <c r="AD50" s="34">
        <v>0</v>
      </c>
      <c r="AE50" s="34">
        <v>0</v>
      </c>
      <c r="AF50" s="34">
        <v>0</v>
      </c>
      <c r="AG50" s="34">
        <v>0</v>
      </c>
      <c r="AH50" s="34">
        <v>1101.3221183766343</v>
      </c>
      <c r="AI50" s="34">
        <v>2544.9879054197886</v>
      </c>
      <c r="AJ50" s="34">
        <v>0</v>
      </c>
      <c r="AK50" s="34">
        <v>1967.866615672903</v>
      </c>
      <c r="AL50" s="34">
        <v>5614.1766394693259</v>
      </c>
      <c r="AM50" s="34">
        <v>852.50365202136186</v>
      </c>
      <c r="AN50" s="34">
        <v>202.47301669174814</v>
      </c>
      <c r="AO50" s="34">
        <v>0</v>
      </c>
      <c r="AP50" s="34">
        <v>0</v>
      </c>
      <c r="AQ50" s="34">
        <v>1054.97666871311</v>
      </c>
      <c r="AR50" s="34">
        <v>1101.3221183766343</v>
      </c>
      <c r="AS50" s="410">
        <v>0.95791835205140696</v>
      </c>
      <c r="AT50" s="34">
        <v>852.50365202136186</v>
      </c>
      <c r="AU50" s="34">
        <v>239.66774518864329</v>
      </c>
      <c r="AV50" s="34">
        <v>0</v>
      </c>
      <c r="AW50" s="34">
        <v>0</v>
      </c>
      <c r="AX50" s="34">
        <v>1092.1713972100051</v>
      </c>
      <c r="AY50" s="34">
        <v>2544.9879054197886</v>
      </c>
      <c r="AZ50" s="410">
        <v>0.4291460068961917</v>
      </c>
      <c r="BA50" s="34">
        <v>852.50365202136186</v>
      </c>
      <c r="BB50" s="34">
        <v>442.14076188039144</v>
      </c>
      <c r="BC50" s="34">
        <v>0</v>
      </c>
      <c r="BD50" s="34">
        <v>0</v>
      </c>
      <c r="BE50" s="34">
        <v>1294.6444139017533</v>
      </c>
      <c r="BF50" s="34">
        <v>3646.3100237964227</v>
      </c>
      <c r="BG50" s="34">
        <v>143.73960246713261</v>
      </c>
      <c r="BH50" s="410">
        <v>0.3550560444538971</v>
      </c>
      <c r="BI50" s="34">
        <v>49.405505934182543</v>
      </c>
      <c r="BJ50" s="34">
        <v>114.16860967886269</v>
      </c>
      <c r="BK50" s="34">
        <v>0</v>
      </c>
      <c r="BL50" s="34">
        <v>88.278846066958295</v>
      </c>
      <c r="BM50" s="34">
        <v>251.85296168000352</v>
      </c>
      <c r="BN50" s="34">
        <v>852.50365202136186</v>
      </c>
      <c r="BO50" s="34">
        <v>0</v>
      </c>
      <c r="BP50" s="34">
        <v>442.14076188039144</v>
      </c>
      <c r="BQ50" s="34">
        <v>0</v>
      </c>
      <c r="BR50" s="34">
        <v>0</v>
      </c>
      <c r="BS50" s="34">
        <v>0</v>
      </c>
      <c r="BT50" s="34">
        <v>0</v>
      </c>
      <c r="BU50" s="34">
        <v>0</v>
      </c>
      <c r="BV50" s="34">
        <v>0</v>
      </c>
      <c r="BW50" s="34">
        <v>0</v>
      </c>
      <c r="BX50" s="34">
        <v>5614.1766394693259</v>
      </c>
      <c r="BY50" s="34"/>
      <c r="BZ50" s="34">
        <v>0</v>
      </c>
      <c r="CA50" s="34">
        <v>0</v>
      </c>
      <c r="CB50" s="34">
        <v>1294.6444139017533</v>
      </c>
      <c r="CC50" s="34">
        <v>5614.1766394693259</v>
      </c>
      <c r="CD50" s="410">
        <v>0.2306027218310196</v>
      </c>
      <c r="CE50" s="34">
        <v>232.01844853409094</v>
      </c>
      <c r="CF50" s="34">
        <v>15.582531302442277</v>
      </c>
      <c r="CG50" s="34">
        <v>0</v>
      </c>
      <c r="CH50" s="34">
        <v>15.582531302442277</v>
      </c>
      <c r="CI50" s="34">
        <v>0.77911709669622486</v>
      </c>
      <c r="CJ50" s="34">
        <v>0</v>
      </c>
      <c r="CK50" s="34">
        <v>0.77911709669622486</v>
      </c>
      <c r="CL50" s="34"/>
      <c r="CM50" s="34">
        <v>0</v>
      </c>
      <c r="CN50" s="34"/>
      <c r="CO50" s="34">
        <v>0</v>
      </c>
      <c r="CP50" s="34">
        <v>0</v>
      </c>
      <c r="CQ50" s="34">
        <v>0</v>
      </c>
      <c r="CR50" s="34">
        <v>0</v>
      </c>
      <c r="CS50" s="34">
        <v>0</v>
      </c>
      <c r="CT50" s="34">
        <v>0</v>
      </c>
      <c r="CU50" s="34">
        <v>0</v>
      </c>
      <c r="CV50" s="34">
        <v>9999</v>
      </c>
      <c r="CW50" s="429">
        <v>9999</v>
      </c>
      <c r="CX50" s="9"/>
      <c r="CY50" s="9"/>
      <c r="CZ50" s="9"/>
      <c r="DA50" s="9"/>
      <c r="DB50" s="9"/>
      <c r="DC50" s="9"/>
      <c r="DD50" s="9"/>
      <c r="DE50" s="9"/>
      <c r="DF50" s="9"/>
      <c r="DG50" s="9"/>
      <c r="DH50" s="9"/>
      <c r="DI50" s="9"/>
      <c r="DJ50" s="9"/>
      <c r="DK50" s="9"/>
      <c r="DL50" s="9"/>
      <c r="DM50" s="9"/>
      <c r="DN50" s="9"/>
      <c r="DO50" s="9"/>
      <c r="DP50" s="9"/>
      <c r="DQ50" s="9"/>
      <c r="DR50" s="9"/>
      <c r="DS50" s="9"/>
      <c r="DT50" s="9"/>
      <c r="DU50" s="9"/>
      <c r="DV50" s="9"/>
      <c r="DW50" s="9"/>
      <c r="DX50" s="9"/>
      <c r="DY50" s="9"/>
      <c r="DZ50" s="9"/>
      <c r="EA50" s="9"/>
    </row>
    <row r="51" spans="1:131">
      <c r="A51" s="9" t="s">
        <v>1174</v>
      </c>
      <c r="B51" s="9" t="s">
        <v>962</v>
      </c>
      <c r="C51" s="34">
        <v>20</v>
      </c>
      <c r="D51" s="34">
        <v>1577.5789753112574</v>
      </c>
      <c r="E51" s="34">
        <v>0</v>
      </c>
      <c r="F51" s="34">
        <v>88.829797572187445</v>
      </c>
      <c r="G51" s="34">
        <v>0</v>
      </c>
      <c r="H51" s="34">
        <v>0</v>
      </c>
      <c r="I51" s="34" t="s">
        <v>1172</v>
      </c>
      <c r="J51" s="34"/>
      <c r="K51" s="34"/>
      <c r="L51" s="34">
        <v>1699.2944953347539</v>
      </c>
      <c r="M51" s="34">
        <v>0.59364039546423686</v>
      </c>
      <c r="N51" s="34">
        <v>0.58935576530399902</v>
      </c>
      <c r="O51" s="34">
        <v>0</v>
      </c>
      <c r="P51" s="34">
        <v>0</v>
      </c>
      <c r="Q51" s="34">
        <v>0</v>
      </c>
      <c r="R51" s="34">
        <v>17.713848268938005</v>
      </c>
      <c r="S51" s="34">
        <v>40.93400908840308</v>
      </c>
      <c r="T51" s="34">
        <v>0</v>
      </c>
      <c r="U51" s="34">
        <v>31.651494201279</v>
      </c>
      <c r="V51" s="34" t="s">
        <v>1347</v>
      </c>
      <c r="W51" s="34" t="s">
        <v>1347</v>
      </c>
      <c r="X51" s="34" t="s">
        <v>1347</v>
      </c>
      <c r="Y51" s="34" t="s">
        <v>1347</v>
      </c>
      <c r="Z51" s="34">
        <v>0</v>
      </c>
      <c r="AA51" s="34">
        <v>0</v>
      </c>
      <c r="AB51" s="34">
        <v>0</v>
      </c>
      <c r="AC51" s="34">
        <v>0</v>
      </c>
      <c r="AD51" s="34">
        <v>0</v>
      </c>
      <c r="AE51" s="34">
        <v>0</v>
      </c>
      <c r="AF51" s="34">
        <v>0</v>
      </c>
      <c r="AG51" s="34">
        <v>0</v>
      </c>
      <c r="AH51" s="34">
        <v>17.713848268938005</v>
      </c>
      <c r="AI51" s="34">
        <v>40.93400908840308</v>
      </c>
      <c r="AJ51" s="34">
        <v>0</v>
      </c>
      <c r="AK51" s="34">
        <v>31.651494201279</v>
      </c>
      <c r="AL51" s="34">
        <v>90.299351558620089</v>
      </c>
      <c r="AM51" s="34">
        <v>883.19331639094128</v>
      </c>
      <c r="AN51" s="34">
        <v>209.76193435378096</v>
      </c>
      <c r="AO51" s="34">
        <v>0</v>
      </c>
      <c r="AP51" s="34">
        <v>0</v>
      </c>
      <c r="AQ51" s="34">
        <v>1092.9552507447222</v>
      </c>
      <c r="AR51" s="34">
        <v>17.713848268938005</v>
      </c>
      <c r="AS51" s="429">
        <v>61.700610401031057</v>
      </c>
      <c r="AT51" s="34">
        <v>883.19331639094128</v>
      </c>
      <c r="AU51" s="34">
        <v>248.29565269685543</v>
      </c>
      <c r="AV51" s="34">
        <v>0</v>
      </c>
      <c r="AW51" s="34">
        <v>0</v>
      </c>
      <c r="AX51" s="34">
        <v>1131.4889690877967</v>
      </c>
      <c r="AY51" s="34">
        <v>40.93400908840308</v>
      </c>
      <c r="AZ51" s="429">
        <v>27.641782329313944</v>
      </c>
      <c r="BA51" s="34">
        <v>883.19331639094128</v>
      </c>
      <c r="BB51" s="34">
        <v>458.05758705063636</v>
      </c>
      <c r="BC51" s="34">
        <v>0</v>
      </c>
      <c r="BD51" s="34">
        <v>0</v>
      </c>
      <c r="BE51" s="34">
        <v>1341.2509034415777</v>
      </c>
      <c r="BF51" s="34">
        <v>58.647857357341081</v>
      </c>
      <c r="BG51" s="34">
        <v>-17.294981587831032</v>
      </c>
      <c r="BH51" s="429">
        <v>22.869563593250188</v>
      </c>
      <c r="BI51" s="34">
        <v>0.76703359203634858</v>
      </c>
      <c r="BJ51" s="34">
        <v>1.7724979660452256</v>
      </c>
      <c r="BK51" s="34">
        <v>0</v>
      </c>
      <c r="BL51" s="34">
        <v>1.3705525147292126</v>
      </c>
      <c r="BM51" s="34">
        <v>3.9100840728107871</v>
      </c>
      <c r="BN51" s="34">
        <v>883.19331639094128</v>
      </c>
      <c r="BO51" s="34">
        <v>0</v>
      </c>
      <c r="BP51" s="34">
        <v>458.05758705063636</v>
      </c>
      <c r="BQ51" s="34">
        <v>0</v>
      </c>
      <c r="BR51" s="34">
        <v>0</v>
      </c>
      <c r="BS51" s="34">
        <v>0</v>
      </c>
      <c r="BT51" s="34">
        <v>0</v>
      </c>
      <c r="BU51" s="34">
        <v>0</v>
      </c>
      <c r="BV51" s="34">
        <v>792.71160259201747</v>
      </c>
      <c r="BW51" s="34">
        <v>0</v>
      </c>
      <c r="BX51" s="34">
        <v>90.299351558620089</v>
      </c>
      <c r="BY51" s="34"/>
      <c r="BZ51" s="34">
        <v>0</v>
      </c>
      <c r="CA51" s="34">
        <v>0</v>
      </c>
      <c r="CB51" s="34">
        <v>2133.9625060335948</v>
      </c>
      <c r="CC51" s="34">
        <v>90.299351558620089</v>
      </c>
      <c r="CD51" s="429">
        <v>23.632091141299941</v>
      </c>
      <c r="CE51" s="34">
        <v>-50.249913787299313</v>
      </c>
      <c r="CF51" s="34">
        <v>16.143493891360812</v>
      </c>
      <c r="CG51" s="34">
        <v>0</v>
      </c>
      <c r="CH51" s="34">
        <v>16.143493891360812</v>
      </c>
      <c r="CI51" s="34">
        <v>0.80716488528400809</v>
      </c>
      <c r="CJ51" s="34">
        <v>0</v>
      </c>
      <c r="CK51" s="34">
        <v>0.80716488528400809</v>
      </c>
      <c r="CL51" s="34"/>
      <c r="CM51" s="34">
        <v>0</v>
      </c>
      <c r="CN51" s="34"/>
      <c r="CO51" s="34">
        <v>0</v>
      </c>
      <c r="CP51" s="34">
        <v>0</v>
      </c>
      <c r="CQ51" s="34">
        <v>0</v>
      </c>
      <c r="CR51" s="34">
        <v>0</v>
      </c>
      <c r="CS51" s="34">
        <v>0</v>
      </c>
      <c r="CT51" s="34">
        <v>0</v>
      </c>
      <c r="CU51" s="34">
        <v>0</v>
      </c>
      <c r="CV51" s="34">
        <v>9999</v>
      </c>
      <c r="CW51" s="429">
        <v>9999</v>
      </c>
      <c r="CX51" s="9"/>
      <c r="CY51" s="9"/>
      <c r="CZ51" s="9"/>
      <c r="DA51" s="9"/>
      <c r="DB51" s="9"/>
      <c r="DC51" s="9"/>
      <c r="DD51" s="9"/>
      <c r="DE51" s="9"/>
      <c r="DF51" s="9"/>
      <c r="DG51" s="9"/>
      <c r="DH51" s="9"/>
      <c r="DI51" s="9"/>
      <c r="DJ51" s="9"/>
      <c r="DK51" s="9"/>
      <c r="DL51" s="9"/>
      <c r="DM51" s="9"/>
      <c r="DN51" s="9"/>
      <c r="DO51" s="9"/>
      <c r="DP51" s="9"/>
      <c r="DQ51" s="9"/>
      <c r="DR51" s="9"/>
      <c r="DS51" s="9"/>
      <c r="DT51" s="9"/>
      <c r="DU51" s="9"/>
      <c r="DV51" s="9"/>
      <c r="DW51" s="9"/>
      <c r="DX51" s="9"/>
      <c r="DY51" s="9"/>
      <c r="DZ51" s="9"/>
      <c r="EA51" s="9"/>
    </row>
    <row r="52" spans="1:131">
      <c r="A52" s="9" t="s">
        <v>1174</v>
      </c>
      <c r="B52" s="9" t="s">
        <v>963</v>
      </c>
      <c r="C52" s="34">
        <v>20</v>
      </c>
      <c r="D52" s="34">
        <v>119.25836456936337</v>
      </c>
      <c r="E52" s="34">
        <v>0</v>
      </c>
      <c r="F52" s="34">
        <v>0</v>
      </c>
      <c r="G52" s="34">
        <v>0</v>
      </c>
      <c r="H52" s="34">
        <v>0</v>
      </c>
      <c r="I52" s="34" t="s">
        <v>1172</v>
      </c>
      <c r="J52" s="34"/>
      <c r="K52" s="34"/>
      <c r="L52" s="34">
        <v>128.45954821080221</v>
      </c>
      <c r="M52" s="34">
        <v>4.4876728083553967E-2</v>
      </c>
      <c r="N52" s="34">
        <v>4.4552827984927393E-2</v>
      </c>
      <c r="O52" s="34">
        <v>0</v>
      </c>
      <c r="P52" s="34">
        <v>0</v>
      </c>
      <c r="Q52" s="34">
        <v>0</v>
      </c>
      <c r="R52" s="34">
        <v>0</v>
      </c>
      <c r="S52" s="34">
        <v>0</v>
      </c>
      <c r="T52" s="34">
        <v>0</v>
      </c>
      <c r="U52" s="34">
        <v>0</v>
      </c>
      <c r="V52" s="34" t="s">
        <v>1347</v>
      </c>
      <c r="W52" s="34" t="s">
        <v>1347</v>
      </c>
      <c r="X52" s="34" t="s">
        <v>1347</v>
      </c>
      <c r="Y52" s="34" t="s">
        <v>1347</v>
      </c>
      <c r="Z52" s="34">
        <v>0</v>
      </c>
      <c r="AA52" s="34">
        <v>0</v>
      </c>
      <c r="AB52" s="34">
        <v>0</v>
      </c>
      <c r="AC52" s="34">
        <v>0</v>
      </c>
      <c r="AD52" s="34">
        <v>0</v>
      </c>
      <c r="AE52" s="34">
        <v>0</v>
      </c>
      <c r="AF52" s="34">
        <v>0</v>
      </c>
      <c r="AG52" s="34">
        <v>0</v>
      </c>
      <c r="AH52" s="34">
        <v>0</v>
      </c>
      <c r="AI52" s="34">
        <v>0</v>
      </c>
      <c r="AJ52" s="34">
        <v>0</v>
      </c>
      <c r="AK52" s="34">
        <v>0</v>
      </c>
      <c r="AL52" s="34">
        <v>0</v>
      </c>
      <c r="AM52" s="34">
        <v>66.765716429882531</v>
      </c>
      <c r="AN52" s="34">
        <v>15.857123878696743</v>
      </c>
      <c r="AO52" s="34">
        <v>0</v>
      </c>
      <c r="AP52" s="34">
        <v>0</v>
      </c>
      <c r="AQ52" s="34">
        <v>82.622840308579271</v>
      </c>
      <c r="AR52" s="34">
        <v>0</v>
      </c>
      <c r="AS52" s="429">
        <v>9999</v>
      </c>
      <c r="AT52" s="34">
        <v>66.765716429882531</v>
      </c>
      <c r="AU52" s="34">
        <v>18.770111629097535</v>
      </c>
      <c r="AV52" s="34">
        <v>0</v>
      </c>
      <c r="AW52" s="34">
        <v>0</v>
      </c>
      <c r="AX52" s="34">
        <v>85.535828058980059</v>
      </c>
      <c r="AY52" s="34">
        <v>0</v>
      </c>
      <c r="AZ52" s="429">
        <v>9999</v>
      </c>
      <c r="BA52" s="34">
        <v>66.765716429882531</v>
      </c>
      <c r="BB52" s="34">
        <v>34.627235507794282</v>
      </c>
      <c r="BC52" s="34">
        <v>0</v>
      </c>
      <c r="BD52" s="34">
        <v>0</v>
      </c>
      <c r="BE52" s="34">
        <v>101.3929519376768</v>
      </c>
      <c r="BF52" s="34">
        <v>0</v>
      </c>
      <c r="BG52" s="34">
        <v>-19.834513145912595</v>
      </c>
      <c r="BH52" s="429">
        <v>9999</v>
      </c>
      <c r="BI52" s="34">
        <v>0</v>
      </c>
      <c r="BJ52" s="34">
        <v>0</v>
      </c>
      <c r="BK52" s="34">
        <v>0</v>
      </c>
      <c r="BL52" s="34">
        <v>0</v>
      </c>
      <c r="BM52" s="34">
        <v>0</v>
      </c>
      <c r="BN52" s="34">
        <v>66.765716429882531</v>
      </c>
      <c r="BO52" s="34">
        <v>0</v>
      </c>
      <c r="BP52" s="34">
        <v>34.627235507794282</v>
      </c>
      <c r="BQ52" s="34">
        <v>0</v>
      </c>
      <c r="BR52" s="34">
        <v>0</v>
      </c>
      <c r="BS52" s="34">
        <v>0</v>
      </c>
      <c r="BT52" s="34">
        <v>0</v>
      </c>
      <c r="BU52" s="34">
        <v>0</v>
      </c>
      <c r="BV52" s="34">
        <v>0</v>
      </c>
      <c r="BW52" s="34">
        <v>0</v>
      </c>
      <c r="BX52" s="34">
        <v>0</v>
      </c>
      <c r="BY52" s="34"/>
      <c r="BZ52" s="34">
        <v>0</v>
      </c>
      <c r="CA52" s="34">
        <v>0</v>
      </c>
      <c r="CB52" s="34">
        <v>101.3929519376768</v>
      </c>
      <c r="CC52" s="34">
        <v>0</v>
      </c>
      <c r="CD52" s="429">
        <v>9999</v>
      </c>
      <c r="CE52" s="34">
        <v>-19.834513145912595</v>
      </c>
      <c r="CF52" s="34">
        <v>1.2203805388185711</v>
      </c>
      <c r="CG52" s="34">
        <v>0</v>
      </c>
      <c r="CH52" s="34">
        <v>1.2203805388185711</v>
      </c>
      <c r="CI52" s="34">
        <v>6.1018285400131059E-2</v>
      </c>
      <c r="CJ52" s="34">
        <v>0</v>
      </c>
      <c r="CK52" s="34">
        <v>6.1018285400131059E-2</v>
      </c>
      <c r="CL52" s="34"/>
      <c r="CM52" s="34">
        <v>0</v>
      </c>
      <c r="CN52" s="34"/>
      <c r="CO52" s="34">
        <v>0</v>
      </c>
      <c r="CP52" s="34">
        <v>0</v>
      </c>
      <c r="CQ52" s="34">
        <v>0</v>
      </c>
      <c r="CR52" s="34">
        <v>0</v>
      </c>
      <c r="CS52" s="34">
        <v>0</v>
      </c>
      <c r="CT52" s="34">
        <v>0</v>
      </c>
      <c r="CU52" s="34">
        <v>0</v>
      </c>
      <c r="CV52" s="34">
        <v>9999</v>
      </c>
      <c r="CW52" s="429">
        <v>9999</v>
      </c>
      <c r="CX52" s="9"/>
      <c r="CY52" s="9"/>
      <c r="CZ52" s="9"/>
      <c r="DA52" s="9"/>
      <c r="DB52" s="9"/>
      <c r="DC52" s="9"/>
      <c r="DD52" s="9"/>
      <c r="DE52" s="9"/>
      <c r="DF52" s="9"/>
      <c r="DG52" s="9"/>
      <c r="DH52" s="9"/>
      <c r="DI52" s="9"/>
      <c r="DJ52" s="9"/>
      <c r="DK52" s="9"/>
      <c r="DL52" s="9"/>
      <c r="DM52" s="9"/>
      <c r="DN52" s="9"/>
      <c r="DO52" s="9"/>
      <c r="DP52" s="9"/>
      <c r="DQ52" s="9"/>
      <c r="DR52" s="9"/>
      <c r="DS52" s="9"/>
      <c r="DT52" s="9"/>
      <c r="DU52" s="9"/>
      <c r="DV52" s="9"/>
      <c r="DW52" s="9"/>
      <c r="DX52" s="9"/>
      <c r="DY52" s="9"/>
      <c r="DZ52" s="9"/>
      <c r="EA52" s="9"/>
    </row>
    <row r="53" spans="1:131">
      <c r="A53" s="9" t="s">
        <v>1174</v>
      </c>
      <c r="B53" s="9" t="s">
        <v>964</v>
      </c>
      <c r="C53" s="34">
        <v>20</v>
      </c>
      <c r="D53" s="34">
        <v>1851.7793502717759</v>
      </c>
      <c r="E53" s="34">
        <v>0</v>
      </c>
      <c r="F53" s="34">
        <v>8127.1091959740215</v>
      </c>
      <c r="G53" s="34">
        <v>0</v>
      </c>
      <c r="H53" s="34">
        <v>0</v>
      </c>
      <c r="I53" s="34" t="s">
        <v>1172</v>
      </c>
      <c r="J53" s="34"/>
      <c r="K53" s="34"/>
      <c r="L53" s="34">
        <v>1994.6503507823095</v>
      </c>
      <c r="M53" s="34">
        <v>0.69682154935600216</v>
      </c>
      <c r="N53" s="34">
        <v>0.6917922038978993</v>
      </c>
      <c r="O53" s="34">
        <v>0</v>
      </c>
      <c r="P53" s="34">
        <v>0</v>
      </c>
      <c r="Q53" s="34">
        <v>0</v>
      </c>
      <c r="R53" s="34">
        <v>1620.6541396830683</v>
      </c>
      <c r="S53" s="34">
        <v>3745.0852167044136</v>
      </c>
      <c r="T53" s="34">
        <v>0</v>
      </c>
      <c r="U53" s="34">
        <v>2895.8205086586072</v>
      </c>
      <c r="V53" s="34" t="s">
        <v>1347</v>
      </c>
      <c r="W53" s="34" t="s">
        <v>1347</v>
      </c>
      <c r="X53" s="34" t="s">
        <v>1347</v>
      </c>
      <c r="Y53" s="34" t="s">
        <v>1347</v>
      </c>
      <c r="Z53" s="34">
        <v>0</v>
      </c>
      <c r="AA53" s="34">
        <v>0</v>
      </c>
      <c r="AB53" s="34">
        <v>0</v>
      </c>
      <c r="AC53" s="34">
        <v>0</v>
      </c>
      <c r="AD53" s="34">
        <v>0</v>
      </c>
      <c r="AE53" s="34">
        <v>0</v>
      </c>
      <c r="AF53" s="34">
        <v>0</v>
      </c>
      <c r="AG53" s="34">
        <v>0</v>
      </c>
      <c r="AH53" s="34">
        <v>1620.6541396830683</v>
      </c>
      <c r="AI53" s="34">
        <v>3745.0852167044136</v>
      </c>
      <c r="AJ53" s="34">
        <v>0</v>
      </c>
      <c r="AK53" s="34">
        <v>2895.8205086586072</v>
      </c>
      <c r="AL53" s="34">
        <v>8261.5598650460888</v>
      </c>
      <c r="AM53" s="34">
        <v>1036.7019155209723</v>
      </c>
      <c r="AN53" s="34">
        <v>246.22083875880591</v>
      </c>
      <c r="AO53" s="34">
        <v>0</v>
      </c>
      <c r="AP53" s="34">
        <v>0</v>
      </c>
      <c r="AQ53" s="34">
        <v>1282.9227542797782</v>
      </c>
      <c r="AR53" s="34">
        <v>1620.6541396830683</v>
      </c>
      <c r="AS53" s="410">
        <v>0.79160798276840483</v>
      </c>
      <c r="AT53" s="34">
        <v>1036.7019155209723</v>
      </c>
      <c r="AU53" s="34">
        <v>291.45213623018316</v>
      </c>
      <c r="AV53" s="34">
        <v>0</v>
      </c>
      <c r="AW53" s="34">
        <v>0</v>
      </c>
      <c r="AX53" s="34">
        <v>1328.1540517511555</v>
      </c>
      <c r="AY53" s="34">
        <v>3745.0852167044136</v>
      </c>
      <c r="AZ53" s="410">
        <v>0.35463920709390417</v>
      </c>
      <c r="BA53" s="34">
        <v>1036.7019155209723</v>
      </c>
      <c r="BB53" s="34">
        <v>537.67297498898904</v>
      </c>
      <c r="BC53" s="34">
        <v>0</v>
      </c>
      <c r="BD53" s="34">
        <v>0</v>
      </c>
      <c r="BE53" s="34">
        <v>1574.3748905099615</v>
      </c>
      <c r="BF53" s="34">
        <v>5365.7393563874821</v>
      </c>
      <c r="BG53" s="34">
        <v>178.10518766197646</v>
      </c>
      <c r="BH53" s="410">
        <v>0.2934124797984819</v>
      </c>
      <c r="BI53" s="34">
        <v>59.785199059297668</v>
      </c>
      <c r="BJ53" s="34">
        <v>138.1545017485914</v>
      </c>
      <c r="BK53" s="34">
        <v>0</v>
      </c>
      <c r="BL53" s="34">
        <v>106.82551033622006</v>
      </c>
      <c r="BM53" s="34">
        <v>304.76521114410912</v>
      </c>
      <c r="BN53" s="34">
        <v>1036.7019155209723</v>
      </c>
      <c r="BO53" s="34">
        <v>0</v>
      </c>
      <c r="BP53" s="34">
        <v>537.67297498898904</v>
      </c>
      <c r="BQ53" s="34">
        <v>0</v>
      </c>
      <c r="BR53" s="34">
        <v>0</v>
      </c>
      <c r="BS53" s="34">
        <v>0</v>
      </c>
      <c r="BT53" s="34">
        <v>0</v>
      </c>
      <c r="BU53" s="34">
        <v>0</v>
      </c>
      <c r="BV53" s="34">
        <v>0</v>
      </c>
      <c r="BW53" s="34">
        <v>0</v>
      </c>
      <c r="BX53" s="34">
        <v>8261.5598650460888</v>
      </c>
      <c r="BY53" s="34"/>
      <c r="BZ53" s="34">
        <v>0</v>
      </c>
      <c r="CA53" s="34">
        <v>0</v>
      </c>
      <c r="CB53" s="34">
        <v>1574.3748905099615</v>
      </c>
      <c r="CC53" s="34">
        <v>8261.5598650460888</v>
      </c>
      <c r="CD53" s="410">
        <v>0.19056629937053401</v>
      </c>
      <c r="CE53" s="34">
        <v>284.93069799819654</v>
      </c>
      <c r="CF53" s="34">
        <v>18.949408617316539</v>
      </c>
      <c r="CG53" s="34">
        <v>0</v>
      </c>
      <c r="CH53" s="34">
        <v>18.949408617316539</v>
      </c>
      <c r="CI53" s="34">
        <v>0.94745891662159687</v>
      </c>
      <c r="CJ53" s="34">
        <v>0</v>
      </c>
      <c r="CK53" s="34">
        <v>0.94745891662159687</v>
      </c>
      <c r="CL53" s="34"/>
      <c r="CM53" s="34">
        <v>0</v>
      </c>
      <c r="CN53" s="34"/>
      <c r="CO53" s="34">
        <v>0</v>
      </c>
      <c r="CP53" s="34">
        <v>0</v>
      </c>
      <c r="CQ53" s="34">
        <v>0</v>
      </c>
      <c r="CR53" s="34">
        <v>0</v>
      </c>
      <c r="CS53" s="34">
        <v>0</v>
      </c>
      <c r="CT53" s="34">
        <v>0</v>
      </c>
      <c r="CU53" s="34">
        <v>0</v>
      </c>
      <c r="CV53" s="34">
        <v>9999</v>
      </c>
      <c r="CW53" s="429">
        <v>9999</v>
      </c>
      <c r="CX53" s="9"/>
      <c r="CY53" s="9"/>
      <c r="CZ53" s="9"/>
      <c r="DA53" s="9"/>
      <c r="DB53" s="9"/>
      <c r="DC53" s="9"/>
      <c r="DD53" s="9"/>
      <c r="DE53" s="9"/>
      <c r="DF53" s="9"/>
      <c r="DG53" s="9"/>
      <c r="DH53" s="9"/>
      <c r="DI53" s="9"/>
      <c r="DJ53" s="9"/>
      <c r="DK53" s="9"/>
      <c r="DL53" s="9"/>
      <c r="DM53" s="9"/>
      <c r="DN53" s="9"/>
      <c r="DO53" s="9"/>
      <c r="DP53" s="9"/>
      <c r="DQ53" s="9"/>
      <c r="DR53" s="9"/>
      <c r="DS53" s="9"/>
      <c r="DT53" s="9"/>
      <c r="DU53" s="9"/>
      <c r="DV53" s="9"/>
      <c r="DW53" s="9"/>
      <c r="DX53" s="9"/>
      <c r="DY53" s="9"/>
      <c r="DZ53" s="9"/>
      <c r="EA53" s="9"/>
    </row>
    <row r="54" spans="1:131">
      <c r="A54" s="9" t="s">
        <v>1176</v>
      </c>
      <c r="B54" s="9" t="s">
        <v>962</v>
      </c>
      <c r="C54" s="34">
        <v>20</v>
      </c>
      <c r="D54" s="34">
        <v>681.78940700394162</v>
      </c>
      <c r="E54" s="34">
        <v>0</v>
      </c>
      <c r="F54" s="34">
        <v>51.785953362720107</v>
      </c>
      <c r="G54" s="34">
        <v>0</v>
      </c>
      <c r="H54" s="34">
        <v>0</v>
      </c>
      <c r="I54" s="34" t="s">
        <v>1172</v>
      </c>
      <c r="J54" s="34"/>
      <c r="K54" s="34"/>
      <c r="L54" s="34">
        <v>734.39175117731224</v>
      </c>
      <c r="M54" s="34">
        <v>0.25655624189419257</v>
      </c>
      <c r="N54" s="34">
        <v>0.25470453399119941</v>
      </c>
      <c r="O54" s="34">
        <v>0</v>
      </c>
      <c r="P54" s="34">
        <v>0</v>
      </c>
      <c r="Q54" s="34">
        <v>0</v>
      </c>
      <c r="R54" s="34">
        <v>10.326810883296876</v>
      </c>
      <c r="S54" s="34">
        <v>23.863689252230305</v>
      </c>
      <c r="T54" s="34">
        <v>0</v>
      </c>
      <c r="U54" s="34">
        <v>18.452173114948561</v>
      </c>
      <c r="V54" s="34" t="s">
        <v>1347</v>
      </c>
      <c r="W54" s="34" t="s">
        <v>1347</v>
      </c>
      <c r="X54" s="34" t="s">
        <v>1347</v>
      </c>
      <c r="Y54" s="34" t="s">
        <v>1347</v>
      </c>
      <c r="Z54" s="34">
        <v>0</v>
      </c>
      <c r="AA54" s="34">
        <v>0</v>
      </c>
      <c r="AB54" s="34">
        <v>0</v>
      </c>
      <c r="AC54" s="34">
        <v>0</v>
      </c>
      <c r="AD54" s="34">
        <v>0</v>
      </c>
      <c r="AE54" s="34">
        <v>0</v>
      </c>
      <c r="AF54" s="34">
        <v>0</v>
      </c>
      <c r="AG54" s="34">
        <v>0</v>
      </c>
      <c r="AH54" s="34">
        <v>10.326810883296876</v>
      </c>
      <c r="AI54" s="34">
        <v>23.863689252230305</v>
      </c>
      <c r="AJ54" s="34">
        <v>0</v>
      </c>
      <c r="AK54" s="34">
        <v>18.452173114948561</v>
      </c>
      <c r="AL54" s="34">
        <v>52.642673250475738</v>
      </c>
      <c r="AM54" s="34">
        <v>381.6936311116973</v>
      </c>
      <c r="AN54" s="34">
        <v>90.653759382694204</v>
      </c>
      <c r="AO54" s="34">
        <v>0</v>
      </c>
      <c r="AP54" s="34">
        <v>0</v>
      </c>
      <c r="AQ54" s="34">
        <v>472.3473904943915</v>
      </c>
      <c r="AR54" s="34">
        <v>10.326810883296876</v>
      </c>
      <c r="AS54" s="429">
        <v>45.739909041850559</v>
      </c>
      <c r="AT54" s="34">
        <v>381.6936311116973</v>
      </c>
      <c r="AU54" s="34">
        <v>107.30704989298275</v>
      </c>
      <c r="AV54" s="34">
        <v>0</v>
      </c>
      <c r="AW54" s="34">
        <v>0</v>
      </c>
      <c r="AX54" s="34">
        <v>489.00068100468002</v>
      </c>
      <c r="AY54" s="34">
        <v>23.863689252230305</v>
      </c>
      <c r="AZ54" s="429">
        <v>20.491411693980968</v>
      </c>
      <c r="BA54" s="34">
        <v>381.6936311116973</v>
      </c>
      <c r="BB54" s="34">
        <v>197.96080927567695</v>
      </c>
      <c r="BC54" s="34">
        <v>0</v>
      </c>
      <c r="BD54" s="34">
        <v>0</v>
      </c>
      <c r="BE54" s="34">
        <v>579.65444038737428</v>
      </c>
      <c r="BF54" s="34">
        <v>34.190500135527181</v>
      </c>
      <c r="BG54" s="34">
        <v>-16.408825370212227</v>
      </c>
      <c r="BH54" s="429">
        <v>16.953669530708567</v>
      </c>
      <c r="BI54" s="34">
        <v>1.0346859409675686</v>
      </c>
      <c r="BJ54" s="34">
        <v>2.3910018347328088</v>
      </c>
      <c r="BK54" s="34">
        <v>0</v>
      </c>
      <c r="BL54" s="34">
        <v>1.8487996263413473</v>
      </c>
      <c r="BM54" s="34">
        <v>5.2744874020417241</v>
      </c>
      <c r="BN54" s="34">
        <v>381.6936311116973</v>
      </c>
      <c r="BO54" s="34">
        <v>0</v>
      </c>
      <c r="BP54" s="34">
        <v>197.96080927567695</v>
      </c>
      <c r="BQ54" s="34">
        <v>0</v>
      </c>
      <c r="BR54" s="34">
        <v>0</v>
      </c>
      <c r="BS54" s="34">
        <v>0</v>
      </c>
      <c r="BT54" s="34">
        <v>0</v>
      </c>
      <c r="BU54" s="34">
        <v>0</v>
      </c>
      <c r="BV54" s="34">
        <v>792.71160259201747</v>
      </c>
      <c r="BW54" s="34">
        <v>0</v>
      </c>
      <c r="BX54" s="34">
        <v>52.642673250475738</v>
      </c>
      <c r="BY54" s="34"/>
      <c r="BZ54" s="34">
        <v>0</v>
      </c>
      <c r="CA54" s="34">
        <v>0</v>
      </c>
      <c r="CB54" s="34">
        <v>1372.3660429793918</v>
      </c>
      <c r="CC54" s="34">
        <v>52.642673250475738</v>
      </c>
      <c r="CD54" s="429">
        <v>26.069459589364403</v>
      </c>
      <c r="CE54" s="34">
        <v>-93.985083461396954</v>
      </c>
      <c r="CF54" s="34">
        <v>6.9768064226331834</v>
      </c>
      <c r="CG54" s="34">
        <v>0</v>
      </c>
      <c r="CH54" s="34">
        <v>6.9768064226331834</v>
      </c>
      <c r="CI54" s="34">
        <v>0.34883608180922338</v>
      </c>
      <c r="CJ54" s="34">
        <v>0</v>
      </c>
      <c r="CK54" s="34">
        <v>0.34883608180922338</v>
      </c>
      <c r="CL54" s="34"/>
      <c r="CM54" s="34">
        <v>0</v>
      </c>
      <c r="CN54" s="34"/>
      <c r="CO54" s="34">
        <v>0</v>
      </c>
      <c r="CP54" s="34">
        <v>0</v>
      </c>
      <c r="CQ54" s="34">
        <v>0</v>
      </c>
      <c r="CR54" s="34">
        <v>0</v>
      </c>
      <c r="CS54" s="34">
        <v>0</v>
      </c>
      <c r="CT54" s="34">
        <v>0</v>
      </c>
      <c r="CU54" s="34">
        <v>0</v>
      </c>
      <c r="CV54" s="34">
        <v>9999</v>
      </c>
      <c r="CW54" s="429">
        <v>9999</v>
      </c>
      <c r="CX54" s="9"/>
      <c r="CY54" s="9"/>
      <c r="CZ54" s="9"/>
      <c r="DA54" s="9"/>
      <c r="DB54" s="9"/>
      <c r="DC54" s="9"/>
      <c r="DD54" s="9"/>
      <c r="DE54" s="9"/>
      <c r="DF54" s="9"/>
      <c r="DG54" s="9"/>
      <c r="DH54" s="9"/>
      <c r="DI54" s="9"/>
      <c r="DJ54" s="9"/>
      <c r="DK54" s="9"/>
      <c r="DL54" s="9"/>
      <c r="DM54" s="9"/>
      <c r="DN54" s="9"/>
      <c r="DO54" s="9"/>
      <c r="DP54" s="9"/>
      <c r="DQ54" s="9"/>
      <c r="DR54" s="9"/>
      <c r="DS54" s="9"/>
      <c r="DT54" s="9"/>
      <c r="DU54" s="9"/>
      <c r="DV54" s="9"/>
      <c r="DW54" s="9"/>
      <c r="DX54" s="9"/>
      <c r="DY54" s="9"/>
      <c r="DZ54" s="9"/>
      <c r="EA54" s="9"/>
    </row>
    <row r="55" spans="1:131">
      <c r="A55" s="9" t="s">
        <v>1176</v>
      </c>
      <c r="B55" s="9" t="s">
        <v>963</v>
      </c>
      <c r="C55" s="34">
        <v>20</v>
      </c>
      <c r="D55" s="34">
        <v>78.556140210834883</v>
      </c>
      <c r="E55" s="34">
        <v>0</v>
      </c>
      <c r="F55" s="34">
        <v>0</v>
      </c>
      <c r="G55" s="34">
        <v>0</v>
      </c>
      <c r="H55" s="34">
        <v>0</v>
      </c>
      <c r="I55" s="34" t="s">
        <v>1172</v>
      </c>
      <c r="J55" s="34"/>
      <c r="K55" s="34"/>
      <c r="L55" s="34">
        <v>84.617010447086599</v>
      </c>
      <c r="M55" s="34">
        <v>2.9560547440550873E-2</v>
      </c>
      <c r="N55" s="34">
        <v>2.9347192665362638E-2</v>
      </c>
      <c r="O55" s="34">
        <v>0</v>
      </c>
      <c r="P55" s="34">
        <v>0</v>
      </c>
      <c r="Q55" s="34">
        <v>0</v>
      </c>
      <c r="R55" s="34">
        <v>0</v>
      </c>
      <c r="S55" s="34">
        <v>0</v>
      </c>
      <c r="T55" s="34">
        <v>0</v>
      </c>
      <c r="U55" s="34">
        <v>0</v>
      </c>
      <c r="V55" s="34" t="s">
        <v>1347</v>
      </c>
      <c r="W55" s="34" t="s">
        <v>1347</v>
      </c>
      <c r="X55" s="34" t="s">
        <v>1347</v>
      </c>
      <c r="Y55" s="34" t="s">
        <v>1347</v>
      </c>
      <c r="Z55" s="34">
        <v>0</v>
      </c>
      <c r="AA55" s="34">
        <v>0</v>
      </c>
      <c r="AB55" s="34">
        <v>0</v>
      </c>
      <c r="AC55" s="34">
        <v>0</v>
      </c>
      <c r="AD55" s="34">
        <v>0</v>
      </c>
      <c r="AE55" s="34">
        <v>0</v>
      </c>
      <c r="AF55" s="34">
        <v>0</v>
      </c>
      <c r="AG55" s="34">
        <v>0</v>
      </c>
      <c r="AH55" s="34">
        <v>0</v>
      </c>
      <c r="AI55" s="34">
        <v>0</v>
      </c>
      <c r="AJ55" s="34">
        <v>0</v>
      </c>
      <c r="AK55" s="34">
        <v>0</v>
      </c>
      <c r="AL55" s="34">
        <v>0</v>
      </c>
      <c r="AM55" s="34">
        <v>43.978944370750341</v>
      </c>
      <c r="AN55" s="34">
        <v>10.445174652977625</v>
      </c>
      <c r="AO55" s="34">
        <v>0</v>
      </c>
      <c r="AP55" s="34">
        <v>0</v>
      </c>
      <c r="AQ55" s="34">
        <v>54.424119023727968</v>
      </c>
      <c r="AR55" s="34">
        <v>0</v>
      </c>
      <c r="AS55" s="429">
        <v>9999</v>
      </c>
      <c r="AT55" s="34">
        <v>43.978944370750341</v>
      </c>
      <c r="AU55" s="34">
        <v>12.363975694558526</v>
      </c>
      <c r="AV55" s="34">
        <v>0</v>
      </c>
      <c r="AW55" s="34">
        <v>0</v>
      </c>
      <c r="AX55" s="34">
        <v>56.342920065308867</v>
      </c>
      <c r="AY55" s="34">
        <v>0</v>
      </c>
      <c r="AZ55" s="429">
        <v>9999</v>
      </c>
      <c r="BA55" s="34">
        <v>43.978944370750341</v>
      </c>
      <c r="BB55" s="34">
        <v>22.809150347536153</v>
      </c>
      <c r="BC55" s="34">
        <v>0</v>
      </c>
      <c r="BD55" s="34">
        <v>0</v>
      </c>
      <c r="BE55" s="34">
        <v>66.788094718286487</v>
      </c>
      <c r="BF55" s="34">
        <v>0</v>
      </c>
      <c r="BG55" s="34">
        <v>-19.834513145912592</v>
      </c>
      <c r="BH55" s="429">
        <v>9999</v>
      </c>
      <c r="BI55" s="34">
        <v>0</v>
      </c>
      <c r="BJ55" s="34">
        <v>0</v>
      </c>
      <c r="BK55" s="34">
        <v>0</v>
      </c>
      <c r="BL55" s="34">
        <v>0</v>
      </c>
      <c r="BM55" s="34">
        <v>0</v>
      </c>
      <c r="BN55" s="34">
        <v>43.978944370750341</v>
      </c>
      <c r="BO55" s="34">
        <v>0</v>
      </c>
      <c r="BP55" s="34">
        <v>22.809150347536153</v>
      </c>
      <c r="BQ55" s="34">
        <v>0</v>
      </c>
      <c r="BR55" s="34">
        <v>0</v>
      </c>
      <c r="BS55" s="34">
        <v>0</v>
      </c>
      <c r="BT55" s="34">
        <v>0</v>
      </c>
      <c r="BU55" s="34">
        <v>0</v>
      </c>
      <c r="BV55" s="34">
        <v>0</v>
      </c>
      <c r="BW55" s="34">
        <v>0</v>
      </c>
      <c r="BX55" s="34">
        <v>0</v>
      </c>
      <c r="BY55" s="34"/>
      <c r="BZ55" s="34">
        <v>0</v>
      </c>
      <c r="CA55" s="34">
        <v>0</v>
      </c>
      <c r="CB55" s="34">
        <v>66.788094718286487</v>
      </c>
      <c r="CC55" s="34">
        <v>0</v>
      </c>
      <c r="CD55" s="429">
        <v>9999</v>
      </c>
      <c r="CE55" s="34">
        <v>-19.834513145912592</v>
      </c>
      <c r="CF55" s="34">
        <v>0.80387136838730167</v>
      </c>
      <c r="CG55" s="34">
        <v>0</v>
      </c>
      <c r="CH55" s="34">
        <v>0.80387136838730167</v>
      </c>
      <c r="CI55" s="34">
        <v>4.0193079962366145E-2</v>
      </c>
      <c r="CJ55" s="34">
        <v>0</v>
      </c>
      <c r="CK55" s="34">
        <v>4.0193079962366145E-2</v>
      </c>
      <c r="CL55" s="34"/>
      <c r="CM55" s="34">
        <v>0</v>
      </c>
      <c r="CN55" s="34"/>
      <c r="CO55" s="34">
        <v>0</v>
      </c>
      <c r="CP55" s="34">
        <v>0</v>
      </c>
      <c r="CQ55" s="34">
        <v>0</v>
      </c>
      <c r="CR55" s="34">
        <v>0</v>
      </c>
      <c r="CS55" s="34">
        <v>0</v>
      </c>
      <c r="CT55" s="34">
        <v>0</v>
      </c>
      <c r="CU55" s="34">
        <v>0</v>
      </c>
      <c r="CV55" s="34">
        <v>9999</v>
      </c>
      <c r="CW55" s="429">
        <v>9999</v>
      </c>
      <c r="CX55" s="9"/>
      <c r="CY55" s="9"/>
      <c r="CZ55" s="9"/>
      <c r="DA55" s="9"/>
      <c r="DB55" s="9"/>
      <c r="DC55" s="9"/>
      <c r="DD55" s="9"/>
      <c r="DE55" s="9"/>
      <c r="DF55" s="9"/>
      <c r="DG55" s="9"/>
      <c r="DH55" s="9"/>
      <c r="DI55" s="9"/>
      <c r="DJ55" s="9"/>
      <c r="DK55" s="9"/>
      <c r="DL55" s="9"/>
      <c r="DM55" s="9"/>
      <c r="DN55" s="9"/>
      <c r="DO55" s="9"/>
      <c r="DP55" s="9"/>
      <c r="DQ55" s="9"/>
      <c r="DR55" s="9"/>
      <c r="DS55" s="9"/>
      <c r="DT55" s="9"/>
      <c r="DU55" s="9"/>
      <c r="DV55" s="9"/>
      <c r="DW55" s="9"/>
      <c r="DX55" s="9"/>
      <c r="DY55" s="9"/>
      <c r="DZ55" s="9"/>
      <c r="EA55" s="9"/>
    </row>
    <row r="56" spans="1:131">
      <c r="A56" s="9" t="s">
        <v>1176</v>
      </c>
      <c r="B56" s="9" t="s">
        <v>964</v>
      </c>
      <c r="C56" s="34">
        <v>20</v>
      </c>
      <c r="D56" s="34">
        <v>1611.4570347870144</v>
      </c>
      <c r="E56" s="34">
        <v>0</v>
      </c>
      <c r="F56" s="34">
        <v>6011.5189259088374</v>
      </c>
      <c r="G56" s="34">
        <v>0</v>
      </c>
      <c r="H56" s="34">
        <v>0</v>
      </c>
      <c r="I56" s="34" t="s">
        <v>1172</v>
      </c>
      <c r="J56" s="34"/>
      <c r="K56" s="34"/>
      <c r="L56" s="34">
        <v>1735.7863609596866</v>
      </c>
      <c r="M56" s="34">
        <v>0.60638865399169428</v>
      </c>
      <c r="N56" s="34">
        <v>0.60201201261827997</v>
      </c>
      <c r="O56" s="34">
        <v>0</v>
      </c>
      <c r="P56" s="34">
        <v>0</v>
      </c>
      <c r="Q56" s="34">
        <v>0</v>
      </c>
      <c r="R56" s="34">
        <v>1198.7771787148524</v>
      </c>
      <c r="S56" s="34">
        <v>2770.1917270304079</v>
      </c>
      <c r="T56" s="34">
        <v>0</v>
      </c>
      <c r="U56" s="34">
        <v>2142.0014637504596</v>
      </c>
      <c r="V56" s="34" t="s">
        <v>1347</v>
      </c>
      <c r="W56" s="34" t="s">
        <v>1347</v>
      </c>
      <c r="X56" s="34" t="s">
        <v>1347</v>
      </c>
      <c r="Y56" s="34" t="s">
        <v>1347</v>
      </c>
      <c r="Z56" s="34">
        <v>0</v>
      </c>
      <c r="AA56" s="34">
        <v>0</v>
      </c>
      <c r="AB56" s="34">
        <v>0</v>
      </c>
      <c r="AC56" s="34">
        <v>0</v>
      </c>
      <c r="AD56" s="34">
        <v>0</v>
      </c>
      <c r="AE56" s="34">
        <v>0</v>
      </c>
      <c r="AF56" s="34">
        <v>0</v>
      </c>
      <c r="AG56" s="34">
        <v>0</v>
      </c>
      <c r="AH56" s="34">
        <v>1198.7771787148524</v>
      </c>
      <c r="AI56" s="34">
        <v>2770.1917270304079</v>
      </c>
      <c r="AJ56" s="34">
        <v>0</v>
      </c>
      <c r="AK56" s="34">
        <v>2142.0014637504596</v>
      </c>
      <c r="AL56" s="34">
        <v>6110.9703694957207</v>
      </c>
      <c r="AM56" s="34">
        <v>902.1596414811828</v>
      </c>
      <c r="AN56" s="34">
        <v>214.26651219045323</v>
      </c>
      <c r="AO56" s="34">
        <v>0</v>
      </c>
      <c r="AP56" s="34">
        <v>0</v>
      </c>
      <c r="AQ56" s="34">
        <v>1116.426153671636</v>
      </c>
      <c r="AR56" s="34">
        <v>1198.7771787148524</v>
      </c>
      <c r="AS56" s="410">
        <v>0.93130414350104607</v>
      </c>
      <c r="AT56" s="34">
        <v>902.1596414811828</v>
      </c>
      <c r="AU56" s="34">
        <v>253.62773116727004</v>
      </c>
      <c r="AV56" s="34">
        <v>0</v>
      </c>
      <c r="AW56" s="34">
        <v>0</v>
      </c>
      <c r="AX56" s="34">
        <v>1155.7873726484529</v>
      </c>
      <c r="AY56" s="34">
        <v>2770.1917270304079</v>
      </c>
      <c r="AZ56" s="410">
        <v>0.41722288077418912</v>
      </c>
      <c r="BA56" s="34">
        <v>902.1596414811828</v>
      </c>
      <c r="BB56" s="34">
        <v>467.89424335772327</v>
      </c>
      <c r="BC56" s="34">
        <v>0</v>
      </c>
      <c r="BD56" s="34">
        <v>0</v>
      </c>
      <c r="BE56" s="34">
        <v>1370.053884838906</v>
      </c>
      <c r="BF56" s="34">
        <v>3968.9689057452606</v>
      </c>
      <c r="BG56" s="34">
        <v>148.4141179374501</v>
      </c>
      <c r="BH56" s="410">
        <v>0.34519138783266645</v>
      </c>
      <c r="BI56" s="34">
        <v>50.817384585903518</v>
      </c>
      <c r="BJ56" s="34">
        <v>117.43124649745918</v>
      </c>
      <c r="BK56" s="34">
        <v>0</v>
      </c>
      <c r="BL56" s="34">
        <v>90.801621935837048</v>
      </c>
      <c r="BM56" s="34">
        <v>259.05025301919977</v>
      </c>
      <c r="BN56" s="34">
        <v>902.1596414811828</v>
      </c>
      <c r="BO56" s="34">
        <v>0</v>
      </c>
      <c r="BP56" s="34">
        <v>467.89424335772327</v>
      </c>
      <c r="BQ56" s="34">
        <v>0</v>
      </c>
      <c r="BR56" s="34">
        <v>0</v>
      </c>
      <c r="BS56" s="34">
        <v>0</v>
      </c>
      <c r="BT56" s="34">
        <v>0</v>
      </c>
      <c r="BU56" s="34">
        <v>0</v>
      </c>
      <c r="BV56" s="34">
        <v>0</v>
      </c>
      <c r="BW56" s="34">
        <v>0</v>
      </c>
      <c r="BX56" s="34">
        <v>6110.9703694957207</v>
      </c>
      <c r="BY56" s="34"/>
      <c r="BZ56" s="34">
        <v>0</v>
      </c>
      <c r="CA56" s="34">
        <v>0</v>
      </c>
      <c r="CB56" s="34">
        <v>1370.053884838906</v>
      </c>
      <c r="CC56" s="34">
        <v>6110.9703694957207</v>
      </c>
      <c r="CD56" s="410">
        <v>0.2241957990301896</v>
      </c>
      <c r="CE56" s="34">
        <v>239.21573987328719</v>
      </c>
      <c r="CF56" s="34">
        <v>16.490170827829356</v>
      </c>
      <c r="CG56" s="34">
        <v>0</v>
      </c>
      <c r="CH56" s="34">
        <v>16.490170827829356</v>
      </c>
      <c r="CI56" s="34">
        <v>0.82449852145585123</v>
      </c>
      <c r="CJ56" s="34">
        <v>0</v>
      </c>
      <c r="CK56" s="34">
        <v>0.82449852145585123</v>
      </c>
      <c r="CL56" s="34"/>
      <c r="CM56" s="34">
        <v>0</v>
      </c>
      <c r="CN56" s="34"/>
      <c r="CO56" s="34">
        <v>0</v>
      </c>
      <c r="CP56" s="34">
        <v>0</v>
      </c>
      <c r="CQ56" s="34">
        <v>0</v>
      </c>
      <c r="CR56" s="34">
        <v>0</v>
      </c>
      <c r="CS56" s="34">
        <v>0</v>
      </c>
      <c r="CT56" s="34">
        <v>0</v>
      </c>
      <c r="CU56" s="34">
        <v>0</v>
      </c>
      <c r="CV56" s="34">
        <v>9999</v>
      </c>
      <c r="CW56" s="429">
        <v>9999</v>
      </c>
      <c r="CX56" s="9"/>
      <c r="CY56" s="9"/>
      <c r="CZ56" s="9"/>
      <c r="DA56" s="9"/>
      <c r="DB56" s="9"/>
      <c r="DC56" s="9"/>
      <c r="DD56" s="9"/>
      <c r="DE56" s="9"/>
      <c r="DF56" s="9"/>
      <c r="DG56" s="9"/>
      <c r="DH56" s="9"/>
      <c r="DI56" s="9"/>
      <c r="DJ56" s="9"/>
      <c r="DK56" s="9"/>
      <c r="DL56" s="9"/>
      <c r="DM56" s="9"/>
      <c r="DN56" s="9"/>
      <c r="DO56" s="9"/>
      <c r="DP56" s="9"/>
      <c r="DQ56" s="9"/>
      <c r="DR56" s="9"/>
      <c r="DS56" s="9"/>
      <c r="DT56" s="9"/>
      <c r="DU56" s="9"/>
      <c r="DV56" s="9"/>
      <c r="DW56" s="9"/>
      <c r="DX56" s="9"/>
      <c r="DY56" s="9"/>
      <c r="DZ56" s="9"/>
      <c r="EA56" s="9"/>
    </row>
    <row r="57" spans="1:131">
      <c r="A57" s="9" t="s">
        <v>1175</v>
      </c>
      <c r="B57" s="9" t="s">
        <v>962</v>
      </c>
      <c r="C57" s="34">
        <v>20</v>
      </c>
      <c r="D57" s="34">
        <v>1672.5531951567405</v>
      </c>
      <c r="E57" s="34">
        <v>0</v>
      </c>
      <c r="F57" s="34">
        <v>92.798871937568435</v>
      </c>
      <c r="G57" s="34">
        <v>0</v>
      </c>
      <c r="H57" s="34">
        <v>0</v>
      </c>
      <c r="I57" s="34" t="s">
        <v>1172</v>
      </c>
      <c r="J57" s="34"/>
      <c r="K57" s="34"/>
      <c r="L57" s="34">
        <v>1801.5962954397535</v>
      </c>
      <c r="M57" s="34">
        <v>0.62937903949431206</v>
      </c>
      <c r="N57" s="34">
        <v>0.62483646382823055</v>
      </c>
      <c r="O57" s="34">
        <v>0</v>
      </c>
      <c r="P57" s="34">
        <v>0</v>
      </c>
      <c r="Q57" s="34">
        <v>0</v>
      </c>
      <c r="R57" s="34">
        <v>18.505334718283507</v>
      </c>
      <c r="S57" s="34">
        <v>42.763013888431161</v>
      </c>
      <c r="T57" s="34">
        <v>0</v>
      </c>
      <c r="U57" s="34">
        <v>33.065739619976604</v>
      </c>
      <c r="V57" s="34" t="s">
        <v>1347</v>
      </c>
      <c r="W57" s="34" t="s">
        <v>1347</v>
      </c>
      <c r="X57" s="34" t="s">
        <v>1347</v>
      </c>
      <c r="Y57" s="34" t="s">
        <v>1347</v>
      </c>
      <c r="Z57" s="34">
        <v>0</v>
      </c>
      <c r="AA57" s="34">
        <v>0</v>
      </c>
      <c r="AB57" s="34">
        <v>0</v>
      </c>
      <c r="AC57" s="34">
        <v>0</v>
      </c>
      <c r="AD57" s="34">
        <v>0</v>
      </c>
      <c r="AE57" s="34">
        <v>0</v>
      </c>
      <c r="AF57" s="34">
        <v>0</v>
      </c>
      <c r="AG57" s="34">
        <v>0</v>
      </c>
      <c r="AH57" s="34">
        <v>18.505334718283507</v>
      </c>
      <c r="AI57" s="34">
        <v>42.763013888431161</v>
      </c>
      <c r="AJ57" s="34">
        <v>0</v>
      </c>
      <c r="AK57" s="34">
        <v>33.065739619976604</v>
      </c>
      <c r="AL57" s="34">
        <v>94.334088226691279</v>
      </c>
      <c r="AM57" s="34">
        <v>936.36377410474643</v>
      </c>
      <c r="AN57" s="34">
        <v>222.39013007666014</v>
      </c>
      <c r="AO57" s="34">
        <v>0</v>
      </c>
      <c r="AP57" s="34">
        <v>0</v>
      </c>
      <c r="AQ57" s="34">
        <v>1158.7539041814066</v>
      </c>
      <c r="AR57" s="34">
        <v>18.505334718283507</v>
      </c>
      <c r="AS57" s="429">
        <v>62.617289653050314</v>
      </c>
      <c r="AT57" s="34">
        <v>936.36377410474643</v>
      </c>
      <c r="AU57" s="34">
        <v>263.24367512549873</v>
      </c>
      <c r="AV57" s="34">
        <v>0</v>
      </c>
      <c r="AW57" s="34">
        <v>0</v>
      </c>
      <c r="AX57" s="34">
        <v>1199.607449230245</v>
      </c>
      <c r="AY57" s="34">
        <v>42.763013888431161</v>
      </c>
      <c r="AZ57" s="429">
        <v>28.052453280304906</v>
      </c>
      <c r="BA57" s="34">
        <v>936.36377410474643</v>
      </c>
      <c r="BB57" s="34">
        <v>485.6338052021589</v>
      </c>
      <c r="BC57" s="34">
        <v>0</v>
      </c>
      <c r="BD57" s="34">
        <v>0</v>
      </c>
      <c r="BE57" s="34">
        <v>1421.9975793069052</v>
      </c>
      <c r="BF57" s="34">
        <v>61.268348606714667</v>
      </c>
      <c r="BG57" s="34">
        <v>-17.332158794031418</v>
      </c>
      <c r="BH57" s="429">
        <v>23.209334209981666</v>
      </c>
      <c r="BI57" s="34">
        <v>0.75580468412102086</v>
      </c>
      <c r="BJ57" s="34">
        <v>1.7465496677601562</v>
      </c>
      <c r="BK57" s="34">
        <v>0</v>
      </c>
      <c r="BL57" s="34">
        <v>1.350488454770433</v>
      </c>
      <c r="BM57" s="34">
        <v>3.8528428066516103</v>
      </c>
      <c r="BN57" s="34">
        <v>936.36377410474643</v>
      </c>
      <c r="BO57" s="34">
        <v>0</v>
      </c>
      <c r="BP57" s="34">
        <v>485.6338052021589</v>
      </c>
      <c r="BQ57" s="34">
        <v>0</v>
      </c>
      <c r="BR57" s="34">
        <v>0</v>
      </c>
      <c r="BS57" s="34">
        <v>0</v>
      </c>
      <c r="BT57" s="34">
        <v>0</v>
      </c>
      <c r="BU57" s="34">
        <v>0</v>
      </c>
      <c r="BV57" s="34">
        <v>917.41752092549621</v>
      </c>
      <c r="BW57" s="34">
        <v>0</v>
      </c>
      <c r="BX57" s="34">
        <v>94.334088226691279</v>
      </c>
      <c r="BY57" s="34"/>
      <c r="BZ57" s="34">
        <v>0</v>
      </c>
      <c r="CA57" s="34">
        <v>0</v>
      </c>
      <c r="CB57" s="34">
        <v>2339.4151002324015</v>
      </c>
      <c r="CC57" s="34">
        <v>94.334088226691279</v>
      </c>
      <c r="CD57" s="429">
        <v>24.799254905720048</v>
      </c>
      <c r="CE57" s="34">
        <v>-53.451322748471846</v>
      </c>
      <c r="CF57" s="34">
        <v>17.115372803229413</v>
      </c>
      <c r="CG57" s="34">
        <v>0</v>
      </c>
      <c r="CH57" s="34">
        <v>17.115372803229413</v>
      </c>
      <c r="CI57" s="34">
        <v>0.85575824033388292</v>
      </c>
      <c r="CJ57" s="34">
        <v>0</v>
      </c>
      <c r="CK57" s="34">
        <v>0.85575824033388292</v>
      </c>
      <c r="CL57" s="34"/>
      <c r="CM57" s="34">
        <v>0</v>
      </c>
      <c r="CN57" s="34"/>
      <c r="CO57" s="34">
        <v>0</v>
      </c>
      <c r="CP57" s="34">
        <v>0</v>
      </c>
      <c r="CQ57" s="34">
        <v>0</v>
      </c>
      <c r="CR57" s="34">
        <v>0</v>
      </c>
      <c r="CS57" s="34">
        <v>0</v>
      </c>
      <c r="CT57" s="34">
        <v>0</v>
      </c>
      <c r="CU57" s="34">
        <v>0</v>
      </c>
      <c r="CV57" s="34">
        <v>9999</v>
      </c>
      <c r="CW57" s="429">
        <v>9999</v>
      </c>
      <c r="CX57" s="9"/>
      <c r="CY57" s="9"/>
      <c r="CZ57" s="9"/>
      <c r="DA57" s="9"/>
      <c r="DB57" s="9"/>
      <c r="DC57" s="9"/>
      <c r="DD57" s="9"/>
      <c r="DE57" s="9"/>
      <c r="DF57" s="9"/>
      <c r="DG57" s="9"/>
      <c r="DH57" s="9"/>
      <c r="DI57" s="9"/>
      <c r="DJ57" s="9"/>
      <c r="DK57" s="9"/>
      <c r="DL57" s="9"/>
      <c r="DM57" s="9"/>
      <c r="DN57" s="9"/>
      <c r="DO57" s="9"/>
      <c r="DP57" s="9"/>
      <c r="DQ57" s="9"/>
      <c r="DR57" s="9"/>
      <c r="DS57" s="9"/>
      <c r="DT57" s="9"/>
      <c r="DU57" s="9"/>
      <c r="DV57" s="9"/>
      <c r="DW57" s="9"/>
      <c r="DX57" s="9"/>
      <c r="DY57" s="9"/>
      <c r="DZ57" s="9"/>
      <c r="EA57" s="9"/>
    </row>
    <row r="58" spans="1:131">
      <c r="A58" s="9" t="s">
        <v>1175</v>
      </c>
      <c r="B58" s="9" t="s">
        <v>963</v>
      </c>
      <c r="C58" s="34">
        <v>20</v>
      </c>
      <c r="D58" s="34">
        <v>125.28860455388956</v>
      </c>
      <c r="E58" s="34">
        <v>0</v>
      </c>
      <c r="F58" s="34">
        <v>0</v>
      </c>
      <c r="G58" s="34">
        <v>0</v>
      </c>
      <c r="H58" s="34">
        <v>0</v>
      </c>
      <c r="I58" s="34" t="s">
        <v>1172</v>
      </c>
      <c r="J58" s="34"/>
      <c r="K58" s="34"/>
      <c r="L58" s="34">
        <v>134.95504147714161</v>
      </c>
      <c r="M58" s="34">
        <v>4.7145897554738185E-2</v>
      </c>
      <c r="N58" s="34">
        <v>4.6805619608463071E-2</v>
      </c>
      <c r="O58" s="34">
        <v>0</v>
      </c>
      <c r="P58" s="34">
        <v>0</v>
      </c>
      <c r="Q58" s="34">
        <v>0</v>
      </c>
      <c r="R58" s="34">
        <v>0</v>
      </c>
      <c r="S58" s="34">
        <v>0</v>
      </c>
      <c r="T58" s="34">
        <v>0</v>
      </c>
      <c r="U58" s="34">
        <v>0</v>
      </c>
      <c r="V58" s="34" t="s">
        <v>1347</v>
      </c>
      <c r="W58" s="34" t="s">
        <v>1347</v>
      </c>
      <c r="X58" s="34" t="s">
        <v>1347</v>
      </c>
      <c r="Y58" s="34" t="s">
        <v>1347</v>
      </c>
      <c r="Z58" s="34">
        <v>0</v>
      </c>
      <c r="AA58" s="34">
        <v>0</v>
      </c>
      <c r="AB58" s="34">
        <v>0</v>
      </c>
      <c r="AC58" s="34">
        <v>0</v>
      </c>
      <c r="AD58" s="34">
        <v>0</v>
      </c>
      <c r="AE58" s="34">
        <v>0</v>
      </c>
      <c r="AF58" s="34">
        <v>0</v>
      </c>
      <c r="AG58" s="34">
        <v>0</v>
      </c>
      <c r="AH58" s="34">
        <v>0</v>
      </c>
      <c r="AI58" s="34">
        <v>0</v>
      </c>
      <c r="AJ58" s="34">
        <v>0</v>
      </c>
      <c r="AK58" s="34">
        <v>0</v>
      </c>
      <c r="AL58" s="34">
        <v>0</v>
      </c>
      <c r="AM58" s="34">
        <v>70.141691727420934</v>
      </c>
      <c r="AN58" s="34">
        <v>16.658931473477953</v>
      </c>
      <c r="AO58" s="34">
        <v>0</v>
      </c>
      <c r="AP58" s="34">
        <v>0</v>
      </c>
      <c r="AQ58" s="34">
        <v>86.800623200898883</v>
      </c>
      <c r="AR58" s="34">
        <v>0</v>
      </c>
      <c r="AS58" s="429">
        <v>9999</v>
      </c>
      <c r="AT58" s="34">
        <v>70.141691727420934</v>
      </c>
      <c r="AU58" s="34">
        <v>19.719213002980382</v>
      </c>
      <c r="AV58" s="34">
        <v>0</v>
      </c>
      <c r="AW58" s="34">
        <v>0</v>
      </c>
      <c r="AX58" s="34">
        <v>89.860904730401316</v>
      </c>
      <c r="AY58" s="34">
        <v>0</v>
      </c>
      <c r="AZ58" s="429">
        <v>9999</v>
      </c>
      <c r="BA58" s="34">
        <v>70.141691727420934</v>
      </c>
      <c r="BB58" s="34">
        <v>36.378144476458331</v>
      </c>
      <c r="BC58" s="34">
        <v>0</v>
      </c>
      <c r="BD58" s="34">
        <v>0</v>
      </c>
      <c r="BE58" s="34">
        <v>106.51983620387927</v>
      </c>
      <c r="BF58" s="34">
        <v>0</v>
      </c>
      <c r="BG58" s="34">
        <v>-19.834513145912599</v>
      </c>
      <c r="BH58" s="429">
        <v>9999</v>
      </c>
      <c r="BI58" s="34">
        <v>0</v>
      </c>
      <c r="BJ58" s="34">
        <v>0</v>
      </c>
      <c r="BK58" s="34">
        <v>0</v>
      </c>
      <c r="BL58" s="34">
        <v>0</v>
      </c>
      <c r="BM58" s="34">
        <v>0</v>
      </c>
      <c r="BN58" s="34">
        <v>70.141691727420934</v>
      </c>
      <c r="BO58" s="34">
        <v>0</v>
      </c>
      <c r="BP58" s="34">
        <v>36.378144476458331</v>
      </c>
      <c r="BQ58" s="34">
        <v>0</v>
      </c>
      <c r="BR58" s="34">
        <v>0</v>
      </c>
      <c r="BS58" s="34">
        <v>0</v>
      </c>
      <c r="BT58" s="34">
        <v>0</v>
      </c>
      <c r="BU58" s="34">
        <v>0</v>
      </c>
      <c r="BV58" s="34">
        <v>0</v>
      </c>
      <c r="BW58" s="34">
        <v>0</v>
      </c>
      <c r="BX58" s="34">
        <v>0</v>
      </c>
      <c r="BY58" s="34"/>
      <c r="BZ58" s="34">
        <v>0</v>
      </c>
      <c r="CA58" s="34">
        <v>0</v>
      </c>
      <c r="CB58" s="34">
        <v>106.51983620387927</v>
      </c>
      <c r="CC58" s="34">
        <v>0</v>
      </c>
      <c r="CD58" s="429">
        <v>9999</v>
      </c>
      <c r="CE58" s="34">
        <v>-19.834513145912599</v>
      </c>
      <c r="CF58" s="34">
        <v>1.2820884747616377</v>
      </c>
      <c r="CG58" s="34">
        <v>0</v>
      </c>
      <c r="CH58" s="34">
        <v>1.2820884747616377</v>
      </c>
      <c r="CI58" s="34">
        <v>6.4103644701642259E-2</v>
      </c>
      <c r="CJ58" s="34">
        <v>0</v>
      </c>
      <c r="CK58" s="34">
        <v>6.4103644701642259E-2</v>
      </c>
      <c r="CL58" s="34"/>
      <c r="CM58" s="34">
        <v>0</v>
      </c>
      <c r="CN58" s="34"/>
      <c r="CO58" s="34">
        <v>0</v>
      </c>
      <c r="CP58" s="34">
        <v>0</v>
      </c>
      <c r="CQ58" s="34">
        <v>0</v>
      </c>
      <c r="CR58" s="34">
        <v>0</v>
      </c>
      <c r="CS58" s="34">
        <v>0</v>
      </c>
      <c r="CT58" s="34">
        <v>0</v>
      </c>
      <c r="CU58" s="34">
        <v>0</v>
      </c>
      <c r="CV58" s="34">
        <v>9999</v>
      </c>
      <c r="CW58" s="429">
        <v>9999</v>
      </c>
      <c r="CX58" s="9"/>
      <c r="CY58" s="9"/>
      <c r="CZ58" s="9"/>
      <c r="DA58" s="9"/>
      <c r="DB58" s="9"/>
      <c r="DC58" s="9"/>
      <c r="DD58" s="9"/>
      <c r="DE58" s="9"/>
      <c r="DF58" s="9"/>
      <c r="DG58" s="9"/>
      <c r="DH58" s="9"/>
      <c r="DI58" s="9"/>
      <c r="DJ58" s="9"/>
      <c r="DK58" s="9"/>
      <c r="DL58" s="9"/>
      <c r="DM58" s="9"/>
      <c r="DN58" s="9"/>
      <c r="DO58" s="9"/>
      <c r="DP58" s="9"/>
      <c r="DQ58" s="9"/>
      <c r="DR58" s="9"/>
      <c r="DS58" s="9"/>
      <c r="DT58" s="9"/>
      <c r="DU58" s="9"/>
      <c r="DV58" s="9"/>
      <c r="DW58" s="9"/>
      <c r="DX58" s="9"/>
      <c r="DY58" s="9"/>
      <c r="DZ58" s="9"/>
      <c r="EA58" s="9"/>
    </row>
    <row r="59" spans="1:131">
      <c r="A59" s="9" t="s">
        <v>1175</v>
      </c>
      <c r="B59" s="9" t="s">
        <v>964</v>
      </c>
      <c r="C59" s="34">
        <v>20</v>
      </c>
      <c r="D59" s="34">
        <v>1792.836623090225</v>
      </c>
      <c r="E59" s="34">
        <v>0</v>
      </c>
      <c r="F59" s="34">
        <v>9362.6024060233904</v>
      </c>
      <c r="G59" s="34">
        <v>0</v>
      </c>
      <c r="H59" s="34">
        <v>0</v>
      </c>
      <c r="I59" s="34" t="s">
        <v>1172</v>
      </c>
      <c r="J59" s="34"/>
      <c r="K59" s="34"/>
      <c r="L59" s="34">
        <v>1931.1599940983497</v>
      </c>
      <c r="M59" s="34">
        <v>0.67464149724996236</v>
      </c>
      <c r="N59" s="34">
        <v>0.66977223746145909</v>
      </c>
      <c r="O59" s="34">
        <v>0</v>
      </c>
      <c r="P59" s="34">
        <v>0</v>
      </c>
      <c r="Q59" s="34">
        <v>0</v>
      </c>
      <c r="R59" s="34">
        <v>1867.0279901056426</v>
      </c>
      <c r="S59" s="34">
        <v>4314.4177117798699</v>
      </c>
      <c r="T59" s="34">
        <v>0</v>
      </c>
      <c r="U59" s="34">
        <v>3336.0467305164066</v>
      </c>
      <c r="V59" s="34" t="s">
        <v>1347</v>
      </c>
      <c r="W59" s="34" t="s">
        <v>1347</v>
      </c>
      <c r="X59" s="34" t="s">
        <v>1347</v>
      </c>
      <c r="Y59" s="34" t="s">
        <v>1347</v>
      </c>
      <c r="Z59" s="34">
        <v>0</v>
      </c>
      <c r="AA59" s="34">
        <v>0</v>
      </c>
      <c r="AB59" s="34">
        <v>0</v>
      </c>
      <c r="AC59" s="34">
        <v>0</v>
      </c>
      <c r="AD59" s="34">
        <v>0</v>
      </c>
      <c r="AE59" s="34">
        <v>0</v>
      </c>
      <c r="AF59" s="34">
        <v>0</v>
      </c>
      <c r="AG59" s="34">
        <v>0</v>
      </c>
      <c r="AH59" s="34">
        <v>1867.0279901056426</v>
      </c>
      <c r="AI59" s="34">
        <v>4314.4177117798699</v>
      </c>
      <c r="AJ59" s="34">
        <v>0</v>
      </c>
      <c r="AK59" s="34">
        <v>3336.0467305164066</v>
      </c>
      <c r="AL59" s="34">
        <v>9517.4924324019194</v>
      </c>
      <c r="AM59" s="34">
        <v>1003.7033629849079</v>
      </c>
      <c r="AN59" s="34">
        <v>238.38355095059978</v>
      </c>
      <c r="AO59" s="34">
        <v>0</v>
      </c>
      <c r="AP59" s="34">
        <v>0</v>
      </c>
      <c r="AQ59" s="34">
        <v>1242.0869139355077</v>
      </c>
      <c r="AR59" s="34">
        <v>1867.0279901056426</v>
      </c>
      <c r="AS59" s="410">
        <v>0.66527492920190567</v>
      </c>
      <c r="AT59" s="34">
        <v>1003.7033629849079</v>
      </c>
      <c r="AU59" s="34">
        <v>282.17512180091302</v>
      </c>
      <c r="AV59" s="34">
        <v>0</v>
      </c>
      <c r="AW59" s="34">
        <v>0</v>
      </c>
      <c r="AX59" s="34">
        <v>1285.878484785821</v>
      </c>
      <c r="AY59" s="34">
        <v>4314.4177117798699</v>
      </c>
      <c r="AZ59" s="410">
        <v>0.29804218568705643</v>
      </c>
      <c r="BA59" s="34">
        <v>1003.7033629849079</v>
      </c>
      <c r="BB59" s="34">
        <v>520.55867275151286</v>
      </c>
      <c r="BC59" s="34">
        <v>0</v>
      </c>
      <c r="BD59" s="34">
        <v>0</v>
      </c>
      <c r="BE59" s="34">
        <v>1524.2620357364208</v>
      </c>
      <c r="BF59" s="34">
        <v>6181.4457018855128</v>
      </c>
      <c r="BG59" s="34">
        <v>215.69314675596897</v>
      </c>
      <c r="BH59" s="410">
        <v>0.24658665775733959</v>
      </c>
      <c r="BI59" s="34">
        <v>71.138169724076576</v>
      </c>
      <c r="BJ59" s="34">
        <v>164.38949017780496</v>
      </c>
      <c r="BK59" s="34">
        <v>0</v>
      </c>
      <c r="BL59" s="34">
        <v>127.11124834796854</v>
      </c>
      <c r="BM59" s="34">
        <v>362.63890824985009</v>
      </c>
      <c r="BN59" s="34">
        <v>1003.7033629849079</v>
      </c>
      <c r="BO59" s="34">
        <v>0</v>
      </c>
      <c r="BP59" s="34">
        <v>520.55867275151286</v>
      </c>
      <c r="BQ59" s="34">
        <v>0</v>
      </c>
      <c r="BR59" s="34">
        <v>0</v>
      </c>
      <c r="BS59" s="34">
        <v>0</v>
      </c>
      <c r="BT59" s="34">
        <v>0</v>
      </c>
      <c r="BU59" s="34">
        <v>0</v>
      </c>
      <c r="BV59" s="34">
        <v>0</v>
      </c>
      <c r="BW59" s="34">
        <v>0</v>
      </c>
      <c r="BX59" s="34">
        <v>9517.4924324019194</v>
      </c>
      <c r="BY59" s="34"/>
      <c r="BZ59" s="34">
        <v>0</v>
      </c>
      <c r="CA59" s="34">
        <v>0</v>
      </c>
      <c r="CB59" s="34">
        <v>1524.2620357364208</v>
      </c>
      <c r="CC59" s="34">
        <v>9517.4924324019194</v>
      </c>
      <c r="CD59" s="410">
        <v>0.16015374286478359</v>
      </c>
      <c r="CE59" s="34">
        <v>342.80439510393751</v>
      </c>
      <c r="CF59" s="34">
        <v>18.346242898777625</v>
      </c>
      <c r="CG59" s="34">
        <v>0</v>
      </c>
      <c r="CH59" s="34">
        <v>18.346242898777625</v>
      </c>
      <c r="CI59" s="34">
        <v>0.91730099719671632</v>
      </c>
      <c r="CJ59" s="34">
        <v>0</v>
      </c>
      <c r="CK59" s="34">
        <v>0.91730099719671632</v>
      </c>
      <c r="CL59" s="34"/>
      <c r="CM59" s="34">
        <v>0</v>
      </c>
      <c r="CN59" s="34"/>
      <c r="CO59" s="34">
        <v>0</v>
      </c>
      <c r="CP59" s="34">
        <v>0</v>
      </c>
      <c r="CQ59" s="34">
        <v>0</v>
      </c>
      <c r="CR59" s="34">
        <v>0</v>
      </c>
      <c r="CS59" s="34">
        <v>0</v>
      </c>
      <c r="CT59" s="34">
        <v>0</v>
      </c>
      <c r="CU59" s="34">
        <v>0</v>
      </c>
      <c r="CV59" s="34">
        <v>9999</v>
      </c>
      <c r="CW59" s="429">
        <v>9999</v>
      </c>
      <c r="CX59" s="9"/>
      <c r="CY59" s="9"/>
      <c r="CZ59" s="9"/>
      <c r="DA59" s="9"/>
      <c r="DB59" s="9"/>
      <c r="DC59" s="9"/>
      <c r="DD59" s="9"/>
      <c r="DE59" s="9"/>
      <c r="DF59" s="9"/>
      <c r="DG59" s="9"/>
      <c r="DH59" s="9"/>
      <c r="DI59" s="9"/>
      <c r="DJ59" s="9"/>
      <c r="DK59" s="9"/>
      <c r="DL59" s="9"/>
      <c r="DM59" s="9"/>
      <c r="DN59" s="9"/>
      <c r="DO59" s="9"/>
      <c r="DP59" s="9"/>
      <c r="DQ59" s="9"/>
      <c r="DR59" s="9"/>
      <c r="DS59" s="9"/>
      <c r="DT59" s="9"/>
      <c r="DU59" s="9"/>
      <c r="DV59" s="9"/>
      <c r="DW59" s="9"/>
      <c r="DX59" s="9"/>
      <c r="DY59" s="9"/>
      <c r="DZ59" s="9"/>
      <c r="EA59" s="9"/>
    </row>
    <row r="60" spans="1:131">
      <c r="A60" s="9"/>
      <c r="B60" s="9"/>
      <c r="C60" s="34"/>
      <c r="D60" s="34"/>
      <c r="E60" s="34"/>
      <c r="F60" s="34"/>
      <c r="G60" s="34"/>
      <c r="H60" s="34"/>
      <c r="I60" s="34"/>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4"/>
      <c r="AJ60" s="34"/>
      <c r="AK60" s="34"/>
      <c r="AL60" s="34"/>
      <c r="AM60" s="34"/>
      <c r="AN60" s="34"/>
      <c r="AO60" s="34"/>
      <c r="AP60" s="34"/>
      <c r="AQ60" s="34"/>
      <c r="AR60" s="34"/>
      <c r="AS60" s="34"/>
      <c r="AT60" s="34"/>
      <c r="AU60" s="34"/>
      <c r="AV60" s="34"/>
      <c r="AW60" s="34"/>
      <c r="AX60" s="34"/>
      <c r="AY60" s="34"/>
      <c r="AZ60" s="34"/>
      <c r="BA60" s="34"/>
      <c r="BB60" s="34"/>
      <c r="BC60" s="34"/>
      <c r="BD60" s="34"/>
      <c r="BE60" s="34"/>
      <c r="BF60" s="34"/>
      <c r="BG60" s="34"/>
      <c r="BH60" s="34"/>
      <c r="BI60" s="34"/>
      <c r="BJ60" s="34"/>
      <c r="BK60" s="34"/>
      <c r="BL60" s="34"/>
      <c r="BM60" s="34"/>
      <c r="BN60" s="34"/>
      <c r="BO60" s="34"/>
      <c r="BP60" s="34"/>
      <c r="BQ60" s="34"/>
      <c r="BR60" s="34"/>
      <c r="BS60" s="34"/>
      <c r="BT60" s="34"/>
      <c r="BU60" s="34"/>
      <c r="BV60" s="34"/>
      <c r="BW60" s="34"/>
      <c r="BX60" s="34"/>
      <c r="BY60" s="34"/>
      <c r="BZ60" s="34"/>
      <c r="CA60" s="34"/>
      <c r="CB60" s="34"/>
      <c r="CC60" s="34"/>
      <c r="CD60" s="34"/>
      <c r="CE60" s="34"/>
      <c r="CF60" s="34"/>
      <c r="CG60" s="34"/>
      <c r="CH60" s="34"/>
      <c r="CI60" s="34"/>
      <c r="CJ60" s="34"/>
      <c r="CK60" s="34"/>
      <c r="CL60" s="34"/>
      <c r="CM60" s="34"/>
      <c r="CN60" s="34"/>
      <c r="CO60" s="34"/>
      <c r="CP60" s="34"/>
      <c r="CQ60" s="34"/>
      <c r="CR60" s="34"/>
      <c r="CS60" s="34"/>
      <c r="CT60" s="34"/>
      <c r="CU60" s="34"/>
      <c r="CV60" s="34"/>
      <c r="CW60" s="34"/>
      <c r="CX60" s="9"/>
      <c r="CY60" s="9"/>
      <c r="CZ60" s="9"/>
      <c r="DA60" s="9"/>
      <c r="DB60" s="9"/>
      <c r="DC60" s="9"/>
      <c r="DD60" s="9"/>
      <c r="DE60" s="9"/>
      <c r="DF60" s="9"/>
      <c r="DG60" s="9"/>
      <c r="DH60" s="9"/>
      <c r="DI60" s="9"/>
      <c r="DJ60" s="9"/>
      <c r="DK60" s="9"/>
      <c r="DL60" s="9"/>
      <c r="DM60" s="9"/>
      <c r="DN60" s="9"/>
      <c r="DO60" s="9"/>
      <c r="DP60" s="9"/>
      <c r="DQ60" s="9"/>
      <c r="DR60" s="9"/>
      <c r="DS60" s="9"/>
      <c r="DT60" s="9"/>
      <c r="DU60" s="9"/>
      <c r="DV60" s="9"/>
      <c r="DW60" s="9"/>
      <c r="DX60" s="9"/>
      <c r="DY60" s="9"/>
      <c r="DZ60" s="9"/>
      <c r="EA60" s="9"/>
    </row>
    <row r="61" spans="1:131">
      <c r="A61" s="9"/>
      <c r="B61" s="9"/>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34"/>
      <c r="BT61" s="34"/>
      <c r="BU61" s="34"/>
      <c r="BV61" s="34"/>
      <c r="BW61" s="34"/>
      <c r="BX61" s="34"/>
      <c r="BY61" s="34"/>
      <c r="BZ61" s="34"/>
      <c r="CA61" s="34"/>
      <c r="CB61" s="34"/>
      <c r="CC61" s="34"/>
      <c r="CD61" s="34"/>
      <c r="CE61" s="34"/>
      <c r="CF61" s="34"/>
      <c r="CG61" s="34"/>
      <c r="CH61" s="34"/>
      <c r="CI61" s="34"/>
      <c r="CJ61" s="34"/>
      <c r="CK61" s="34"/>
      <c r="CL61" s="34"/>
      <c r="CM61" s="34"/>
      <c r="CN61" s="34"/>
      <c r="CO61" s="34"/>
      <c r="CP61" s="34"/>
      <c r="CQ61" s="34"/>
      <c r="CR61" s="34"/>
      <c r="CS61" s="34"/>
      <c r="CT61" s="34"/>
      <c r="CU61" s="34"/>
      <c r="CV61" s="34"/>
      <c r="CW61" s="34"/>
      <c r="CX61" s="9"/>
      <c r="CY61" s="9"/>
      <c r="CZ61" s="9"/>
      <c r="DA61" s="9"/>
      <c r="DB61" s="9"/>
      <c r="DC61" s="9"/>
      <c r="DD61" s="9"/>
      <c r="DE61" s="9"/>
      <c r="DF61" s="9"/>
      <c r="DG61" s="9"/>
      <c r="DH61" s="9"/>
      <c r="DI61" s="9"/>
      <c r="DJ61" s="9"/>
      <c r="DK61" s="9"/>
      <c r="DL61" s="9"/>
      <c r="DM61" s="9"/>
      <c r="DN61" s="9"/>
      <c r="DO61" s="9"/>
      <c r="DP61" s="9"/>
      <c r="DQ61" s="9"/>
      <c r="DR61" s="9"/>
      <c r="DS61" s="9"/>
      <c r="DT61" s="9"/>
      <c r="DU61" s="9"/>
      <c r="DV61" s="9"/>
      <c r="DW61" s="9"/>
      <c r="DX61" s="9"/>
      <c r="DY61" s="9"/>
      <c r="DZ61" s="9"/>
      <c r="EA61" s="9"/>
    </row>
    <row r="62" spans="1:131" ht="13.5" thickBot="1">
      <c r="A62" s="32" t="s">
        <v>1348</v>
      </c>
      <c r="B62" s="33"/>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34"/>
      <c r="BT62" s="34"/>
      <c r="BU62" s="34"/>
      <c r="BV62" s="34"/>
      <c r="BW62" s="34"/>
      <c r="BX62" s="34"/>
      <c r="BY62" s="34"/>
      <c r="BZ62" s="34"/>
      <c r="CA62" s="34"/>
      <c r="CB62" s="34"/>
      <c r="CC62" s="34"/>
      <c r="CD62" s="34"/>
      <c r="CE62" s="34"/>
      <c r="CF62" s="34"/>
      <c r="CG62" s="34"/>
      <c r="CH62" s="34"/>
      <c r="CI62" s="34"/>
      <c r="CJ62" s="34"/>
      <c r="CK62" s="34"/>
      <c r="CL62" s="34"/>
      <c r="CM62" s="34"/>
      <c r="CN62" s="34"/>
      <c r="CO62" s="34"/>
      <c r="CP62" s="34"/>
      <c r="CQ62" s="34"/>
      <c r="CR62" s="34"/>
      <c r="CS62" s="34"/>
      <c r="CT62" s="34"/>
      <c r="CU62" s="34"/>
      <c r="CV62" s="34"/>
      <c r="CW62" s="34"/>
      <c r="CX62" s="9"/>
      <c r="CY62" s="9"/>
      <c r="CZ62" s="9"/>
      <c r="DA62" s="9"/>
      <c r="DB62" s="9"/>
      <c r="DC62" s="9"/>
      <c r="DD62" s="9"/>
      <c r="DE62" s="9"/>
      <c r="DF62" s="9"/>
      <c r="DG62" s="9"/>
      <c r="DH62" s="9"/>
      <c r="DI62" s="9"/>
      <c r="DJ62" s="9"/>
      <c r="DK62" s="9"/>
      <c r="DL62" s="9"/>
      <c r="DM62" s="9"/>
      <c r="DN62" s="9"/>
      <c r="DO62" s="9"/>
      <c r="DP62" s="9"/>
      <c r="DQ62" s="9"/>
      <c r="DR62" s="9"/>
      <c r="DS62" s="9"/>
      <c r="DT62" s="9"/>
      <c r="DU62" s="9"/>
      <c r="DV62" s="9"/>
      <c r="DW62" s="9"/>
      <c r="DX62" s="9"/>
      <c r="DY62" s="9"/>
      <c r="DZ62" s="9"/>
      <c r="EA62" s="9"/>
    </row>
    <row r="63" spans="1:131" ht="26.25" thickBot="1">
      <c r="A63" s="422" t="s">
        <v>1252</v>
      </c>
      <c r="B63" s="423"/>
      <c r="C63" s="424" t="s">
        <v>1253</v>
      </c>
      <c r="D63" s="425"/>
      <c r="E63" s="425"/>
      <c r="F63" s="425"/>
      <c r="G63" s="425"/>
      <c r="H63" s="425"/>
      <c r="I63" s="425"/>
      <c r="J63" s="425"/>
      <c r="K63" s="426"/>
      <c r="L63" s="424" t="s">
        <v>1254</v>
      </c>
      <c r="M63" s="425"/>
      <c r="N63" s="425"/>
      <c r="O63" s="425"/>
      <c r="P63" s="425"/>
      <c r="Q63" s="426"/>
      <c r="R63" s="424" t="s">
        <v>1255</v>
      </c>
      <c r="S63" s="425"/>
      <c r="T63" s="425"/>
      <c r="U63" s="426"/>
      <c r="V63" s="424" t="s">
        <v>1256</v>
      </c>
      <c r="W63" s="425"/>
      <c r="X63" s="425"/>
      <c r="Y63" s="426"/>
      <c r="Z63" s="424" t="s">
        <v>1257</v>
      </c>
      <c r="AA63" s="425"/>
      <c r="AB63" s="425"/>
      <c r="AC63" s="426"/>
      <c r="AD63" s="424" t="s">
        <v>1258</v>
      </c>
      <c r="AE63" s="425"/>
      <c r="AF63" s="425"/>
      <c r="AG63" s="426"/>
      <c r="AH63" s="424" t="s">
        <v>1259</v>
      </c>
      <c r="AI63" s="425"/>
      <c r="AJ63" s="425"/>
      <c r="AK63" s="425"/>
      <c r="AL63" s="426"/>
      <c r="AM63" s="424" t="s">
        <v>1260</v>
      </c>
      <c r="AN63" s="425"/>
      <c r="AO63" s="425"/>
      <c r="AP63" s="425"/>
      <c r="AQ63" s="425"/>
      <c r="AR63" s="425"/>
      <c r="AS63" s="426"/>
      <c r="AT63" s="424" t="s">
        <v>1261</v>
      </c>
      <c r="AU63" s="425"/>
      <c r="AV63" s="425"/>
      <c r="AW63" s="425"/>
      <c r="AX63" s="425"/>
      <c r="AY63" s="425"/>
      <c r="AZ63" s="426"/>
      <c r="BA63" s="424" t="s">
        <v>1262</v>
      </c>
      <c r="BB63" s="425"/>
      <c r="BC63" s="425"/>
      <c r="BD63" s="425"/>
      <c r="BE63" s="425"/>
      <c r="BF63" s="426"/>
      <c r="BG63" s="424" t="s">
        <v>1263</v>
      </c>
      <c r="BH63" s="426"/>
      <c r="BI63" s="424" t="s">
        <v>1264</v>
      </c>
      <c r="BJ63" s="425"/>
      <c r="BK63" s="425"/>
      <c r="BL63" s="425"/>
      <c r="BM63" s="426"/>
      <c r="BN63" s="424" t="s">
        <v>1265</v>
      </c>
      <c r="BO63" s="425"/>
      <c r="BP63" s="425"/>
      <c r="BQ63" s="425"/>
      <c r="BR63" s="425"/>
      <c r="BS63" s="425"/>
      <c r="BT63" s="425"/>
      <c r="BU63" s="425"/>
      <c r="BV63" s="425"/>
      <c r="BW63" s="425"/>
      <c r="BX63" s="425"/>
      <c r="BY63" s="425"/>
      <c r="BZ63" s="425"/>
      <c r="CA63" s="425"/>
      <c r="CB63" s="425"/>
      <c r="CC63" s="426"/>
      <c r="CD63" s="424" t="s">
        <v>1266</v>
      </c>
      <c r="CE63" s="426"/>
      <c r="CF63" s="424" t="s">
        <v>1267</v>
      </c>
      <c r="CG63" s="425"/>
      <c r="CH63" s="425"/>
      <c r="CI63" s="425"/>
      <c r="CJ63" s="425"/>
      <c r="CK63" s="426"/>
      <c r="CL63" s="427"/>
      <c r="CM63" s="424" t="s">
        <v>5</v>
      </c>
      <c r="CN63" s="425"/>
      <c r="CO63" s="425"/>
      <c r="CP63" s="426"/>
      <c r="CQ63" s="424" t="s">
        <v>1268</v>
      </c>
      <c r="CR63" s="425"/>
      <c r="CS63" s="425"/>
      <c r="CT63" s="425"/>
      <c r="CU63" s="426"/>
      <c r="CV63" s="424" t="s">
        <v>1269</v>
      </c>
      <c r="CW63" s="426"/>
      <c r="CX63" s="9"/>
      <c r="CY63" s="9"/>
      <c r="CZ63" s="9"/>
      <c r="DA63" s="9"/>
      <c r="DB63" s="9"/>
      <c r="DC63" s="9"/>
      <c r="DD63" s="9"/>
      <c r="DE63" s="9"/>
      <c r="DF63" s="9"/>
      <c r="DG63" s="9"/>
      <c r="DH63" s="9"/>
      <c r="DI63" s="9"/>
      <c r="DJ63" s="9"/>
      <c r="DK63" s="9"/>
      <c r="DL63" s="9"/>
      <c r="DM63" s="9"/>
      <c r="DN63" s="9"/>
      <c r="DO63" s="9"/>
      <c r="DP63" s="9"/>
      <c r="DQ63" s="9"/>
      <c r="DR63" s="9"/>
      <c r="DS63" s="9"/>
      <c r="DT63" s="9"/>
      <c r="DU63" s="9"/>
      <c r="DV63" s="9"/>
      <c r="DW63" s="9"/>
      <c r="DX63" s="9"/>
      <c r="DY63" s="9"/>
      <c r="DZ63" s="9"/>
      <c r="EA63" s="9"/>
    </row>
    <row r="64" spans="1:131" ht="204">
      <c r="A64" s="35" t="s">
        <v>21</v>
      </c>
      <c r="B64" s="36" t="s">
        <v>22</v>
      </c>
      <c r="C64" s="37" t="s">
        <v>144</v>
      </c>
      <c r="D64" s="37" t="s">
        <v>1270</v>
      </c>
      <c r="E64" s="37" t="s">
        <v>1271</v>
      </c>
      <c r="F64" s="37" t="s">
        <v>1272</v>
      </c>
      <c r="G64" s="37" t="s">
        <v>1273</v>
      </c>
      <c r="H64" s="37" t="s">
        <v>1274</v>
      </c>
      <c r="I64" s="37" t="s">
        <v>1275</v>
      </c>
      <c r="J64" s="37" t="s">
        <v>1276</v>
      </c>
      <c r="K64" s="37" t="s">
        <v>1277</v>
      </c>
      <c r="L64" s="37" t="s">
        <v>1278</v>
      </c>
      <c r="M64" s="37" t="s">
        <v>1279</v>
      </c>
      <c r="N64" s="37" t="s">
        <v>1280</v>
      </c>
      <c r="O64" s="37" t="s">
        <v>1281</v>
      </c>
      <c r="P64" s="37" t="s">
        <v>1282</v>
      </c>
      <c r="Q64" s="37" t="s">
        <v>1283</v>
      </c>
      <c r="R64" s="37" t="s">
        <v>1284</v>
      </c>
      <c r="S64" s="37" t="s">
        <v>1285</v>
      </c>
      <c r="T64" s="37" t="s">
        <v>1286</v>
      </c>
      <c r="U64" s="37" t="s">
        <v>1193</v>
      </c>
      <c r="V64" s="37" t="s">
        <v>1284</v>
      </c>
      <c r="W64" s="37" t="s">
        <v>1285</v>
      </c>
      <c r="X64" s="37" t="s">
        <v>1286</v>
      </c>
      <c r="Y64" s="37" t="s">
        <v>1193</v>
      </c>
      <c r="Z64" s="37" t="s">
        <v>1284</v>
      </c>
      <c r="AA64" s="37" t="s">
        <v>1285</v>
      </c>
      <c r="AB64" s="37" t="s">
        <v>1286</v>
      </c>
      <c r="AC64" s="37" t="s">
        <v>1193</v>
      </c>
      <c r="AD64" s="37" t="s">
        <v>1284</v>
      </c>
      <c r="AE64" s="37" t="s">
        <v>1285</v>
      </c>
      <c r="AF64" s="37" t="s">
        <v>1286</v>
      </c>
      <c r="AG64" s="37" t="s">
        <v>1193</v>
      </c>
      <c r="AH64" s="37" t="s">
        <v>1284</v>
      </c>
      <c r="AI64" s="37" t="s">
        <v>1285</v>
      </c>
      <c r="AJ64" s="37" t="s">
        <v>1286</v>
      </c>
      <c r="AK64" s="37" t="s">
        <v>1193</v>
      </c>
      <c r="AL64" s="37" t="s">
        <v>169</v>
      </c>
      <c r="AM64" s="37" t="s">
        <v>1287</v>
      </c>
      <c r="AN64" s="37" t="s">
        <v>1288</v>
      </c>
      <c r="AO64" s="37" t="s">
        <v>1289</v>
      </c>
      <c r="AP64" s="37" t="s">
        <v>1290</v>
      </c>
      <c r="AQ64" s="37" t="s">
        <v>1291</v>
      </c>
      <c r="AR64" s="37" t="s">
        <v>1292</v>
      </c>
      <c r="AS64" s="37" t="s">
        <v>1293</v>
      </c>
      <c r="AT64" s="37" t="s">
        <v>1294</v>
      </c>
      <c r="AU64" s="37" t="s">
        <v>1295</v>
      </c>
      <c r="AV64" s="37" t="s">
        <v>1296</v>
      </c>
      <c r="AW64" s="37" t="s">
        <v>1297</v>
      </c>
      <c r="AX64" s="37" t="s">
        <v>1298</v>
      </c>
      <c r="AY64" s="37" t="s">
        <v>1299</v>
      </c>
      <c r="AZ64" s="37" t="s">
        <v>1300</v>
      </c>
      <c r="BA64" s="37" t="s">
        <v>1301</v>
      </c>
      <c r="BB64" s="37" t="s">
        <v>1302</v>
      </c>
      <c r="BC64" s="37" t="s">
        <v>1303</v>
      </c>
      <c r="BD64" s="37" t="s">
        <v>1304</v>
      </c>
      <c r="BE64" s="37" t="s">
        <v>1305</v>
      </c>
      <c r="BF64" s="37" t="s">
        <v>1306</v>
      </c>
      <c r="BG64" s="37" t="s">
        <v>1307</v>
      </c>
      <c r="BH64" s="37" t="s">
        <v>1308</v>
      </c>
      <c r="BI64" s="37" t="s">
        <v>1309</v>
      </c>
      <c r="BJ64" s="37" t="s">
        <v>1310</v>
      </c>
      <c r="BK64" s="37" t="s">
        <v>1311</v>
      </c>
      <c r="BL64" s="37" t="s">
        <v>1312</v>
      </c>
      <c r="BM64" s="37" t="s">
        <v>1313</v>
      </c>
      <c r="BN64" s="37" t="s">
        <v>1314</v>
      </c>
      <c r="BO64" s="37" t="s">
        <v>1315</v>
      </c>
      <c r="BP64" s="37" t="s">
        <v>1316</v>
      </c>
      <c r="BQ64" s="37" t="s">
        <v>1317</v>
      </c>
      <c r="BR64" s="37" t="s">
        <v>1318</v>
      </c>
      <c r="BS64" s="37" t="s">
        <v>1319</v>
      </c>
      <c r="BT64" s="37" t="s">
        <v>1320</v>
      </c>
      <c r="BU64" s="37" t="s">
        <v>1321</v>
      </c>
      <c r="BV64" s="37" t="s">
        <v>1322</v>
      </c>
      <c r="BW64" s="37" t="s">
        <v>1323</v>
      </c>
      <c r="BX64" s="37" t="s">
        <v>1324</v>
      </c>
      <c r="BY64" s="37" t="s">
        <v>1325</v>
      </c>
      <c r="BZ64" s="37" t="s">
        <v>1326</v>
      </c>
      <c r="CA64" s="37" t="s">
        <v>1327</v>
      </c>
      <c r="CB64" s="37" t="s">
        <v>1328</v>
      </c>
      <c r="CC64" s="37" t="s">
        <v>1329</v>
      </c>
      <c r="CD64" s="37" t="s">
        <v>23</v>
      </c>
      <c r="CE64" s="37" t="s">
        <v>24</v>
      </c>
      <c r="CF64" s="37" t="s">
        <v>1330</v>
      </c>
      <c r="CG64" s="37" t="s">
        <v>1331</v>
      </c>
      <c r="CH64" s="37" t="s">
        <v>1332</v>
      </c>
      <c r="CI64" s="37" t="s">
        <v>1333</v>
      </c>
      <c r="CJ64" s="37" t="s">
        <v>1334</v>
      </c>
      <c r="CK64" s="37" t="s">
        <v>1335</v>
      </c>
      <c r="CL64" s="37"/>
      <c r="CM64" s="37" t="s">
        <v>1336</v>
      </c>
      <c r="CN64" s="37" t="s">
        <v>1337</v>
      </c>
      <c r="CO64" s="37" t="s">
        <v>1338</v>
      </c>
      <c r="CP64" s="37" t="s">
        <v>1339</v>
      </c>
      <c r="CQ64" s="37" t="s">
        <v>1340</v>
      </c>
      <c r="CR64" s="37" t="s">
        <v>1341</v>
      </c>
      <c r="CS64" s="37" t="s">
        <v>1342</v>
      </c>
      <c r="CT64" s="37" t="s">
        <v>1343</v>
      </c>
      <c r="CU64" s="37" t="s">
        <v>1344</v>
      </c>
      <c r="CV64" s="37" t="s">
        <v>1345</v>
      </c>
      <c r="CW64" s="37" t="s">
        <v>1346</v>
      </c>
      <c r="CX64" s="9"/>
      <c r="CY64" s="9"/>
      <c r="CZ64" s="9"/>
      <c r="DA64" s="9"/>
      <c r="DB64" s="9"/>
      <c r="DC64" s="9"/>
      <c r="DD64" s="9"/>
      <c r="DE64" s="9"/>
      <c r="DF64" s="9"/>
      <c r="DG64" s="9"/>
      <c r="DH64" s="9"/>
      <c r="DI64" s="9"/>
      <c r="DJ64" s="9"/>
      <c r="DK64" s="9"/>
      <c r="DL64" s="9"/>
      <c r="DM64" s="9"/>
      <c r="DN64" s="9"/>
      <c r="DO64" s="9"/>
      <c r="DP64" s="9"/>
      <c r="DQ64" s="9"/>
      <c r="DR64" s="9"/>
      <c r="DS64" s="9"/>
      <c r="DT64" s="9"/>
      <c r="DU64" s="9"/>
      <c r="DV64" s="9"/>
      <c r="DW64" s="9"/>
      <c r="DX64" s="9"/>
      <c r="DY64" s="9"/>
      <c r="DZ64" s="9"/>
      <c r="EA64" s="9"/>
    </row>
    <row r="65" spans="1:131">
      <c r="A65" s="9" t="s">
        <v>1177</v>
      </c>
      <c r="B65" s="9"/>
      <c r="C65" s="34">
        <v>20</v>
      </c>
      <c r="D65" s="34">
        <v>2166.9588496770034</v>
      </c>
      <c r="E65" s="34">
        <v>0</v>
      </c>
      <c r="F65" s="34">
        <v>5568.9513326368924</v>
      </c>
      <c r="G65" s="34">
        <v>0</v>
      </c>
      <c r="H65" s="34">
        <v>0</v>
      </c>
      <c r="I65" s="34"/>
      <c r="J65" s="34"/>
      <c r="K65" s="34"/>
      <c r="L65" s="34">
        <v>2334.1470078520424</v>
      </c>
      <c r="M65" s="34">
        <v>0.81542308094159122</v>
      </c>
      <c r="N65" s="34">
        <v>0.80953772281459879</v>
      </c>
      <c r="O65" s="34">
        <v>0</v>
      </c>
      <c r="P65" s="34">
        <v>0</v>
      </c>
      <c r="Q65" s="34">
        <v>0</v>
      </c>
      <c r="R65" s="34">
        <v>1110.5232885762705</v>
      </c>
      <c r="S65" s="34">
        <v>2566.2504102610606</v>
      </c>
      <c r="T65" s="34">
        <v>0</v>
      </c>
      <c r="U65" s="34">
        <v>1984.3074692241582</v>
      </c>
      <c r="V65" s="34">
        <v>334.13707995821358</v>
      </c>
      <c r="W65" s="34">
        <v>779.65318656916497</v>
      </c>
      <c r="X65" s="34">
        <v>0</v>
      </c>
      <c r="Y65" s="34">
        <v>0</v>
      </c>
      <c r="Z65" s="34">
        <v>0</v>
      </c>
      <c r="AA65" s="34">
        <v>0</v>
      </c>
      <c r="AB65" s="34">
        <v>0</v>
      </c>
      <c r="AC65" s="34">
        <v>0</v>
      </c>
      <c r="AD65" s="34">
        <v>0</v>
      </c>
      <c r="AE65" s="34">
        <v>0</v>
      </c>
      <c r="AF65" s="34">
        <v>0</v>
      </c>
      <c r="AG65" s="34">
        <v>0</v>
      </c>
      <c r="AH65" s="34">
        <v>1444.660368534484</v>
      </c>
      <c r="AI65" s="34">
        <v>3345.9035968302255</v>
      </c>
      <c r="AJ65" s="34">
        <v>0</v>
      </c>
      <c r="AK65" s="34">
        <v>1984.3074692241582</v>
      </c>
      <c r="AL65" s="34">
        <v>6774.8714345888684</v>
      </c>
      <c r="AM65" s="34">
        <v>1213.1523067181658</v>
      </c>
      <c r="AN65" s="34">
        <v>288.12851025959583</v>
      </c>
      <c r="AO65" s="34">
        <v>0</v>
      </c>
      <c r="AP65" s="34">
        <v>0</v>
      </c>
      <c r="AQ65" s="34">
        <v>1501.2808169777618</v>
      </c>
      <c r="AR65" s="34">
        <v>1444.660368534484</v>
      </c>
      <c r="AS65" s="429">
        <v>1.0391929132109547</v>
      </c>
      <c r="AT65" s="34">
        <v>1213.1523067181658</v>
      </c>
      <c r="AU65" s="34">
        <v>341.05833708998409</v>
      </c>
      <c r="AV65" s="34">
        <v>0</v>
      </c>
      <c r="AW65" s="34">
        <v>0</v>
      </c>
      <c r="AX65" s="34">
        <v>1554.2106438081501</v>
      </c>
      <c r="AY65" s="34">
        <v>3345.9035968302255</v>
      </c>
      <c r="AZ65" s="410">
        <v>0.4645114836185199</v>
      </c>
      <c r="BA65" s="34">
        <v>1213.1523067181658</v>
      </c>
      <c r="BB65" s="34">
        <v>629.18684734957992</v>
      </c>
      <c r="BC65" s="34">
        <v>0</v>
      </c>
      <c r="BD65" s="34">
        <v>0</v>
      </c>
      <c r="BE65" s="34">
        <v>1842.3391540677458</v>
      </c>
      <c r="BF65" s="34">
        <v>4790.5639653647095</v>
      </c>
      <c r="BG65" s="34">
        <v>131.18343064554222</v>
      </c>
      <c r="BH65" s="410">
        <v>0.38457667351645247</v>
      </c>
      <c r="BI65" s="34">
        <v>45.541535382979419</v>
      </c>
      <c r="BJ65" s="34">
        <v>105.47640840847541</v>
      </c>
      <c r="BK65" s="34">
        <v>0</v>
      </c>
      <c r="BL65" s="34">
        <v>62.553393717068147</v>
      </c>
      <c r="BM65" s="34">
        <v>213.57133750852299</v>
      </c>
      <c r="BN65" s="34">
        <v>1213.1523067181658</v>
      </c>
      <c r="BO65" s="34">
        <v>0</v>
      </c>
      <c r="BP65" s="34">
        <v>629.18684734957992</v>
      </c>
      <c r="BQ65" s="34">
        <v>0</v>
      </c>
      <c r="BR65" s="34">
        <v>0</v>
      </c>
      <c r="BS65" s="34">
        <v>0</v>
      </c>
      <c r="BT65" s="34">
        <v>0</v>
      </c>
      <c r="BU65" s="34">
        <v>0</v>
      </c>
      <c r="BV65" s="34">
        <v>792.71160259201747</v>
      </c>
      <c r="BW65" s="34">
        <v>0</v>
      </c>
      <c r="BX65" s="34">
        <v>5661.0811680614897</v>
      </c>
      <c r="BY65" s="34">
        <v>1113.7902665273787</v>
      </c>
      <c r="BZ65" s="34">
        <v>0</v>
      </c>
      <c r="CA65" s="34">
        <v>0</v>
      </c>
      <c r="CB65" s="34">
        <v>2635.0507566597635</v>
      </c>
      <c r="CC65" s="34">
        <v>6774.8714345888684</v>
      </c>
      <c r="CD65" s="410">
        <v>0.38894476184545795</v>
      </c>
      <c r="CE65" s="34">
        <v>168.74734982295431</v>
      </c>
      <c r="CF65" s="34">
        <v>22.174666054793832</v>
      </c>
      <c r="CG65" s="34">
        <v>0</v>
      </c>
      <c r="CH65" s="34">
        <v>22.174666054793832</v>
      </c>
      <c r="CI65" s="34">
        <v>1.1087198287297202</v>
      </c>
      <c r="CJ65" s="34">
        <v>0</v>
      </c>
      <c r="CK65" s="34">
        <v>1.1087198287297202</v>
      </c>
      <c r="CL65" s="34"/>
      <c r="CM65" s="34">
        <v>0</v>
      </c>
      <c r="CN65" s="34"/>
      <c r="CO65" s="34">
        <v>0</v>
      </c>
      <c r="CP65" s="34">
        <v>0</v>
      </c>
      <c r="CQ65" s="34">
        <v>0</v>
      </c>
      <c r="CR65" s="34">
        <v>0</v>
      </c>
      <c r="CS65" s="34">
        <v>0</v>
      </c>
      <c r="CT65" s="34">
        <v>0</v>
      </c>
      <c r="CU65" s="34">
        <v>0</v>
      </c>
      <c r="CV65" s="34">
        <v>9999</v>
      </c>
      <c r="CW65" s="429">
        <v>9999</v>
      </c>
      <c r="CX65" s="9"/>
      <c r="CY65" s="9"/>
      <c r="CZ65" s="9"/>
      <c r="DA65" s="9"/>
      <c r="DB65" s="9"/>
      <c r="DC65" s="9"/>
      <c r="DD65" s="9"/>
      <c r="DE65" s="9"/>
      <c r="DF65" s="9"/>
      <c r="DG65" s="9"/>
      <c r="DH65" s="9"/>
      <c r="DI65" s="9"/>
      <c r="DJ65" s="9"/>
      <c r="DK65" s="9"/>
      <c r="DL65" s="9"/>
      <c r="DM65" s="9"/>
      <c r="DN65" s="9"/>
      <c r="DO65" s="9"/>
      <c r="DP65" s="9"/>
      <c r="DQ65" s="9"/>
      <c r="DR65" s="9"/>
      <c r="DS65" s="9"/>
      <c r="DT65" s="9"/>
      <c r="DU65" s="9"/>
      <c r="DV65" s="9"/>
      <c r="DW65" s="9"/>
      <c r="DX65" s="9"/>
      <c r="DY65" s="9"/>
      <c r="DZ65" s="9"/>
      <c r="EA65" s="9"/>
    </row>
    <row r="66" spans="1:131">
      <c r="A66" s="9" t="s">
        <v>1174</v>
      </c>
      <c r="B66" s="9"/>
      <c r="C66" s="34">
        <v>20</v>
      </c>
      <c r="D66" s="34">
        <v>3548.6166901523966</v>
      </c>
      <c r="E66" s="34">
        <v>0</v>
      </c>
      <c r="F66" s="34">
        <v>8215.9389935462095</v>
      </c>
      <c r="G66" s="34">
        <v>0</v>
      </c>
      <c r="H66" s="34">
        <v>0</v>
      </c>
      <c r="I66" s="34"/>
      <c r="J66" s="34"/>
      <c r="K66" s="34"/>
      <c r="L66" s="34">
        <v>3822.4043943278657</v>
      </c>
      <c r="M66" s="34">
        <v>1.3353386729037928</v>
      </c>
      <c r="N66" s="34">
        <v>1.3257007971868258</v>
      </c>
      <c r="O66" s="34">
        <v>0</v>
      </c>
      <c r="P66" s="34">
        <v>0</v>
      </c>
      <c r="Q66" s="34">
        <v>0</v>
      </c>
      <c r="R66" s="34">
        <v>1638.3679879520062</v>
      </c>
      <c r="S66" s="34">
        <v>3786.0192257928165</v>
      </c>
      <c r="T66" s="34">
        <v>0</v>
      </c>
      <c r="U66" s="34">
        <v>2927.4720028598863</v>
      </c>
      <c r="V66" s="34">
        <v>492.95633961277252</v>
      </c>
      <c r="W66" s="34">
        <v>1150.2314590964693</v>
      </c>
      <c r="X66" s="34">
        <v>0</v>
      </c>
      <c r="Y66" s="34">
        <v>0</v>
      </c>
      <c r="Z66" s="34">
        <v>0</v>
      </c>
      <c r="AA66" s="34">
        <v>0</v>
      </c>
      <c r="AB66" s="34">
        <v>0</v>
      </c>
      <c r="AC66" s="34">
        <v>0</v>
      </c>
      <c r="AD66" s="34">
        <v>0</v>
      </c>
      <c r="AE66" s="34">
        <v>0</v>
      </c>
      <c r="AF66" s="34">
        <v>0</v>
      </c>
      <c r="AG66" s="34">
        <v>0</v>
      </c>
      <c r="AH66" s="34">
        <v>2131.3243275647787</v>
      </c>
      <c r="AI66" s="34">
        <v>4936.2506848892863</v>
      </c>
      <c r="AJ66" s="34">
        <v>0</v>
      </c>
      <c r="AK66" s="34">
        <v>2927.4720028598863</v>
      </c>
      <c r="AL66" s="34">
        <v>9995.0470153139504</v>
      </c>
      <c r="AM66" s="34">
        <v>1986.660948341796</v>
      </c>
      <c r="AN66" s="34">
        <v>471.83989699128358</v>
      </c>
      <c r="AO66" s="34">
        <v>0</v>
      </c>
      <c r="AP66" s="34">
        <v>0</v>
      </c>
      <c r="AQ66" s="34">
        <v>2458.5008453330797</v>
      </c>
      <c r="AR66" s="34">
        <v>2131.3243275647787</v>
      </c>
      <c r="AS66" s="429">
        <v>1.153508555003512</v>
      </c>
      <c r="AT66" s="34">
        <v>1986.660948341796</v>
      </c>
      <c r="AU66" s="34">
        <v>558.51790055613606</v>
      </c>
      <c r="AV66" s="34">
        <v>0</v>
      </c>
      <c r="AW66" s="34">
        <v>0</v>
      </c>
      <c r="AX66" s="34">
        <v>2545.1788488979319</v>
      </c>
      <c r="AY66" s="34">
        <v>4936.2506848892863</v>
      </c>
      <c r="AZ66" s="410">
        <v>0.51560972312228037</v>
      </c>
      <c r="BA66" s="34">
        <v>1986.660948341796</v>
      </c>
      <c r="BB66" s="34">
        <v>1030.3577975474198</v>
      </c>
      <c r="BC66" s="34">
        <v>0</v>
      </c>
      <c r="BD66" s="34">
        <v>0</v>
      </c>
      <c r="BE66" s="34">
        <v>3017.0187458892156</v>
      </c>
      <c r="BF66" s="34">
        <v>7067.5750124540646</v>
      </c>
      <c r="BG66" s="34">
        <v>116.21716698687352</v>
      </c>
      <c r="BH66" s="410">
        <v>0.4268817438191746</v>
      </c>
      <c r="BI66" s="34">
        <v>41.02825299513627</v>
      </c>
      <c r="BJ66" s="34">
        <v>95.023427137649847</v>
      </c>
      <c r="BK66" s="34">
        <v>0</v>
      </c>
      <c r="BL66" s="34">
        <v>56.354192750546154</v>
      </c>
      <c r="BM66" s="34">
        <v>192.40587288333228</v>
      </c>
      <c r="BN66" s="34">
        <v>1986.660948341796</v>
      </c>
      <c r="BO66" s="34">
        <v>0</v>
      </c>
      <c r="BP66" s="34">
        <v>1030.3577975474198</v>
      </c>
      <c r="BQ66" s="34">
        <v>0</v>
      </c>
      <c r="BR66" s="34">
        <v>0</v>
      </c>
      <c r="BS66" s="34">
        <v>0</v>
      </c>
      <c r="BT66" s="34">
        <v>0</v>
      </c>
      <c r="BU66" s="34">
        <v>0</v>
      </c>
      <c r="BV66" s="34">
        <v>792.71160259201747</v>
      </c>
      <c r="BW66" s="34">
        <v>0</v>
      </c>
      <c r="BX66" s="34">
        <v>8351.8592166047092</v>
      </c>
      <c r="BY66" s="34">
        <v>1643.1877987092419</v>
      </c>
      <c r="BZ66" s="34">
        <v>0</v>
      </c>
      <c r="CA66" s="34">
        <v>0</v>
      </c>
      <c r="CB66" s="34">
        <v>3809.7303484812337</v>
      </c>
      <c r="CC66" s="34">
        <v>9995.0470153139504</v>
      </c>
      <c r="CD66" s="410">
        <v>0.38116182371570045</v>
      </c>
      <c r="CE66" s="34">
        <v>157.31156480020979</v>
      </c>
      <c r="CF66" s="34">
        <v>36.313283047495922</v>
      </c>
      <c r="CG66" s="34">
        <v>0</v>
      </c>
      <c r="CH66" s="34">
        <v>36.313283047495922</v>
      </c>
      <c r="CI66" s="34">
        <v>1.815642087305736</v>
      </c>
      <c r="CJ66" s="34">
        <v>0</v>
      </c>
      <c r="CK66" s="34">
        <v>1.815642087305736</v>
      </c>
      <c r="CL66" s="34"/>
      <c r="CM66" s="34">
        <v>0</v>
      </c>
      <c r="CN66" s="34"/>
      <c r="CO66" s="34">
        <v>0</v>
      </c>
      <c r="CP66" s="34">
        <v>0</v>
      </c>
      <c r="CQ66" s="34">
        <v>0</v>
      </c>
      <c r="CR66" s="34">
        <v>0</v>
      </c>
      <c r="CS66" s="34">
        <v>0</v>
      </c>
      <c r="CT66" s="34">
        <v>0</v>
      </c>
      <c r="CU66" s="34">
        <v>0</v>
      </c>
      <c r="CV66" s="34">
        <v>9999</v>
      </c>
      <c r="CW66" s="429">
        <v>9999</v>
      </c>
      <c r="CX66" s="9"/>
      <c r="CY66" s="9"/>
      <c r="CZ66" s="9"/>
      <c r="DA66" s="9"/>
      <c r="DB66" s="9"/>
      <c r="DC66" s="9"/>
      <c r="DD66" s="9"/>
      <c r="DE66" s="9"/>
      <c r="DF66" s="9"/>
      <c r="DG66" s="9"/>
      <c r="DH66" s="9"/>
      <c r="DI66" s="9"/>
      <c r="DJ66" s="9"/>
      <c r="DK66" s="9"/>
      <c r="DL66" s="9"/>
      <c r="DM66" s="9"/>
      <c r="DN66" s="9"/>
      <c r="DO66" s="9"/>
      <c r="DP66" s="9"/>
      <c r="DQ66" s="9"/>
      <c r="DR66" s="9"/>
      <c r="DS66" s="9"/>
      <c r="DT66" s="9"/>
      <c r="DU66" s="9"/>
      <c r="DV66" s="9"/>
      <c r="DW66" s="9"/>
      <c r="DX66" s="9"/>
      <c r="DY66" s="9"/>
      <c r="DZ66" s="9"/>
      <c r="EA66" s="9"/>
    </row>
    <row r="67" spans="1:131">
      <c r="A67" s="9" t="s">
        <v>1176</v>
      </c>
      <c r="B67" s="9"/>
      <c r="C67" s="34">
        <v>20</v>
      </c>
      <c r="D67" s="34">
        <v>2371.8025820017911</v>
      </c>
      <c r="E67" s="34">
        <v>0</v>
      </c>
      <c r="F67" s="34">
        <v>6063.3048792715572</v>
      </c>
      <c r="G67" s="34">
        <v>0</v>
      </c>
      <c r="H67" s="34">
        <v>0</v>
      </c>
      <c r="I67" s="34"/>
      <c r="J67" s="34"/>
      <c r="K67" s="34"/>
      <c r="L67" s="34">
        <v>2554.7951225840852</v>
      </c>
      <c r="M67" s="34">
        <v>0.89250544332643766</v>
      </c>
      <c r="N67" s="34">
        <v>0.88606373927484205</v>
      </c>
      <c r="O67" s="34">
        <v>0</v>
      </c>
      <c r="P67" s="34">
        <v>0</v>
      </c>
      <c r="Q67" s="34">
        <v>0</v>
      </c>
      <c r="R67" s="34">
        <v>1209.1039895981494</v>
      </c>
      <c r="S67" s="34">
        <v>2794.0554162826384</v>
      </c>
      <c r="T67" s="34">
        <v>0</v>
      </c>
      <c r="U67" s="34">
        <v>2160.453636865408</v>
      </c>
      <c r="V67" s="34">
        <v>363.79829275629345</v>
      </c>
      <c r="W67" s="34">
        <v>848.86268309801801</v>
      </c>
      <c r="X67" s="34">
        <v>0</v>
      </c>
      <c r="Y67" s="34">
        <v>0</v>
      </c>
      <c r="Z67" s="34">
        <v>0</v>
      </c>
      <c r="AA67" s="34">
        <v>0</v>
      </c>
      <c r="AB67" s="34">
        <v>0</v>
      </c>
      <c r="AC67" s="34">
        <v>0</v>
      </c>
      <c r="AD67" s="34">
        <v>0</v>
      </c>
      <c r="AE67" s="34">
        <v>0</v>
      </c>
      <c r="AF67" s="34">
        <v>0</v>
      </c>
      <c r="AG67" s="34">
        <v>0</v>
      </c>
      <c r="AH67" s="34">
        <v>1572.9022823544428</v>
      </c>
      <c r="AI67" s="34">
        <v>3642.9180993806563</v>
      </c>
      <c r="AJ67" s="34">
        <v>0</v>
      </c>
      <c r="AK67" s="34">
        <v>2160.453636865408</v>
      </c>
      <c r="AL67" s="34">
        <v>7376.2740186005085</v>
      </c>
      <c r="AM67" s="34">
        <v>1327.8322169636303</v>
      </c>
      <c r="AN67" s="34">
        <v>315.36544622612507</v>
      </c>
      <c r="AO67" s="34">
        <v>0</v>
      </c>
      <c r="AP67" s="34">
        <v>0</v>
      </c>
      <c r="AQ67" s="34">
        <v>1643.1976631897555</v>
      </c>
      <c r="AR67" s="34">
        <v>1572.9022823544428</v>
      </c>
      <c r="AS67" s="429">
        <v>1.0446915117511872</v>
      </c>
      <c r="AT67" s="34">
        <v>1327.8322169636303</v>
      </c>
      <c r="AU67" s="34">
        <v>373.29875675481128</v>
      </c>
      <c r="AV67" s="34">
        <v>0</v>
      </c>
      <c r="AW67" s="34">
        <v>0</v>
      </c>
      <c r="AX67" s="34">
        <v>1701.1309737184415</v>
      </c>
      <c r="AY67" s="34">
        <v>3642.9180993806563</v>
      </c>
      <c r="AZ67" s="410">
        <v>0.46696931616652487</v>
      </c>
      <c r="BA67" s="34">
        <v>1327.8322169636303</v>
      </c>
      <c r="BB67" s="34">
        <v>688.66420298093635</v>
      </c>
      <c r="BC67" s="34">
        <v>0</v>
      </c>
      <c r="BD67" s="34">
        <v>0</v>
      </c>
      <c r="BE67" s="34">
        <v>2016.4964199445667</v>
      </c>
      <c r="BF67" s="34">
        <v>5215.8203817350986</v>
      </c>
      <c r="BG67" s="34">
        <v>130.38856724717047</v>
      </c>
      <c r="BH67" s="410">
        <v>0.38661155338208897</v>
      </c>
      <c r="BI67" s="34">
        <v>45.301833406692616</v>
      </c>
      <c r="BJ67" s="34">
        <v>104.92124698639047</v>
      </c>
      <c r="BK67" s="34">
        <v>0</v>
      </c>
      <c r="BL67" s="34">
        <v>62.22415202656881</v>
      </c>
      <c r="BM67" s="34">
        <v>212.44723241965193</v>
      </c>
      <c r="BN67" s="34">
        <v>1327.8322169636303</v>
      </c>
      <c r="BO67" s="34">
        <v>0</v>
      </c>
      <c r="BP67" s="34">
        <v>688.66420298093635</v>
      </c>
      <c r="BQ67" s="34">
        <v>0</v>
      </c>
      <c r="BR67" s="34">
        <v>0</v>
      </c>
      <c r="BS67" s="34">
        <v>0</v>
      </c>
      <c r="BT67" s="34">
        <v>0</v>
      </c>
      <c r="BU67" s="34">
        <v>0</v>
      </c>
      <c r="BV67" s="34">
        <v>792.71160259201747</v>
      </c>
      <c r="BW67" s="34">
        <v>0</v>
      </c>
      <c r="BX67" s="34">
        <v>6163.6130427461967</v>
      </c>
      <c r="BY67" s="34">
        <v>1212.6609758543116</v>
      </c>
      <c r="BZ67" s="34">
        <v>0</v>
      </c>
      <c r="CA67" s="34">
        <v>0</v>
      </c>
      <c r="CB67" s="34">
        <v>2809.2080225365844</v>
      </c>
      <c r="CC67" s="34">
        <v>7376.2740186005085</v>
      </c>
      <c r="CD67" s="410">
        <v>0.38084377226940003</v>
      </c>
      <c r="CE67" s="34">
        <v>169.78149233545739</v>
      </c>
      <c r="CF67" s="34">
        <v>24.27084861884984</v>
      </c>
      <c r="CG67" s="34">
        <v>0</v>
      </c>
      <c r="CH67" s="34">
        <v>24.27084861884984</v>
      </c>
      <c r="CI67" s="34">
        <v>1.2135276832274409</v>
      </c>
      <c r="CJ67" s="34">
        <v>0</v>
      </c>
      <c r="CK67" s="34">
        <v>1.2135276832274409</v>
      </c>
      <c r="CL67" s="34"/>
      <c r="CM67" s="34">
        <v>0</v>
      </c>
      <c r="CN67" s="34"/>
      <c r="CO67" s="34">
        <v>0</v>
      </c>
      <c r="CP67" s="34">
        <v>0</v>
      </c>
      <c r="CQ67" s="34">
        <v>0</v>
      </c>
      <c r="CR67" s="34">
        <v>0</v>
      </c>
      <c r="CS67" s="34">
        <v>0</v>
      </c>
      <c r="CT67" s="34">
        <v>0</v>
      </c>
      <c r="CU67" s="34">
        <v>0</v>
      </c>
      <c r="CV67" s="34">
        <v>9999</v>
      </c>
      <c r="CW67" s="429">
        <v>9999</v>
      </c>
      <c r="CX67" s="9"/>
      <c r="CY67" s="9"/>
      <c r="CZ67" s="9"/>
      <c r="DA67" s="9"/>
      <c r="DB67" s="9"/>
      <c r="DC67" s="9"/>
      <c r="DD67" s="9"/>
      <c r="DE67" s="9"/>
      <c r="DF67" s="9"/>
      <c r="DG67" s="9"/>
      <c r="DH67" s="9"/>
      <c r="DI67" s="9"/>
      <c r="DJ67" s="9"/>
      <c r="DK67" s="9"/>
      <c r="DL67" s="9"/>
      <c r="DM67" s="9"/>
      <c r="DN67" s="9"/>
      <c r="DO67" s="9"/>
      <c r="DP67" s="9"/>
      <c r="DQ67" s="9"/>
      <c r="DR67" s="9"/>
      <c r="DS67" s="9"/>
      <c r="DT67" s="9"/>
      <c r="DU67" s="9"/>
      <c r="DV67" s="9"/>
      <c r="DW67" s="9"/>
      <c r="DX67" s="9"/>
      <c r="DY67" s="9"/>
      <c r="DZ67" s="9"/>
      <c r="EA67" s="9"/>
    </row>
    <row r="68" spans="1:131">
      <c r="A68" s="9" t="s">
        <v>1175</v>
      </c>
      <c r="B68" s="9"/>
      <c r="C68" s="34">
        <v>20</v>
      </c>
      <c r="D68" s="34">
        <v>3590.6784228008551</v>
      </c>
      <c r="E68" s="34">
        <v>0</v>
      </c>
      <c r="F68" s="34">
        <v>9455.4012779609584</v>
      </c>
      <c r="G68" s="34">
        <v>0</v>
      </c>
      <c r="H68" s="34">
        <v>0</v>
      </c>
      <c r="I68" s="34"/>
      <c r="J68" s="34"/>
      <c r="K68" s="34"/>
      <c r="L68" s="34">
        <v>3867.7113310152445</v>
      </c>
      <c r="M68" s="34">
        <v>1.3511664342990126</v>
      </c>
      <c r="N68" s="34">
        <v>1.3414143208981528</v>
      </c>
      <c r="O68" s="34">
        <v>0</v>
      </c>
      <c r="P68" s="34">
        <v>0</v>
      </c>
      <c r="Q68" s="34">
        <v>0</v>
      </c>
      <c r="R68" s="34">
        <v>1885.5333248239263</v>
      </c>
      <c r="S68" s="34">
        <v>4357.1807256683014</v>
      </c>
      <c r="T68" s="34">
        <v>0</v>
      </c>
      <c r="U68" s="34">
        <v>3369.1124701363833</v>
      </c>
      <c r="V68" s="34">
        <v>567.32407667765756</v>
      </c>
      <c r="W68" s="34">
        <v>1323.7561789145343</v>
      </c>
      <c r="X68" s="34">
        <v>0</v>
      </c>
      <c r="Y68" s="34">
        <v>0</v>
      </c>
      <c r="Z68" s="34">
        <v>0</v>
      </c>
      <c r="AA68" s="34">
        <v>0</v>
      </c>
      <c r="AB68" s="34">
        <v>0</v>
      </c>
      <c r="AC68" s="34">
        <v>0</v>
      </c>
      <c r="AD68" s="34">
        <v>0</v>
      </c>
      <c r="AE68" s="34">
        <v>0</v>
      </c>
      <c r="AF68" s="34">
        <v>0</v>
      </c>
      <c r="AG68" s="34">
        <v>0</v>
      </c>
      <c r="AH68" s="34">
        <v>2452.8574015015838</v>
      </c>
      <c r="AI68" s="34">
        <v>5680.9369045828353</v>
      </c>
      <c r="AJ68" s="34">
        <v>0</v>
      </c>
      <c r="AK68" s="34">
        <v>3369.1124701363833</v>
      </c>
      <c r="AL68" s="34">
        <v>11502.906776220803</v>
      </c>
      <c r="AM68" s="34">
        <v>2010.2088288170753</v>
      </c>
      <c r="AN68" s="34">
        <v>477.43261250073789</v>
      </c>
      <c r="AO68" s="34">
        <v>0</v>
      </c>
      <c r="AP68" s="34">
        <v>0</v>
      </c>
      <c r="AQ68" s="34">
        <v>2487.6414413178131</v>
      </c>
      <c r="AR68" s="34">
        <v>2452.8574015015838</v>
      </c>
      <c r="AS68" s="429">
        <v>1.0141810281327139</v>
      </c>
      <c r="AT68" s="34">
        <v>2010.2088288170753</v>
      </c>
      <c r="AU68" s="34">
        <v>565.13800992939218</v>
      </c>
      <c r="AV68" s="34">
        <v>0</v>
      </c>
      <c r="AW68" s="34">
        <v>0</v>
      </c>
      <c r="AX68" s="34">
        <v>2575.3468387464673</v>
      </c>
      <c r="AY68" s="34">
        <v>5680.9369045828353</v>
      </c>
      <c r="AZ68" s="410">
        <v>0.45333135748593234</v>
      </c>
      <c r="BA68" s="34">
        <v>2010.2088288170753</v>
      </c>
      <c r="BB68" s="34">
        <v>1042.5706224301302</v>
      </c>
      <c r="BC68" s="34">
        <v>0</v>
      </c>
      <c r="BD68" s="34">
        <v>0</v>
      </c>
      <c r="BE68" s="34">
        <v>3052.7794512472051</v>
      </c>
      <c r="BF68" s="34">
        <v>8133.79430608442</v>
      </c>
      <c r="BG68" s="34">
        <v>134.90785789283433</v>
      </c>
      <c r="BH68" s="410">
        <v>0.3753204637795669</v>
      </c>
      <c r="BI68" s="34">
        <v>46.66468757937082</v>
      </c>
      <c r="BJ68" s="34">
        <v>108.0776834593761</v>
      </c>
      <c r="BK68" s="34">
        <v>0</v>
      </c>
      <c r="BL68" s="34">
        <v>64.096094922774952</v>
      </c>
      <c r="BM68" s="34">
        <v>218.83846596152188</v>
      </c>
      <c r="BN68" s="34">
        <v>2010.2088288170753</v>
      </c>
      <c r="BO68" s="34">
        <v>0</v>
      </c>
      <c r="BP68" s="34">
        <v>1042.5706224301302</v>
      </c>
      <c r="BQ68" s="34">
        <v>0</v>
      </c>
      <c r="BR68" s="34">
        <v>0</v>
      </c>
      <c r="BS68" s="34">
        <v>0</v>
      </c>
      <c r="BT68" s="34">
        <v>0</v>
      </c>
      <c r="BU68" s="34">
        <v>0</v>
      </c>
      <c r="BV68" s="34">
        <v>917.41752092549621</v>
      </c>
      <c r="BW68" s="34">
        <v>0</v>
      </c>
      <c r="BX68" s="34">
        <v>9611.8265206286105</v>
      </c>
      <c r="BY68" s="34">
        <v>1891.0802555921919</v>
      </c>
      <c r="BZ68" s="34">
        <v>0</v>
      </c>
      <c r="CA68" s="34">
        <v>0</v>
      </c>
      <c r="CB68" s="34">
        <v>3970.1969721727019</v>
      </c>
      <c r="CC68" s="34">
        <v>11502.906776220803</v>
      </c>
      <c r="CD68" s="410">
        <v>0.34514727880608637</v>
      </c>
      <c r="CE68" s="34">
        <v>181.55043025550398</v>
      </c>
      <c r="CF68" s="34">
        <v>36.743704176768674</v>
      </c>
      <c r="CG68" s="34">
        <v>0</v>
      </c>
      <c r="CH68" s="34">
        <v>36.743704176768674</v>
      </c>
      <c r="CI68" s="34">
        <v>1.8371628822322414</v>
      </c>
      <c r="CJ68" s="34">
        <v>0</v>
      </c>
      <c r="CK68" s="34">
        <v>1.8371628822322414</v>
      </c>
      <c r="CL68" s="34"/>
      <c r="CM68" s="34">
        <v>0</v>
      </c>
      <c r="CN68" s="34"/>
      <c r="CO68" s="34">
        <v>0</v>
      </c>
      <c r="CP68" s="34">
        <v>0</v>
      </c>
      <c r="CQ68" s="34">
        <v>0</v>
      </c>
      <c r="CR68" s="34">
        <v>0</v>
      </c>
      <c r="CS68" s="34">
        <v>0</v>
      </c>
      <c r="CT68" s="34">
        <v>0</v>
      </c>
      <c r="CU68" s="34">
        <v>0</v>
      </c>
      <c r="CV68" s="34">
        <v>9999</v>
      </c>
      <c r="CW68" s="429">
        <v>9999</v>
      </c>
      <c r="CX68" s="9"/>
      <c r="CY68" s="9"/>
      <c r="CZ68" s="9"/>
      <c r="DA68" s="9"/>
      <c r="DB68" s="9"/>
      <c r="DC68" s="9"/>
      <c r="DD68" s="9"/>
      <c r="DE68" s="9"/>
      <c r="DF68" s="9"/>
      <c r="DG68" s="9"/>
      <c r="DH68" s="9"/>
      <c r="DI68" s="9"/>
      <c r="DJ68" s="9"/>
      <c r="DK68" s="9"/>
      <c r="DL68" s="9"/>
      <c r="DM68" s="9"/>
      <c r="DN68" s="9"/>
      <c r="DO68" s="9"/>
      <c r="DP68" s="9"/>
      <c r="DQ68" s="9"/>
      <c r="DR68" s="9"/>
      <c r="DS68" s="9"/>
      <c r="DT68" s="9"/>
      <c r="DU68" s="9"/>
      <c r="DV68" s="9"/>
      <c r="DW68" s="9"/>
      <c r="DX68" s="9"/>
      <c r="DY68" s="9"/>
      <c r="DZ68" s="9"/>
      <c r="EA68" s="9"/>
    </row>
    <row r="69" spans="1:131">
      <c r="A69" s="9"/>
      <c r="B69" s="9"/>
      <c r="C69" s="34"/>
      <c r="D69" s="34"/>
      <c r="E69" s="34"/>
      <c r="F69" s="34"/>
      <c r="G69" s="34"/>
      <c r="H69" s="34"/>
      <c r="I69" s="34"/>
      <c r="J69" s="34"/>
      <c r="K69" s="34"/>
      <c r="L69" s="34"/>
      <c r="M69" s="34"/>
      <c r="N69" s="34"/>
      <c r="O69" s="34"/>
      <c r="P69" s="34"/>
      <c r="Q69" s="34"/>
      <c r="R69" s="34"/>
      <c r="S69" s="34"/>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S69" s="410"/>
      <c r="AT69" s="34"/>
      <c r="AU69" s="34"/>
      <c r="AV69" s="34"/>
      <c r="AW69" s="34"/>
      <c r="AX69" s="34"/>
      <c r="AY69" s="34"/>
      <c r="AZ69" s="410"/>
      <c r="BA69" s="34"/>
      <c r="BB69" s="34"/>
      <c r="BC69" s="34"/>
      <c r="BD69" s="34"/>
      <c r="BE69" s="34"/>
      <c r="BF69" s="34"/>
      <c r="BG69" s="34"/>
      <c r="BH69" s="410"/>
      <c r="BI69" s="34"/>
      <c r="BJ69" s="34"/>
      <c r="BK69" s="34"/>
      <c r="BL69" s="34"/>
      <c r="BM69" s="34"/>
      <c r="BN69" s="34"/>
      <c r="BO69" s="34"/>
      <c r="BP69" s="34"/>
      <c r="BQ69" s="34"/>
      <c r="BR69" s="34"/>
      <c r="BS69" s="34"/>
      <c r="BT69" s="34"/>
      <c r="BU69" s="34"/>
      <c r="BV69" s="34"/>
      <c r="BW69" s="34"/>
      <c r="BX69" s="34"/>
      <c r="BY69" s="34"/>
      <c r="BZ69" s="34"/>
      <c r="CA69" s="34"/>
      <c r="CB69" s="34"/>
      <c r="CC69" s="34"/>
      <c r="CD69" s="410"/>
      <c r="CE69" s="34"/>
      <c r="CF69" s="34"/>
      <c r="CG69" s="34"/>
      <c r="CH69" s="34"/>
      <c r="CI69" s="34"/>
      <c r="CJ69" s="34"/>
      <c r="CK69" s="34"/>
      <c r="CL69" s="34"/>
      <c r="CM69" s="34"/>
      <c r="CN69" s="34"/>
      <c r="CO69" s="34"/>
      <c r="CP69" s="34"/>
      <c r="CQ69" s="34"/>
      <c r="CR69" s="34"/>
      <c r="CS69" s="34"/>
      <c r="CT69" s="34"/>
      <c r="CU69" s="34"/>
      <c r="CV69" s="34"/>
      <c r="CW69" s="410"/>
      <c r="CX69" s="9"/>
      <c r="CY69" s="9"/>
      <c r="CZ69" s="9"/>
      <c r="DA69" s="9"/>
      <c r="DB69" s="9"/>
      <c r="DC69" s="9"/>
      <c r="DD69" s="9"/>
      <c r="DE69" s="9"/>
      <c r="DF69" s="9"/>
      <c r="DG69" s="9"/>
      <c r="DH69" s="9"/>
      <c r="DI69" s="9"/>
      <c r="DJ69" s="9"/>
      <c r="DK69" s="9"/>
      <c r="DL69" s="9"/>
      <c r="DM69" s="9"/>
      <c r="DN69" s="9"/>
      <c r="DO69" s="9"/>
      <c r="DP69" s="9"/>
      <c r="DQ69" s="9"/>
      <c r="DR69" s="9"/>
      <c r="DS69" s="9"/>
      <c r="DT69" s="9"/>
      <c r="DU69" s="9"/>
      <c r="DV69" s="9"/>
      <c r="DW69" s="9"/>
      <c r="DX69" s="9"/>
      <c r="DY69" s="9"/>
      <c r="DZ69" s="9"/>
      <c r="EA69" s="9"/>
    </row>
    <row r="70" spans="1:131">
      <c r="A70" s="9"/>
      <c r="B70" s="9"/>
      <c r="C70" s="34"/>
      <c r="D70" s="34"/>
      <c r="E70" s="34"/>
      <c r="F70" s="34"/>
      <c r="G70" s="34"/>
      <c r="H70" s="34"/>
      <c r="I70" s="34"/>
      <c r="J70" s="34"/>
      <c r="K70" s="34"/>
      <c r="L70" s="34"/>
      <c r="M70" s="34"/>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34"/>
      <c r="AS70" s="410"/>
      <c r="AT70" s="34"/>
      <c r="AU70" s="34"/>
      <c r="AV70" s="34"/>
      <c r="AW70" s="34"/>
      <c r="AX70" s="34"/>
      <c r="AY70" s="34"/>
      <c r="AZ70" s="410"/>
      <c r="BA70" s="34"/>
      <c r="BB70" s="34"/>
      <c r="BC70" s="34"/>
      <c r="BD70" s="34"/>
      <c r="BE70" s="34"/>
      <c r="BF70" s="34"/>
      <c r="BG70" s="34"/>
      <c r="BH70" s="410"/>
      <c r="BI70" s="34"/>
      <c r="BJ70" s="34"/>
      <c r="BK70" s="34"/>
      <c r="BL70" s="34"/>
      <c r="BM70" s="34"/>
      <c r="BN70" s="34"/>
      <c r="BO70" s="34"/>
      <c r="BP70" s="34"/>
      <c r="BQ70" s="34"/>
      <c r="BR70" s="34"/>
      <c r="BS70" s="34"/>
      <c r="BT70" s="34"/>
      <c r="BU70" s="34"/>
      <c r="BV70" s="34"/>
      <c r="BW70" s="34"/>
      <c r="BX70" s="34"/>
      <c r="BY70" s="34"/>
      <c r="BZ70" s="34"/>
      <c r="CA70" s="34"/>
      <c r="CB70" s="34"/>
      <c r="CC70" s="34"/>
      <c r="CD70" s="410"/>
      <c r="CE70" s="34"/>
      <c r="CF70" s="34"/>
      <c r="CG70" s="34"/>
      <c r="CH70" s="34"/>
      <c r="CI70" s="34"/>
      <c r="CJ70" s="34"/>
      <c r="CK70" s="34"/>
      <c r="CL70" s="34"/>
      <c r="CM70" s="34"/>
      <c r="CN70" s="34"/>
      <c r="CO70" s="34"/>
      <c r="CP70" s="34"/>
      <c r="CQ70" s="34"/>
      <c r="CR70" s="34"/>
      <c r="CS70" s="34"/>
      <c r="CT70" s="34"/>
      <c r="CU70" s="34"/>
      <c r="CV70" s="34"/>
      <c r="CW70" s="410"/>
      <c r="CX70" s="9"/>
      <c r="CY70" s="9"/>
      <c r="CZ70" s="9"/>
      <c r="DA70" s="9"/>
      <c r="DB70" s="9"/>
      <c r="DC70" s="9"/>
      <c r="DD70" s="9"/>
      <c r="DE70" s="9"/>
      <c r="DF70" s="9"/>
      <c r="DG70" s="9"/>
      <c r="DH70" s="9"/>
      <c r="DI70" s="9"/>
      <c r="DJ70" s="9"/>
      <c r="DK70" s="9"/>
      <c r="DL70" s="9"/>
      <c r="DM70" s="9"/>
      <c r="DN70" s="9"/>
      <c r="DO70" s="9"/>
      <c r="DP70" s="9"/>
      <c r="DQ70" s="9"/>
      <c r="DR70" s="9"/>
      <c r="DS70" s="9"/>
      <c r="DT70" s="9"/>
      <c r="DU70" s="9"/>
      <c r="DV70" s="9"/>
      <c r="DW70" s="9"/>
      <c r="DX70" s="9"/>
      <c r="DY70" s="9"/>
      <c r="DZ70" s="9"/>
      <c r="EA70" s="9"/>
    </row>
    <row r="71" spans="1:131" ht="13.5" thickBot="1">
      <c r="A71" s="32" t="s">
        <v>1349</v>
      </c>
      <c r="B71" s="33"/>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c r="AH71" s="34"/>
      <c r="AI71" s="34"/>
      <c r="AJ71" s="34"/>
      <c r="AK71" s="34"/>
      <c r="AL71" s="34"/>
      <c r="AM71" s="34"/>
      <c r="AN71" s="34"/>
      <c r="AO71" s="34"/>
      <c r="AP71" s="34"/>
      <c r="AQ71" s="34"/>
      <c r="AR71" s="34"/>
      <c r="AS71" s="410"/>
      <c r="AT71" s="34"/>
      <c r="AU71" s="34"/>
      <c r="AV71" s="34"/>
      <c r="AW71" s="34"/>
      <c r="AX71" s="34"/>
      <c r="AY71" s="34"/>
      <c r="AZ71" s="410"/>
      <c r="BA71" s="34"/>
      <c r="BB71" s="34"/>
      <c r="BC71" s="34"/>
      <c r="BD71" s="34"/>
      <c r="BE71" s="34"/>
      <c r="BF71" s="34"/>
      <c r="BG71" s="34"/>
      <c r="BH71" s="410"/>
      <c r="BI71" s="34"/>
      <c r="BJ71" s="34"/>
      <c r="BK71" s="34"/>
      <c r="BL71" s="34"/>
      <c r="BM71" s="34"/>
      <c r="BN71" s="34"/>
      <c r="BO71" s="34"/>
      <c r="BP71" s="34"/>
      <c r="BQ71" s="34"/>
      <c r="BR71" s="34"/>
      <c r="BS71" s="34"/>
      <c r="BT71" s="34"/>
      <c r="BU71" s="34"/>
      <c r="BV71" s="34"/>
      <c r="BW71" s="34"/>
      <c r="BX71" s="34"/>
      <c r="BY71" s="34"/>
      <c r="BZ71" s="34"/>
      <c r="CA71" s="34"/>
      <c r="CB71" s="34"/>
      <c r="CC71" s="34"/>
      <c r="CD71" s="410"/>
      <c r="CE71" s="34"/>
      <c r="CF71" s="34"/>
      <c r="CG71" s="34"/>
      <c r="CH71" s="34"/>
      <c r="CI71" s="34"/>
      <c r="CJ71" s="34"/>
      <c r="CK71" s="34"/>
      <c r="CL71" s="34"/>
      <c r="CM71" s="34"/>
      <c r="CN71" s="34"/>
      <c r="CO71" s="34"/>
      <c r="CP71" s="34"/>
      <c r="CQ71" s="34"/>
      <c r="CR71" s="34"/>
      <c r="CS71" s="34"/>
      <c r="CT71" s="34"/>
      <c r="CU71" s="34"/>
      <c r="CV71" s="34"/>
      <c r="CW71" s="410"/>
      <c r="CX71" s="9"/>
      <c r="CY71" s="9"/>
      <c r="CZ71" s="9"/>
      <c r="DA71" s="9"/>
      <c r="DB71" s="9"/>
      <c r="DC71" s="9"/>
      <c r="DD71" s="9"/>
      <c r="DE71" s="9"/>
      <c r="DF71" s="9"/>
      <c r="DG71" s="9"/>
      <c r="DH71" s="9"/>
      <c r="DI71" s="9"/>
      <c r="DJ71" s="9"/>
      <c r="DK71" s="9"/>
      <c r="DL71" s="9"/>
      <c r="DM71" s="9"/>
      <c r="DN71" s="9"/>
      <c r="DO71" s="9"/>
      <c r="DP71" s="9"/>
      <c r="DQ71" s="9"/>
      <c r="DR71" s="9"/>
      <c r="DS71" s="9"/>
      <c r="DT71" s="9"/>
      <c r="DU71" s="9"/>
      <c r="DV71" s="9"/>
      <c r="DW71" s="9"/>
      <c r="DX71" s="9"/>
      <c r="DY71" s="9"/>
      <c r="DZ71" s="9"/>
      <c r="EA71" s="9"/>
    </row>
    <row r="72" spans="1:131" ht="13.5" thickBot="1">
      <c r="A72" s="430" t="s">
        <v>1350</v>
      </c>
      <c r="B72" s="431"/>
      <c r="C72" s="432"/>
      <c r="D72" s="432"/>
      <c r="E72" s="432"/>
      <c r="F72" s="432"/>
      <c r="G72" s="432"/>
      <c r="H72" s="432"/>
      <c r="I72" s="432"/>
      <c r="J72" s="432"/>
      <c r="K72" s="432"/>
      <c r="L72" s="38"/>
      <c r="M72" s="433"/>
      <c r="N72" s="434" t="s">
        <v>1351</v>
      </c>
      <c r="O72" s="432"/>
      <c r="P72" s="432"/>
      <c r="Q72" s="432"/>
      <c r="R72" s="432"/>
      <c r="S72" s="432"/>
      <c r="T72" s="432"/>
      <c r="U72" s="432"/>
      <c r="V72" s="432"/>
      <c r="W72" s="432"/>
      <c r="X72" s="432"/>
      <c r="Y72" s="38"/>
      <c r="Z72" s="433"/>
      <c r="AA72" s="434" t="s">
        <v>1352</v>
      </c>
      <c r="AB72" s="432"/>
      <c r="AC72" s="432"/>
      <c r="AD72" s="432"/>
      <c r="AE72" s="432"/>
      <c r="AF72" s="432"/>
      <c r="AG72" s="432"/>
      <c r="AH72" s="432"/>
      <c r="AI72" s="432"/>
      <c r="AJ72" s="432"/>
      <c r="AK72" s="432"/>
      <c r="AL72" s="38"/>
      <c r="AM72" s="34"/>
      <c r="AN72" s="34"/>
      <c r="AO72" s="34"/>
      <c r="AP72" s="34"/>
      <c r="AQ72" s="34"/>
      <c r="AR72" s="34"/>
      <c r="AS72" s="410"/>
      <c r="AT72" s="34"/>
      <c r="AU72" s="34"/>
      <c r="AV72" s="34"/>
      <c r="AW72" s="34"/>
      <c r="AX72" s="34"/>
      <c r="AY72" s="34"/>
      <c r="AZ72" s="410"/>
      <c r="BA72" s="34"/>
      <c r="BB72" s="34"/>
      <c r="BC72" s="34"/>
      <c r="BD72" s="34"/>
      <c r="BE72" s="34"/>
      <c r="BF72" s="34"/>
      <c r="BG72" s="34"/>
      <c r="BH72" s="410"/>
      <c r="BI72" s="34"/>
      <c r="BJ72" s="34"/>
      <c r="BK72" s="34"/>
      <c r="BL72" s="34"/>
      <c r="BM72" s="34"/>
      <c r="BN72" s="34"/>
      <c r="BO72" s="34"/>
      <c r="BP72" s="34"/>
      <c r="BQ72" s="34"/>
      <c r="BR72" s="34"/>
      <c r="BS72" s="34"/>
      <c r="BT72" s="34"/>
      <c r="BU72" s="34"/>
      <c r="BV72" s="34"/>
      <c r="BW72" s="34"/>
      <c r="BX72" s="34"/>
      <c r="BY72" s="34"/>
      <c r="BZ72" s="34"/>
      <c r="CA72" s="34"/>
      <c r="CB72" s="34"/>
      <c r="CC72" s="34"/>
      <c r="CD72" s="410"/>
      <c r="CE72" s="34"/>
      <c r="CF72" s="34"/>
      <c r="CG72" s="34"/>
      <c r="CH72" s="34"/>
      <c r="CI72" s="34"/>
      <c r="CJ72" s="34"/>
      <c r="CK72" s="34"/>
      <c r="CL72" s="34"/>
      <c r="CM72" s="34"/>
      <c r="CN72" s="34"/>
      <c r="CO72" s="34"/>
      <c r="CP72" s="34"/>
      <c r="CQ72" s="34"/>
      <c r="CR72" s="34"/>
      <c r="CS72" s="34"/>
      <c r="CT72" s="34"/>
      <c r="CU72" s="34"/>
      <c r="CV72" s="34"/>
      <c r="CW72" s="410"/>
      <c r="CX72" s="9"/>
      <c r="CY72" s="9"/>
      <c r="CZ72" s="9"/>
      <c r="DA72" s="9"/>
      <c r="DB72" s="9"/>
      <c r="DC72" s="9"/>
      <c r="DD72" s="9"/>
      <c r="DE72" s="9"/>
      <c r="DF72" s="9"/>
      <c r="DG72" s="9"/>
      <c r="DH72" s="9"/>
      <c r="DI72" s="9"/>
      <c r="DJ72" s="9"/>
      <c r="DK72" s="9"/>
      <c r="DL72" s="9"/>
      <c r="DM72" s="9"/>
      <c r="DN72" s="9"/>
      <c r="DO72" s="9"/>
      <c r="DP72" s="9"/>
      <c r="DQ72" s="9"/>
      <c r="DR72" s="9"/>
      <c r="DS72" s="9"/>
      <c r="DT72" s="9"/>
      <c r="DU72" s="9"/>
      <c r="DV72" s="9"/>
      <c r="DW72" s="9"/>
      <c r="DX72" s="9"/>
      <c r="DY72" s="9"/>
      <c r="DZ72" s="9"/>
      <c r="EA72" s="9"/>
    </row>
    <row r="73" spans="1:131" ht="191.25">
      <c r="A73" s="35"/>
      <c r="B73" s="36" t="s">
        <v>1353</v>
      </c>
      <c r="C73" s="37" t="s">
        <v>1354</v>
      </c>
      <c r="D73" s="37" t="s">
        <v>25</v>
      </c>
      <c r="E73" s="37" t="s">
        <v>26</v>
      </c>
      <c r="F73" s="37" t="s">
        <v>27</v>
      </c>
      <c r="G73" s="37" t="s">
        <v>28</v>
      </c>
      <c r="H73" s="37" t="s">
        <v>29</v>
      </c>
      <c r="I73" s="37" t="s">
        <v>30</v>
      </c>
      <c r="J73" s="37" t="s">
        <v>31</v>
      </c>
      <c r="K73" s="37" t="s">
        <v>24</v>
      </c>
      <c r="L73" s="37" t="s">
        <v>23</v>
      </c>
      <c r="M73" s="37" t="s">
        <v>32</v>
      </c>
      <c r="N73" s="37" t="s">
        <v>33</v>
      </c>
      <c r="O73" s="37" t="s">
        <v>34</v>
      </c>
      <c r="P73" s="37" t="s">
        <v>35</v>
      </c>
      <c r="Q73" s="37" t="s">
        <v>36</v>
      </c>
      <c r="R73" s="37" t="s">
        <v>37</v>
      </c>
      <c r="S73" s="37" t="s">
        <v>38</v>
      </c>
      <c r="T73" s="37" t="s">
        <v>39</v>
      </c>
      <c r="U73" s="37" t="s">
        <v>40</v>
      </c>
      <c r="V73" s="37" t="s">
        <v>41</v>
      </c>
      <c r="W73" s="37" t="s">
        <v>42</v>
      </c>
      <c r="X73" s="37" t="s">
        <v>43</v>
      </c>
      <c r="Y73" s="37" t="s">
        <v>44</v>
      </c>
      <c r="Z73" s="37"/>
      <c r="AA73" s="37" t="s">
        <v>33</v>
      </c>
      <c r="AB73" s="37" t="s">
        <v>34</v>
      </c>
      <c r="AC73" s="37" t="s">
        <v>35</v>
      </c>
      <c r="AD73" s="37" t="s">
        <v>36</v>
      </c>
      <c r="AE73" s="37" t="s">
        <v>37</v>
      </c>
      <c r="AF73" s="37" t="s">
        <v>38</v>
      </c>
      <c r="AG73" s="37" t="s">
        <v>39</v>
      </c>
      <c r="AH73" s="37" t="s">
        <v>40</v>
      </c>
      <c r="AI73" s="37" t="s">
        <v>41</v>
      </c>
      <c r="AJ73" s="37" t="s">
        <v>42</v>
      </c>
      <c r="AK73" s="37" t="s">
        <v>43</v>
      </c>
      <c r="AL73" s="37" t="s">
        <v>44</v>
      </c>
      <c r="AM73" s="34"/>
      <c r="AN73" s="34"/>
      <c r="AO73" s="34"/>
      <c r="AP73" s="34"/>
      <c r="AQ73" s="34"/>
      <c r="AR73" s="34"/>
      <c r="AS73" s="410"/>
      <c r="AT73" s="34"/>
      <c r="AU73" s="34"/>
      <c r="AV73" s="34"/>
      <c r="AW73" s="34"/>
      <c r="AX73" s="34"/>
      <c r="AY73" s="34"/>
      <c r="AZ73" s="410"/>
      <c r="BA73" s="34"/>
      <c r="BB73" s="34"/>
      <c r="BC73" s="34"/>
      <c r="BD73" s="34"/>
      <c r="BE73" s="34"/>
      <c r="BF73" s="34"/>
      <c r="BG73" s="34"/>
      <c r="BH73" s="410"/>
      <c r="BI73" s="34"/>
      <c r="BJ73" s="34"/>
      <c r="BK73" s="34"/>
      <c r="BL73" s="34"/>
      <c r="BM73" s="34"/>
      <c r="BN73" s="34"/>
      <c r="BO73" s="34"/>
      <c r="BP73" s="34"/>
      <c r="BQ73" s="34"/>
      <c r="BR73" s="34"/>
      <c r="BS73" s="34"/>
      <c r="BT73" s="34"/>
      <c r="BU73" s="34"/>
      <c r="BV73" s="34"/>
      <c r="BW73" s="34"/>
      <c r="BX73" s="34"/>
      <c r="BY73" s="34"/>
      <c r="BZ73" s="34"/>
      <c r="CA73" s="34"/>
      <c r="CB73" s="34"/>
      <c r="CC73" s="34"/>
      <c r="CD73" s="410"/>
      <c r="CE73" s="34"/>
      <c r="CF73" s="34"/>
      <c r="CG73" s="34"/>
      <c r="CH73" s="34"/>
      <c r="CI73" s="34"/>
      <c r="CJ73" s="34"/>
      <c r="CK73" s="34"/>
      <c r="CL73" s="34"/>
      <c r="CM73" s="34"/>
      <c r="CN73" s="34"/>
      <c r="CO73" s="34"/>
      <c r="CP73" s="34"/>
      <c r="CQ73" s="34"/>
      <c r="CR73" s="34"/>
      <c r="CS73" s="34"/>
      <c r="CT73" s="34"/>
      <c r="CU73" s="34"/>
      <c r="CV73" s="34"/>
      <c r="CW73" s="410"/>
      <c r="CX73" s="9"/>
      <c r="CY73" s="9"/>
      <c r="CZ73" s="9"/>
      <c r="DA73" s="9"/>
      <c r="DB73" s="9"/>
      <c r="DC73" s="9"/>
      <c r="DD73" s="9"/>
      <c r="DE73" s="9"/>
      <c r="DF73" s="9"/>
      <c r="DG73" s="9"/>
      <c r="DH73" s="9"/>
      <c r="DI73" s="9"/>
      <c r="DJ73" s="9"/>
      <c r="DK73" s="9"/>
      <c r="DL73" s="9"/>
      <c r="DM73" s="9"/>
      <c r="DN73" s="9"/>
      <c r="DO73" s="9"/>
      <c r="DP73" s="9"/>
      <c r="DQ73" s="9"/>
      <c r="DR73" s="9"/>
      <c r="DS73" s="9"/>
      <c r="DT73" s="9"/>
      <c r="DU73" s="9"/>
      <c r="DV73" s="9"/>
      <c r="DW73" s="9"/>
      <c r="DX73" s="9"/>
      <c r="DY73" s="9"/>
      <c r="DZ73" s="9"/>
      <c r="EA73" s="9"/>
    </row>
    <row r="74" spans="1:131">
      <c r="A74" s="9"/>
      <c r="B74" s="45" t="s">
        <v>1355</v>
      </c>
      <c r="C74" s="435">
        <v>5277.2146305784199</v>
      </c>
      <c r="D74" s="435">
        <v>279.5558155626137</v>
      </c>
      <c r="E74" s="435">
        <v>0</v>
      </c>
      <c r="F74" s="435">
        <v>279.5558155626137</v>
      </c>
      <c r="G74" s="435">
        <v>284.18064162795071</v>
      </c>
      <c r="H74" s="435">
        <v>7460.8508748632403</v>
      </c>
      <c r="I74" s="435">
        <v>464.05331519746778</v>
      </c>
      <c r="J74" s="435">
        <v>-17.260994224691284</v>
      </c>
      <c r="K74" s="435">
        <v>-61.822951202043804</v>
      </c>
      <c r="L74" s="429">
        <v>834.41327756581722</v>
      </c>
      <c r="M74" s="34">
        <v>50.13414825154247</v>
      </c>
      <c r="N74" s="39">
        <v>451.2739936910948</v>
      </c>
      <c r="O74" s="39">
        <v>329.5334336316115</v>
      </c>
      <c r="P74" s="39">
        <v>266.95372099067151</v>
      </c>
      <c r="Q74" s="39">
        <v>231.44313400154846</v>
      </c>
      <c r="R74" s="39">
        <v>84.923969816474482</v>
      </c>
      <c r="S74" s="39">
        <v>54.906330727384393</v>
      </c>
      <c r="T74" s="39">
        <v>159.63927957786905</v>
      </c>
      <c r="U74" s="39">
        <v>159.21897124224031</v>
      </c>
      <c r="V74" s="39">
        <v>92.589495328304068</v>
      </c>
      <c r="W74" s="39">
        <v>210.32764022797767</v>
      </c>
      <c r="X74" s="39">
        <v>326.5829602702168</v>
      </c>
      <c r="Y74" s="39">
        <v>569.88268850229895</v>
      </c>
      <c r="Z74" s="39"/>
      <c r="AA74" s="39">
        <v>428.18509373609623</v>
      </c>
      <c r="AB74" s="39">
        <v>303.27748064768224</v>
      </c>
      <c r="AC74" s="39">
        <v>223.95451847550945</v>
      </c>
      <c r="AD74" s="39">
        <v>208.88473090722658</v>
      </c>
      <c r="AE74" s="39">
        <v>82.577773595741249</v>
      </c>
      <c r="AF74" s="39">
        <v>25.509978610195848</v>
      </c>
      <c r="AG74" s="39">
        <v>78.57974179859923</v>
      </c>
      <c r="AH74" s="39">
        <v>56.256726573430726</v>
      </c>
      <c r="AI74" s="39">
        <v>53.197942355619318</v>
      </c>
      <c r="AJ74" s="39">
        <v>129.21334290424542</v>
      </c>
      <c r="AK74" s="39">
        <v>257.15664098715399</v>
      </c>
      <c r="AL74" s="39">
        <v>493.14504197922764</v>
      </c>
      <c r="AM74" s="34"/>
      <c r="AN74" s="34"/>
      <c r="AO74" s="34"/>
      <c r="AP74" s="34"/>
      <c r="AQ74" s="34"/>
      <c r="AR74" s="34"/>
      <c r="AS74" s="410"/>
      <c r="AT74" s="34"/>
      <c r="AU74" s="34"/>
      <c r="AV74" s="34"/>
      <c r="AW74" s="34"/>
      <c r="AX74" s="34"/>
      <c r="AY74" s="34"/>
      <c r="AZ74" s="410"/>
      <c r="BA74" s="34"/>
      <c r="BB74" s="34"/>
      <c r="BC74" s="34"/>
      <c r="BD74" s="34"/>
      <c r="BE74" s="34"/>
      <c r="BF74" s="34"/>
      <c r="BG74" s="34"/>
      <c r="BH74" s="410"/>
      <c r="BI74" s="34"/>
      <c r="BJ74" s="34"/>
      <c r="BK74" s="34"/>
      <c r="BL74" s="34"/>
      <c r="BM74" s="34"/>
      <c r="BN74" s="34"/>
      <c r="BO74" s="34"/>
      <c r="BP74" s="34"/>
      <c r="BQ74" s="34"/>
      <c r="BR74" s="34"/>
      <c r="BS74" s="34"/>
      <c r="BT74" s="34"/>
      <c r="BU74" s="34"/>
      <c r="BV74" s="34"/>
      <c r="BW74" s="34"/>
      <c r="BX74" s="34"/>
      <c r="BY74" s="34"/>
      <c r="BZ74" s="34"/>
      <c r="CA74" s="34"/>
      <c r="CB74" s="34"/>
      <c r="CC74" s="34"/>
      <c r="CD74" s="410"/>
      <c r="CE74" s="34"/>
      <c r="CF74" s="34"/>
      <c r="CG74" s="34"/>
      <c r="CH74" s="34"/>
      <c r="CI74" s="34"/>
      <c r="CJ74" s="34"/>
      <c r="CK74" s="34"/>
      <c r="CL74" s="34"/>
      <c r="CM74" s="34"/>
      <c r="CN74" s="34"/>
      <c r="CO74" s="34"/>
      <c r="CP74" s="34"/>
      <c r="CQ74" s="34"/>
      <c r="CR74" s="34"/>
      <c r="CS74" s="34"/>
      <c r="CT74" s="34"/>
      <c r="CU74" s="34"/>
      <c r="CV74" s="34"/>
      <c r="CW74" s="410"/>
      <c r="CX74" s="9"/>
      <c r="CY74" s="9"/>
      <c r="CZ74" s="9"/>
      <c r="DA74" s="9"/>
      <c r="DB74" s="9"/>
      <c r="DC74" s="9"/>
      <c r="DD74" s="9"/>
      <c r="DE74" s="9"/>
      <c r="DF74" s="9"/>
      <c r="DG74" s="9"/>
      <c r="DH74" s="9"/>
      <c r="DI74" s="9"/>
      <c r="DJ74" s="9"/>
      <c r="DK74" s="9"/>
      <c r="DL74" s="9"/>
      <c r="DM74" s="9"/>
      <c r="DN74" s="9"/>
      <c r="DO74" s="9"/>
      <c r="DP74" s="9"/>
      <c r="DQ74" s="9"/>
      <c r="DR74" s="9"/>
      <c r="DS74" s="9"/>
      <c r="DT74" s="9"/>
      <c r="DU74" s="9"/>
      <c r="DV74" s="9"/>
      <c r="DW74" s="9"/>
      <c r="DX74" s="9"/>
      <c r="DY74" s="9"/>
      <c r="DZ74" s="9"/>
      <c r="EA74" s="9"/>
    </row>
    <row r="75" spans="1:131">
      <c r="A75" s="9"/>
      <c r="B75" s="45" t="s">
        <v>1356</v>
      </c>
      <c r="C75" s="436">
        <v>0</v>
      </c>
      <c r="D75" s="436">
        <v>0</v>
      </c>
      <c r="E75" s="436">
        <v>0</v>
      </c>
      <c r="F75" s="436">
        <v>0</v>
      </c>
      <c r="G75" s="436">
        <v>0</v>
      </c>
      <c r="H75" s="436">
        <v>0</v>
      </c>
      <c r="I75" s="436">
        <v>0</v>
      </c>
      <c r="J75" s="436">
        <v>0</v>
      </c>
      <c r="K75" s="436">
        <v>0</v>
      </c>
      <c r="L75" s="410">
        <v>0</v>
      </c>
      <c r="M75" s="437">
        <v>0</v>
      </c>
      <c r="N75" s="437">
        <v>0</v>
      </c>
      <c r="O75" s="437">
        <v>0</v>
      </c>
      <c r="P75" s="437">
        <v>0</v>
      </c>
      <c r="Q75" s="437">
        <v>0</v>
      </c>
      <c r="R75" s="437">
        <v>0</v>
      </c>
      <c r="S75" s="437">
        <v>0</v>
      </c>
      <c r="T75" s="437">
        <v>0</v>
      </c>
      <c r="U75" s="437">
        <v>0</v>
      </c>
      <c r="V75" s="437">
        <v>0</v>
      </c>
      <c r="W75" s="437">
        <v>0</v>
      </c>
      <c r="X75" s="437">
        <v>0</v>
      </c>
      <c r="Y75" s="437">
        <v>0</v>
      </c>
      <c r="Z75" s="437"/>
      <c r="AA75" s="437">
        <v>0</v>
      </c>
      <c r="AB75" s="437">
        <v>0</v>
      </c>
      <c r="AC75" s="437">
        <v>0</v>
      </c>
      <c r="AD75" s="437">
        <v>0</v>
      </c>
      <c r="AE75" s="437">
        <v>0</v>
      </c>
      <c r="AF75" s="437">
        <v>0</v>
      </c>
      <c r="AG75" s="437">
        <v>0</v>
      </c>
      <c r="AH75" s="437">
        <v>0</v>
      </c>
      <c r="AI75" s="437">
        <v>0</v>
      </c>
      <c r="AJ75" s="437">
        <v>0</v>
      </c>
      <c r="AK75" s="437">
        <v>0</v>
      </c>
      <c r="AL75" s="437">
        <v>0</v>
      </c>
      <c r="AM75" s="34"/>
      <c r="AN75" s="34"/>
      <c r="AO75" s="34"/>
      <c r="AP75" s="34"/>
      <c r="AQ75" s="34"/>
      <c r="AR75" s="34"/>
      <c r="AS75" s="410"/>
      <c r="AT75" s="34"/>
      <c r="AU75" s="34"/>
      <c r="AV75" s="34"/>
      <c r="AW75" s="34"/>
      <c r="AX75" s="34"/>
      <c r="AY75" s="34"/>
      <c r="AZ75" s="410"/>
      <c r="BA75" s="34"/>
      <c r="BB75" s="34"/>
      <c r="BC75" s="34"/>
      <c r="BD75" s="34"/>
      <c r="BE75" s="34"/>
      <c r="BF75" s="34"/>
      <c r="BG75" s="34"/>
      <c r="BH75" s="410"/>
      <c r="BI75" s="34"/>
      <c r="BJ75" s="34"/>
      <c r="BK75" s="34"/>
      <c r="BL75" s="34"/>
      <c r="BM75" s="34"/>
      <c r="BN75" s="34"/>
      <c r="BO75" s="34"/>
      <c r="BP75" s="34"/>
      <c r="BQ75" s="34"/>
      <c r="BR75" s="34"/>
      <c r="BS75" s="34"/>
      <c r="BT75" s="34"/>
      <c r="BU75" s="34"/>
      <c r="BV75" s="34"/>
      <c r="BW75" s="34"/>
      <c r="BX75" s="34"/>
      <c r="BY75" s="34"/>
      <c r="BZ75" s="34"/>
      <c r="CA75" s="34"/>
      <c r="CB75" s="34"/>
      <c r="CC75" s="34"/>
      <c r="CD75" s="410"/>
      <c r="CE75" s="34"/>
      <c r="CF75" s="34"/>
      <c r="CG75" s="34"/>
      <c r="CH75" s="34"/>
      <c r="CI75" s="34"/>
      <c r="CJ75" s="34"/>
      <c r="CK75" s="34"/>
      <c r="CL75" s="34"/>
      <c r="CM75" s="34"/>
      <c r="CN75" s="34"/>
      <c r="CO75" s="34"/>
      <c r="CP75" s="34"/>
      <c r="CQ75" s="34"/>
      <c r="CR75" s="34"/>
      <c r="CS75" s="34"/>
      <c r="CT75" s="34"/>
      <c r="CU75" s="34"/>
      <c r="CV75" s="34"/>
      <c r="CW75" s="410"/>
      <c r="CX75" s="9"/>
      <c r="CY75" s="9"/>
      <c r="CZ75" s="9"/>
      <c r="DA75" s="9"/>
      <c r="DB75" s="9"/>
      <c r="DC75" s="9"/>
      <c r="DD75" s="9"/>
      <c r="DE75" s="9"/>
      <c r="DF75" s="9"/>
      <c r="DG75" s="9"/>
      <c r="DH75" s="9"/>
      <c r="DI75" s="9"/>
      <c r="DJ75" s="9"/>
      <c r="DK75" s="9"/>
      <c r="DL75" s="9"/>
      <c r="DM75" s="9"/>
      <c r="DN75" s="9"/>
      <c r="DO75" s="9"/>
      <c r="DP75" s="9"/>
      <c r="DQ75" s="9"/>
      <c r="DR75" s="9"/>
      <c r="DS75" s="9"/>
      <c r="DT75" s="9"/>
      <c r="DU75" s="9"/>
      <c r="DV75" s="9"/>
      <c r="DW75" s="9"/>
      <c r="DX75" s="9"/>
      <c r="DY75" s="9"/>
      <c r="DZ75" s="9"/>
      <c r="EA75" s="9"/>
    </row>
    <row r="76" spans="1:131">
      <c r="A76" s="9"/>
      <c r="B76" s="45" t="s">
        <v>1357</v>
      </c>
      <c r="C76" s="436"/>
      <c r="D76" s="436"/>
      <c r="E76" s="436"/>
      <c r="F76" s="436"/>
      <c r="G76" s="436"/>
      <c r="H76" s="436"/>
      <c r="I76" s="436"/>
      <c r="J76" s="436"/>
      <c r="K76" s="436"/>
      <c r="L76" s="410"/>
      <c r="M76" s="437"/>
      <c r="N76" s="437"/>
      <c r="O76" s="437"/>
      <c r="P76" s="437"/>
      <c r="Q76" s="437"/>
      <c r="R76" s="437"/>
      <c r="S76" s="437"/>
      <c r="T76" s="437"/>
      <c r="U76" s="437"/>
      <c r="V76" s="437"/>
      <c r="W76" s="437"/>
      <c r="X76" s="437"/>
      <c r="Y76" s="437"/>
      <c r="Z76" s="437"/>
      <c r="AA76" s="437"/>
      <c r="AB76" s="437"/>
      <c r="AC76" s="437"/>
      <c r="AD76" s="437"/>
      <c r="AE76" s="437"/>
      <c r="AF76" s="437"/>
      <c r="AG76" s="437"/>
      <c r="AH76" s="437"/>
      <c r="AI76" s="437"/>
      <c r="AJ76" s="437"/>
      <c r="AK76" s="437"/>
      <c r="AL76" s="437"/>
      <c r="AM76" s="34"/>
      <c r="AN76" s="34"/>
      <c r="AO76" s="34"/>
      <c r="AP76" s="34"/>
      <c r="AQ76" s="34"/>
      <c r="AR76" s="34"/>
      <c r="AS76" s="410"/>
      <c r="AT76" s="34"/>
      <c r="AU76" s="34"/>
      <c r="AV76" s="34"/>
      <c r="AW76" s="34"/>
      <c r="AX76" s="34"/>
      <c r="AY76" s="34"/>
      <c r="AZ76" s="410"/>
      <c r="BA76" s="34"/>
      <c r="BB76" s="34"/>
      <c r="BC76" s="34"/>
      <c r="BD76" s="34"/>
      <c r="BE76" s="34"/>
      <c r="BF76" s="34"/>
      <c r="BG76" s="34"/>
      <c r="BH76" s="410"/>
      <c r="BI76" s="34"/>
      <c r="BJ76" s="34"/>
      <c r="BK76" s="34"/>
      <c r="BL76" s="34"/>
      <c r="BM76" s="34"/>
      <c r="BN76" s="34"/>
      <c r="BO76" s="34"/>
      <c r="BP76" s="34"/>
      <c r="BQ76" s="34"/>
      <c r="BR76" s="34"/>
      <c r="BS76" s="34"/>
      <c r="BT76" s="34"/>
      <c r="BU76" s="34"/>
      <c r="BV76" s="34"/>
      <c r="BW76" s="34"/>
      <c r="BX76" s="34"/>
      <c r="BY76" s="34"/>
      <c r="BZ76" s="34"/>
      <c r="CA76" s="34"/>
      <c r="CB76" s="34"/>
      <c r="CC76" s="34"/>
      <c r="CD76" s="410"/>
      <c r="CE76" s="34"/>
      <c r="CF76" s="34"/>
      <c r="CG76" s="34"/>
      <c r="CH76" s="34"/>
      <c r="CI76" s="34"/>
      <c r="CJ76" s="34"/>
      <c r="CK76" s="34"/>
      <c r="CL76" s="34"/>
      <c r="CM76" s="34"/>
      <c r="CN76" s="34"/>
      <c r="CO76" s="34"/>
      <c r="CP76" s="34"/>
      <c r="CQ76" s="34"/>
      <c r="CR76" s="34"/>
      <c r="CS76" s="34"/>
      <c r="CT76" s="34"/>
      <c r="CU76" s="34"/>
      <c r="CV76" s="34"/>
      <c r="CW76" s="410"/>
      <c r="CX76" s="9"/>
      <c r="CY76" s="9"/>
      <c r="CZ76" s="9"/>
      <c r="DA76" s="9"/>
      <c r="DB76" s="9"/>
      <c r="DC76" s="9"/>
      <c r="DD76" s="9"/>
      <c r="DE76" s="9"/>
      <c r="DF76" s="9"/>
      <c r="DG76" s="9"/>
      <c r="DH76" s="9"/>
      <c r="DI76" s="9"/>
      <c r="DJ76" s="9"/>
      <c r="DK76" s="9"/>
      <c r="DL76" s="9"/>
      <c r="DM76" s="9"/>
      <c r="DN76" s="9"/>
      <c r="DO76" s="9"/>
      <c r="DP76" s="9"/>
      <c r="DQ76" s="9"/>
      <c r="DR76" s="9"/>
      <c r="DS76" s="9"/>
      <c r="DT76" s="9"/>
      <c r="DU76" s="9"/>
      <c r="DV76" s="9"/>
      <c r="DW76" s="9"/>
      <c r="DX76" s="9"/>
      <c r="DY76" s="9"/>
      <c r="DZ76" s="9"/>
      <c r="EA76" s="9"/>
    </row>
    <row r="77" spans="1:131">
      <c r="A77" s="9"/>
      <c r="B77" s="9" t="s">
        <v>67</v>
      </c>
      <c r="C77" s="437">
        <v>0</v>
      </c>
      <c r="D77" s="437">
        <v>0</v>
      </c>
      <c r="E77" s="437">
        <v>0</v>
      </c>
      <c r="F77" s="437">
        <v>0</v>
      </c>
      <c r="G77" s="437">
        <v>0</v>
      </c>
      <c r="H77" s="437">
        <v>0</v>
      </c>
      <c r="I77" s="437">
        <v>0</v>
      </c>
      <c r="J77" s="437">
        <v>0</v>
      </c>
      <c r="K77" s="437">
        <v>0</v>
      </c>
      <c r="L77" s="410">
        <v>0</v>
      </c>
      <c r="M77" s="437">
        <v>0</v>
      </c>
      <c r="N77" s="437">
        <v>0</v>
      </c>
      <c r="O77" s="437">
        <v>0</v>
      </c>
      <c r="P77" s="437">
        <v>0</v>
      </c>
      <c r="Q77" s="437">
        <v>0</v>
      </c>
      <c r="R77" s="437">
        <v>0</v>
      </c>
      <c r="S77" s="437">
        <v>0</v>
      </c>
      <c r="T77" s="437">
        <v>0</v>
      </c>
      <c r="U77" s="437">
        <v>0</v>
      </c>
      <c r="V77" s="437">
        <v>0</v>
      </c>
      <c r="W77" s="437">
        <v>0</v>
      </c>
      <c r="X77" s="437">
        <v>0</v>
      </c>
      <c r="Y77" s="437">
        <v>0</v>
      </c>
      <c r="Z77" s="437"/>
      <c r="AA77" s="437">
        <v>0</v>
      </c>
      <c r="AB77" s="437">
        <v>0</v>
      </c>
      <c r="AC77" s="437">
        <v>0</v>
      </c>
      <c r="AD77" s="437">
        <v>0</v>
      </c>
      <c r="AE77" s="437">
        <v>0</v>
      </c>
      <c r="AF77" s="437">
        <v>0</v>
      </c>
      <c r="AG77" s="437">
        <v>0</v>
      </c>
      <c r="AH77" s="437">
        <v>0</v>
      </c>
      <c r="AI77" s="437">
        <v>0</v>
      </c>
      <c r="AJ77" s="437">
        <v>0</v>
      </c>
      <c r="AK77" s="437">
        <v>0</v>
      </c>
      <c r="AL77" s="437">
        <v>0</v>
      </c>
      <c r="AM77" s="34"/>
      <c r="AN77" s="34"/>
      <c r="AO77" s="34"/>
      <c r="AP77" s="34"/>
      <c r="AQ77" s="34"/>
      <c r="AR77" s="34"/>
      <c r="AS77" s="34"/>
      <c r="AT77" s="34"/>
      <c r="AU77" s="34"/>
      <c r="AV77" s="34"/>
      <c r="AW77" s="34"/>
      <c r="AX77" s="34"/>
      <c r="AY77" s="34"/>
      <c r="AZ77" s="34"/>
      <c r="BA77" s="34"/>
      <c r="BB77" s="34"/>
      <c r="BC77" s="34"/>
      <c r="BD77" s="34"/>
      <c r="BE77" s="34"/>
      <c r="BF77" s="34"/>
      <c r="BG77" s="34"/>
      <c r="BH77" s="34"/>
      <c r="BI77" s="34"/>
      <c r="BJ77" s="34"/>
      <c r="BK77" s="34"/>
      <c r="BL77" s="34"/>
      <c r="BM77" s="34"/>
      <c r="BN77" s="34"/>
      <c r="BO77" s="34"/>
      <c r="BP77" s="34"/>
      <c r="BQ77" s="34"/>
      <c r="BR77" s="34"/>
      <c r="BS77" s="34"/>
      <c r="BT77" s="34"/>
      <c r="BU77" s="34"/>
      <c r="BV77" s="34"/>
      <c r="BW77" s="34"/>
      <c r="BX77" s="34"/>
      <c r="BY77" s="34"/>
      <c r="BZ77" s="34"/>
      <c r="CA77" s="34"/>
      <c r="CB77" s="34"/>
      <c r="CC77" s="34"/>
      <c r="CD77" s="34"/>
      <c r="CE77" s="34"/>
      <c r="CF77" s="34"/>
      <c r="CG77" s="34"/>
      <c r="CH77" s="34"/>
      <c r="CI77" s="34"/>
      <c r="CJ77" s="34"/>
      <c r="CK77" s="34"/>
      <c r="CL77" s="34"/>
      <c r="CM77" s="34"/>
      <c r="CN77" s="34"/>
      <c r="CO77" s="34"/>
      <c r="CP77" s="34"/>
      <c r="CQ77" s="34"/>
      <c r="CR77" s="34"/>
      <c r="CS77" s="34"/>
      <c r="CT77" s="34"/>
      <c r="CU77" s="34"/>
      <c r="CV77" s="34"/>
      <c r="CW77" s="34"/>
      <c r="CX77" s="9"/>
      <c r="CY77" s="9"/>
      <c r="CZ77" s="9"/>
      <c r="DA77" s="9"/>
      <c r="DB77" s="9"/>
      <c r="DC77" s="9"/>
      <c r="DD77" s="9"/>
      <c r="DE77" s="9"/>
      <c r="DF77" s="9"/>
      <c r="DG77" s="9"/>
      <c r="DH77" s="9"/>
      <c r="DI77" s="9"/>
      <c r="DJ77" s="9"/>
      <c r="DK77" s="9"/>
      <c r="DL77" s="9"/>
      <c r="DM77" s="9"/>
      <c r="DN77" s="9"/>
      <c r="DO77" s="9"/>
      <c r="DP77" s="9"/>
      <c r="DQ77" s="9"/>
      <c r="DR77" s="9"/>
      <c r="DS77" s="9"/>
      <c r="DT77" s="9"/>
      <c r="DU77" s="9"/>
      <c r="DV77" s="9"/>
      <c r="DW77" s="9"/>
      <c r="DX77" s="9"/>
      <c r="DY77" s="9"/>
      <c r="DZ77" s="9"/>
      <c r="EA77" s="9"/>
    </row>
    <row r="78" spans="1:131">
      <c r="A78" s="9"/>
      <c r="B78" s="9" t="s">
        <v>1358</v>
      </c>
      <c r="C78" s="437">
        <v>0</v>
      </c>
      <c r="D78" s="437">
        <v>0</v>
      </c>
      <c r="E78" s="437">
        <v>0</v>
      </c>
      <c r="F78" s="437">
        <v>0</v>
      </c>
      <c r="G78" s="437">
        <v>0</v>
      </c>
      <c r="H78" s="437">
        <v>0</v>
      </c>
      <c r="I78" s="437">
        <v>0</v>
      </c>
      <c r="J78" s="437">
        <v>0</v>
      </c>
      <c r="K78" s="437">
        <v>0</v>
      </c>
      <c r="L78" s="438">
        <v>0</v>
      </c>
      <c r="M78" s="437">
        <v>0</v>
      </c>
      <c r="N78" s="437">
        <v>0</v>
      </c>
      <c r="O78" s="437">
        <v>0</v>
      </c>
      <c r="P78" s="437">
        <v>0</v>
      </c>
      <c r="Q78" s="437">
        <v>0</v>
      </c>
      <c r="R78" s="437">
        <v>0</v>
      </c>
      <c r="S78" s="437">
        <v>0</v>
      </c>
      <c r="T78" s="437">
        <v>0</v>
      </c>
      <c r="U78" s="437">
        <v>0</v>
      </c>
      <c r="V78" s="437">
        <v>0</v>
      </c>
      <c r="W78" s="437">
        <v>0</v>
      </c>
      <c r="X78" s="437">
        <v>0</v>
      </c>
      <c r="Y78" s="437">
        <v>0</v>
      </c>
      <c r="Z78" s="437"/>
      <c r="AA78" s="437">
        <v>0</v>
      </c>
      <c r="AB78" s="437">
        <v>0</v>
      </c>
      <c r="AC78" s="437">
        <v>0</v>
      </c>
      <c r="AD78" s="437">
        <v>0</v>
      </c>
      <c r="AE78" s="437">
        <v>0</v>
      </c>
      <c r="AF78" s="437">
        <v>0</v>
      </c>
      <c r="AG78" s="437">
        <v>0</v>
      </c>
      <c r="AH78" s="437">
        <v>0</v>
      </c>
      <c r="AI78" s="437">
        <v>0</v>
      </c>
      <c r="AJ78" s="437">
        <v>0</v>
      </c>
      <c r="AK78" s="437">
        <v>0</v>
      </c>
      <c r="AL78" s="437">
        <v>0</v>
      </c>
      <c r="AM78" s="34"/>
      <c r="AN78" s="34"/>
      <c r="AO78" s="34"/>
      <c r="AP78" s="34"/>
      <c r="AQ78" s="34"/>
      <c r="AR78" s="34"/>
      <c r="AS78" s="34"/>
      <c r="AT78" s="34"/>
      <c r="AU78" s="34"/>
      <c r="AV78" s="34"/>
      <c r="AW78" s="34"/>
      <c r="AX78" s="34"/>
      <c r="AY78" s="34"/>
      <c r="AZ78" s="34"/>
      <c r="BA78" s="34"/>
      <c r="BB78" s="34"/>
      <c r="BC78" s="34"/>
      <c r="BD78" s="34"/>
      <c r="BE78" s="34"/>
      <c r="BF78" s="34"/>
      <c r="BG78" s="34"/>
      <c r="BH78" s="34"/>
      <c r="BI78" s="34"/>
      <c r="BJ78" s="34"/>
      <c r="BK78" s="34"/>
      <c r="BL78" s="34"/>
      <c r="BM78" s="34"/>
      <c r="BN78" s="34"/>
      <c r="BO78" s="34"/>
      <c r="BP78" s="34"/>
      <c r="BQ78" s="34"/>
      <c r="BR78" s="34"/>
      <c r="BS78" s="34"/>
      <c r="BT78" s="34"/>
      <c r="BU78" s="34"/>
      <c r="BV78" s="34"/>
      <c r="BW78" s="34"/>
      <c r="BX78" s="34"/>
      <c r="BY78" s="34"/>
      <c r="BZ78" s="34"/>
      <c r="CA78" s="34"/>
      <c r="CB78" s="34"/>
      <c r="CC78" s="34"/>
      <c r="CD78" s="34"/>
      <c r="CE78" s="34"/>
      <c r="CF78" s="34"/>
      <c r="CG78" s="34"/>
      <c r="CH78" s="34"/>
      <c r="CI78" s="34"/>
      <c r="CJ78" s="34"/>
      <c r="CK78" s="34"/>
      <c r="CL78" s="34"/>
      <c r="CM78" s="34"/>
      <c r="CN78" s="34"/>
      <c r="CO78" s="34"/>
      <c r="CP78" s="34"/>
      <c r="CQ78" s="34"/>
      <c r="CR78" s="34"/>
      <c r="CS78" s="34"/>
      <c r="CT78" s="34"/>
      <c r="CU78" s="34"/>
      <c r="CV78" s="34"/>
      <c r="CW78" s="34"/>
      <c r="CX78" s="9"/>
      <c r="CY78" s="9"/>
      <c r="CZ78" s="9"/>
      <c r="DA78" s="9"/>
      <c r="DB78" s="9"/>
      <c r="DC78" s="9"/>
      <c r="DD78" s="9"/>
      <c r="DE78" s="9"/>
      <c r="DF78" s="9"/>
      <c r="DG78" s="9"/>
      <c r="DH78" s="9"/>
      <c r="DI78" s="9"/>
      <c r="DJ78" s="9"/>
      <c r="DK78" s="9"/>
      <c r="DL78" s="9"/>
      <c r="DM78" s="9"/>
      <c r="DN78" s="9"/>
      <c r="DO78" s="9"/>
      <c r="DP78" s="9"/>
      <c r="DQ78" s="9"/>
      <c r="DR78" s="9"/>
      <c r="DS78" s="9"/>
      <c r="DT78" s="9"/>
      <c r="DU78" s="9"/>
      <c r="DV78" s="9"/>
      <c r="DW78" s="9"/>
      <c r="DX78" s="9"/>
      <c r="DY78" s="9"/>
      <c r="DZ78" s="9"/>
      <c r="EA78" s="9"/>
    </row>
    <row r="79" spans="1:131">
      <c r="A79" s="9"/>
      <c r="B79" s="9" t="s">
        <v>72</v>
      </c>
      <c r="C79" s="437">
        <v>0</v>
      </c>
      <c r="D79" s="437">
        <v>0</v>
      </c>
      <c r="E79" s="437">
        <v>0</v>
      </c>
      <c r="F79" s="437">
        <v>0</v>
      </c>
      <c r="G79" s="437">
        <v>0</v>
      </c>
      <c r="H79" s="437">
        <v>0</v>
      </c>
      <c r="I79" s="437">
        <v>0</v>
      </c>
      <c r="J79" s="437">
        <v>0</v>
      </c>
      <c r="K79" s="437">
        <v>0</v>
      </c>
      <c r="L79" s="438">
        <v>0</v>
      </c>
      <c r="M79" s="437">
        <v>0</v>
      </c>
      <c r="N79" s="437">
        <v>0</v>
      </c>
      <c r="O79" s="437">
        <v>0</v>
      </c>
      <c r="P79" s="437">
        <v>0</v>
      </c>
      <c r="Q79" s="437">
        <v>0</v>
      </c>
      <c r="R79" s="437">
        <v>0</v>
      </c>
      <c r="S79" s="437">
        <v>0</v>
      </c>
      <c r="T79" s="437">
        <v>0</v>
      </c>
      <c r="U79" s="437">
        <v>0</v>
      </c>
      <c r="V79" s="437">
        <v>0</v>
      </c>
      <c r="W79" s="437">
        <v>0</v>
      </c>
      <c r="X79" s="437">
        <v>0</v>
      </c>
      <c r="Y79" s="437">
        <v>0</v>
      </c>
      <c r="Z79" s="437"/>
      <c r="AA79" s="437">
        <v>0</v>
      </c>
      <c r="AB79" s="437">
        <v>0</v>
      </c>
      <c r="AC79" s="437">
        <v>0</v>
      </c>
      <c r="AD79" s="437">
        <v>0</v>
      </c>
      <c r="AE79" s="437">
        <v>0</v>
      </c>
      <c r="AF79" s="437">
        <v>0</v>
      </c>
      <c r="AG79" s="437">
        <v>0</v>
      </c>
      <c r="AH79" s="437">
        <v>0</v>
      </c>
      <c r="AI79" s="437">
        <v>0</v>
      </c>
      <c r="AJ79" s="437">
        <v>0</v>
      </c>
      <c r="AK79" s="437">
        <v>0</v>
      </c>
      <c r="AL79" s="437">
        <v>0</v>
      </c>
      <c r="AM79" s="34"/>
      <c r="AN79" s="34"/>
      <c r="AO79" s="34"/>
      <c r="AP79" s="34"/>
      <c r="AQ79" s="34"/>
      <c r="AR79" s="34"/>
      <c r="AS79" s="34"/>
      <c r="AT79" s="34"/>
      <c r="AU79" s="34"/>
      <c r="AV79" s="34"/>
      <c r="AW79" s="34"/>
      <c r="AX79" s="34"/>
      <c r="AY79" s="34"/>
      <c r="AZ79" s="34"/>
      <c r="BA79" s="34"/>
      <c r="BB79" s="34"/>
      <c r="BC79" s="34"/>
      <c r="BD79" s="34"/>
      <c r="BE79" s="34"/>
      <c r="BF79" s="34"/>
      <c r="BG79" s="34"/>
      <c r="BH79" s="34"/>
      <c r="BI79" s="34"/>
      <c r="BJ79" s="34"/>
      <c r="BK79" s="34"/>
      <c r="BL79" s="34"/>
      <c r="BM79" s="34"/>
      <c r="BN79" s="34"/>
      <c r="BO79" s="34"/>
      <c r="BP79" s="34"/>
      <c r="BQ79" s="34"/>
      <c r="BR79" s="34"/>
      <c r="BS79" s="34"/>
      <c r="BT79" s="34"/>
      <c r="BU79" s="34"/>
      <c r="BV79" s="34"/>
      <c r="BW79" s="34"/>
      <c r="BX79" s="34"/>
      <c r="BY79" s="34"/>
      <c r="BZ79" s="34"/>
      <c r="CA79" s="34"/>
      <c r="CB79" s="34"/>
      <c r="CC79" s="34"/>
      <c r="CD79" s="34"/>
      <c r="CE79" s="34"/>
      <c r="CF79" s="34"/>
      <c r="CG79" s="34"/>
      <c r="CH79" s="34"/>
      <c r="CI79" s="34"/>
      <c r="CJ79" s="34"/>
      <c r="CK79" s="34"/>
      <c r="CL79" s="34"/>
      <c r="CM79" s="34"/>
      <c r="CN79" s="34"/>
      <c r="CO79" s="34"/>
      <c r="CP79" s="34"/>
      <c r="CQ79" s="34"/>
      <c r="CR79" s="34"/>
      <c r="CS79" s="34"/>
      <c r="CT79" s="34"/>
      <c r="CU79" s="34"/>
      <c r="CV79" s="34"/>
      <c r="CW79" s="34"/>
      <c r="CX79" s="9"/>
      <c r="CY79" s="9"/>
      <c r="CZ79" s="9"/>
      <c r="DA79" s="9"/>
      <c r="DB79" s="9"/>
      <c r="DC79" s="9"/>
      <c r="DD79" s="9"/>
      <c r="DE79" s="9"/>
      <c r="DF79" s="9"/>
      <c r="DG79" s="9"/>
      <c r="DH79" s="9"/>
      <c r="DI79" s="9"/>
      <c r="DJ79" s="9"/>
      <c r="DK79" s="9"/>
      <c r="DL79" s="9"/>
      <c r="DM79" s="9"/>
      <c r="DN79" s="9"/>
      <c r="DO79" s="9"/>
      <c r="DP79" s="9"/>
      <c r="DQ79" s="9"/>
      <c r="DR79" s="9"/>
      <c r="DS79" s="9"/>
      <c r="DT79" s="9"/>
      <c r="DU79" s="9"/>
      <c r="DV79" s="9"/>
      <c r="DW79" s="9"/>
      <c r="DX79" s="9"/>
      <c r="DY79" s="9"/>
      <c r="DZ79" s="9"/>
      <c r="EA79" s="9"/>
    </row>
    <row r="80" spans="1:131">
      <c r="A80" s="9"/>
      <c r="B80" s="9" t="s">
        <v>75</v>
      </c>
      <c r="C80" s="437">
        <v>0</v>
      </c>
      <c r="D80" s="437">
        <v>0</v>
      </c>
      <c r="E80" s="437">
        <v>0</v>
      </c>
      <c r="F80" s="437">
        <v>0</v>
      </c>
      <c r="G80" s="437">
        <v>0</v>
      </c>
      <c r="H80" s="437">
        <v>0</v>
      </c>
      <c r="I80" s="437">
        <v>0</v>
      </c>
      <c r="J80" s="437">
        <v>0</v>
      </c>
      <c r="K80" s="437">
        <v>0</v>
      </c>
      <c r="L80" s="438">
        <v>0</v>
      </c>
      <c r="M80" s="437">
        <v>0</v>
      </c>
      <c r="N80" s="437">
        <v>0</v>
      </c>
      <c r="O80" s="437">
        <v>0</v>
      </c>
      <c r="P80" s="437">
        <v>0</v>
      </c>
      <c r="Q80" s="437">
        <v>0</v>
      </c>
      <c r="R80" s="437">
        <v>0</v>
      </c>
      <c r="S80" s="437">
        <v>0</v>
      </c>
      <c r="T80" s="437">
        <v>0</v>
      </c>
      <c r="U80" s="437">
        <v>0</v>
      </c>
      <c r="V80" s="437">
        <v>0</v>
      </c>
      <c r="W80" s="437">
        <v>0</v>
      </c>
      <c r="X80" s="437">
        <v>0</v>
      </c>
      <c r="Y80" s="437">
        <v>0</v>
      </c>
      <c r="Z80" s="437"/>
      <c r="AA80" s="437">
        <v>0</v>
      </c>
      <c r="AB80" s="437">
        <v>0</v>
      </c>
      <c r="AC80" s="437">
        <v>0</v>
      </c>
      <c r="AD80" s="437">
        <v>0</v>
      </c>
      <c r="AE80" s="437">
        <v>0</v>
      </c>
      <c r="AF80" s="437">
        <v>0</v>
      </c>
      <c r="AG80" s="437">
        <v>0</v>
      </c>
      <c r="AH80" s="437">
        <v>0</v>
      </c>
      <c r="AI80" s="437">
        <v>0</v>
      </c>
      <c r="AJ80" s="437">
        <v>0</v>
      </c>
      <c r="AK80" s="437">
        <v>0</v>
      </c>
      <c r="AL80" s="437">
        <v>0</v>
      </c>
      <c r="AM80" s="34"/>
      <c r="AN80" s="34"/>
      <c r="AO80" s="34"/>
      <c r="AP80" s="34"/>
      <c r="AQ80" s="34"/>
      <c r="AR80" s="34"/>
      <c r="AS80" s="34"/>
      <c r="AT80" s="34"/>
      <c r="AU80" s="34"/>
      <c r="AV80" s="34"/>
      <c r="AW80" s="34"/>
      <c r="AX80" s="34"/>
      <c r="AY80" s="34"/>
      <c r="AZ80" s="34"/>
      <c r="BA80" s="34"/>
      <c r="BB80" s="34"/>
      <c r="BC80" s="34"/>
      <c r="BD80" s="34"/>
      <c r="BE80" s="34"/>
      <c r="BF80" s="34"/>
      <c r="BG80" s="34"/>
      <c r="BH80" s="34"/>
      <c r="BI80" s="34"/>
      <c r="BJ80" s="34"/>
      <c r="BK80" s="34"/>
      <c r="BL80" s="34"/>
      <c r="BM80" s="34"/>
      <c r="BN80" s="34"/>
      <c r="BO80" s="34"/>
      <c r="BP80" s="34"/>
      <c r="BQ80" s="34"/>
      <c r="BR80" s="34"/>
      <c r="BS80" s="34"/>
      <c r="BT80" s="34"/>
      <c r="BU80" s="34"/>
      <c r="BV80" s="34"/>
      <c r="BW80" s="34"/>
      <c r="BX80" s="34"/>
      <c r="BY80" s="34"/>
      <c r="BZ80" s="34"/>
      <c r="CA80" s="34"/>
      <c r="CB80" s="34"/>
      <c r="CC80" s="34"/>
      <c r="CD80" s="34"/>
      <c r="CE80" s="34"/>
      <c r="CF80" s="34"/>
      <c r="CG80" s="34"/>
      <c r="CH80" s="34"/>
      <c r="CI80" s="34"/>
      <c r="CJ80" s="34"/>
      <c r="CK80" s="34"/>
      <c r="CL80" s="34"/>
      <c r="CM80" s="34"/>
      <c r="CN80" s="34"/>
      <c r="CO80" s="34"/>
      <c r="CP80" s="34"/>
      <c r="CQ80" s="34"/>
      <c r="CR80" s="34"/>
      <c r="CS80" s="34"/>
      <c r="CT80" s="34"/>
      <c r="CU80" s="34"/>
      <c r="CV80" s="34"/>
      <c r="CW80" s="34"/>
      <c r="CX80" s="9"/>
      <c r="CY80" s="9"/>
      <c r="CZ80" s="9"/>
      <c r="DA80" s="9"/>
      <c r="DB80" s="9"/>
      <c r="DC80" s="9"/>
      <c r="DD80" s="9"/>
      <c r="DE80" s="9"/>
      <c r="DF80" s="9"/>
      <c r="DG80" s="9"/>
      <c r="DH80" s="9"/>
      <c r="DI80" s="9"/>
      <c r="DJ80" s="9"/>
      <c r="DK80" s="9"/>
      <c r="DL80" s="9"/>
      <c r="DM80" s="9"/>
      <c r="DN80" s="9"/>
      <c r="DO80" s="9"/>
      <c r="DP80" s="9"/>
      <c r="DQ80" s="9"/>
      <c r="DR80" s="9"/>
      <c r="DS80" s="9"/>
      <c r="DT80" s="9"/>
      <c r="DU80" s="9"/>
      <c r="DV80" s="9"/>
      <c r="DW80" s="9"/>
      <c r="DX80" s="9"/>
      <c r="DY80" s="9"/>
      <c r="DZ80" s="9"/>
      <c r="EA80" s="9"/>
    </row>
    <row r="81" spans="1:131">
      <c r="A81" s="9"/>
      <c r="B81" s="9" t="s">
        <v>78</v>
      </c>
      <c r="C81" s="437">
        <v>0</v>
      </c>
      <c r="D81" s="437">
        <v>0</v>
      </c>
      <c r="E81" s="437">
        <v>0</v>
      </c>
      <c r="F81" s="437">
        <v>0</v>
      </c>
      <c r="G81" s="437">
        <v>0</v>
      </c>
      <c r="H81" s="437">
        <v>0</v>
      </c>
      <c r="I81" s="437">
        <v>0</v>
      </c>
      <c r="J81" s="437">
        <v>0</v>
      </c>
      <c r="K81" s="437">
        <v>0</v>
      </c>
      <c r="L81" s="438">
        <v>0</v>
      </c>
      <c r="M81" s="437">
        <v>0</v>
      </c>
      <c r="N81" s="437">
        <v>0</v>
      </c>
      <c r="O81" s="437">
        <v>0</v>
      </c>
      <c r="P81" s="437">
        <v>0</v>
      </c>
      <c r="Q81" s="437">
        <v>0</v>
      </c>
      <c r="R81" s="437">
        <v>0</v>
      </c>
      <c r="S81" s="437">
        <v>0</v>
      </c>
      <c r="T81" s="437">
        <v>0</v>
      </c>
      <c r="U81" s="437">
        <v>0</v>
      </c>
      <c r="V81" s="437">
        <v>0</v>
      </c>
      <c r="W81" s="437">
        <v>0</v>
      </c>
      <c r="X81" s="437">
        <v>0</v>
      </c>
      <c r="Y81" s="437">
        <v>0</v>
      </c>
      <c r="Z81" s="437"/>
      <c r="AA81" s="437">
        <v>0</v>
      </c>
      <c r="AB81" s="437">
        <v>0</v>
      </c>
      <c r="AC81" s="437">
        <v>0</v>
      </c>
      <c r="AD81" s="437">
        <v>0</v>
      </c>
      <c r="AE81" s="437">
        <v>0</v>
      </c>
      <c r="AF81" s="437">
        <v>0</v>
      </c>
      <c r="AG81" s="437">
        <v>0</v>
      </c>
      <c r="AH81" s="437">
        <v>0</v>
      </c>
      <c r="AI81" s="437">
        <v>0</v>
      </c>
      <c r="AJ81" s="437">
        <v>0</v>
      </c>
      <c r="AK81" s="437">
        <v>0</v>
      </c>
      <c r="AL81" s="437">
        <v>0</v>
      </c>
      <c r="AM81" s="34"/>
      <c r="AN81" s="34"/>
      <c r="AO81" s="34"/>
      <c r="AP81" s="34"/>
      <c r="AQ81" s="34"/>
      <c r="AR81" s="34"/>
      <c r="AS81" s="34"/>
      <c r="AT81" s="34"/>
      <c r="AU81" s="34"/>
      <c r="AV81" s="34"/>
      <c r="AW81" s="34"/>
      <c r="AX81" s="34"/>
      <c r="AY81" s="34"/>
      <c r="AZ81" s="34"/>
      <c r="BA81" s="34"/>
      <c r="BB81" s="34"/>
      <c r="BC81" s="34"/>
      <c r="BD81" s="34"/>
      <c r="BE81" s="34"/>
      <c r="BF81" s="34"/>
      <c r="BG81" s="34"/>
      <c r="BH81" s="34"/>
      <c r="BI81" s="34"/>
      <c r="BJ81" s="34"/>
      <c r="BK81" s="34"/>
      <c r="BL81" s="34"/>
      <c r="BM81" s="34"/>
      <c r="BN81" s="34"/>
      <c r="BO81" s="34"/>
      <c r="BP81" s="34"/>
      <c r="BQ81" s="34"/>
      <c r="BR81" s="34"/>
      <c r="BS81" s="34"/>
      <c r="BT81" s="34"/>
      <c r="BU81" s="34"/>
      <c r="BV81" s="34"/>
      <c r="BW81" s="34"/>
      <c r="BX81" s="34"/>
      <c r="BY81" s="34"/>
      <c r="BZ81" s="34"/>
      <c r="CA81" s="34"/>
      <c r="CB81" s="34"/>
      <c r="CC81" s="34"/>
      <c r="CD81" s="34"/>
      <c r="CE81" s="34"/>
      <c r="CF81" s="34"/>
      <c r="CG81" s="34"/>
      <c r="CH81" s="34"/>
      <c r="CI81" s="34"/>
      <c r="CJ81" s="34"/>
      <c r="CK81" s="34"/>
      <c r="CL81" s="34"/>
      <c r="CM81" s="34"/>
      <c r="CN81" s="34"/>
      <c r="CO81" s="34"/>
      <c r="CP81" s="34"/>
      <c r="CQ81" s="34"/>
      <c r="CR81" s="34"/>
      <c r="CS81" s="34"/>
      <c r="CT81" s="34"/>
      <c r="CU81" s="34"/>
      <c r="CV81" s="34"/>
      <c r="CW81" s="34"/>
      <c r="CX81" s="9"/>
      <c r="CY81" s="9"/>
      <c r="CZ81" s="9"/>
      <c r="DA81" s="9"/>
      <c r="DB81" s="9"/>
      <c r="DC81" s="9"/>
      <c r="DD81" s="9"/>
      <c r="DE81" s="9"/>
      <c r="DF81" s="9"/>
      <c r="DG81" s="9"/>
      <c r="DH81" s="9"/>
      <c r="DI81" s="9"/>
      <c r="DJ81" s="9"/>
      <c r="DK81" s="9"/>
      <c r="DL81" s="9"/>
      <c r="DM81" s="9"/>
      <c r="DN81" s="9"/>
      <c r="DO81" s="9"/>
      <c r="DP81" s="9"/>
      <c r="DQ81" s="9"/>
      <c r="DR81" s="9"/>
      <c r="DS81" s="9"/>
      <c r="DT81" s="9"/>
      <c r="DU81" s="9"/>
      <c r="DV81" s="9"/>
      <c r="DW81" s="9"/>
      <c r="DX81" s="9"/>
      <c r="DY81" s="9"/>
      <c r="DZ81" s="9"/>
      <c r="EA81" s="9"/>
    </row>
    <row r="82" spans="1:131">
      <c r="A82" s="9"/>
      <c r="B82" s="9" t="s">
        <v>81</v>
      </c>
      <c r="C82" s="437">
        <v>0</v>
      </c>
      <c r="D82" s="437">
        <v>0</v>
      </c>
      <c r="E82" s="437">
        <v>0</v>
      </c>
      <c r="F82" s="437">
        <v>0</v>
      </c>
      <c r="G82" s="437">
        <v>0</v>
      </c>
      <c r="H82" s="437">
        <v>0</v>
      </c>
      <c r="I82" s="437">
        <v>0</v>
      </c>
      <c r="J82" s="437">
        <v>0</v>
      </c>
      <c r="K82" s="437">
        <v>0</v>
      </c>
      <c r="L82" s="438">
        <v>0</v>
      </c>
      <c r="M82" s="437">
        <v>0</v>
      </c>
      <c r="N82" s="437">
        <v>0</v>
      </c>
      <c r="O82" s="437">
        <v>0</v>
      </c>
      <c r="P82" s="437">
        <v>0</v>
      </c>
      <c r="Q82" s="437">
        <v>0</v>
      </c>
      <c r="R82" s="437">
        <v>0</v>
      </c>
      <c r="S82" s="437">
        <v>0</v>
      </c>
      <c r="T82" s="437">
        <v>0</v>
      </c>
      <c r="U82" s="437">
        <v>0</v>
      </c>
      <c r="V82" s="437">
        <v>0</v>
      </c>
      <c r="W82" s="437">
        <v>0</v>
      </c>
      <c r="X82" s="437">
        <v>0</v>
      </c>
      <c r="Y82" s="437">
        <v>0</v>
      </c>
      <c r="Z82" s="437"/>
      <c r="AA82" s="437">
        <v>0</v>
      </c>
      <c r="AB82" s="437">
        <v>0</v>
      </c>
      <c r="AC82" s="437">
        <v>0</v>
      </c>
      <c r="AD82" s="437">
        <v>0</v>
      </c>
      <c r="AE82" s="437">
        <v>0</v>
      </c>
      <c r="AF82" s="437">
        <v>0</v>
      </c>
      <c r="AG82" s="437">
        <v>0</v>
      </c>
      <c r="AH82" s="437">
        <v>0</v>
      </c>
      <c r="AI82" s="437">
        <v>0</v>
      </c>
      <c r="AJ82" s="437">
        <v>0</v>
      </c>
      <c r="AK82" s="437">
        <v>0</v>
      </c>
      <c r="AL82" s="437">
        <v>0</v>
      </c>
      <c r="AM82" s="34"/>
      <c r="AN82" s="34"/>
      <c r="AO82" s="34"/>
      <c r="AP82" s="34"/>
      <c r="AQ82" s="34"/>
      <c r="AR82" s="34"/>
      <c r="AS82" s="34"/>
      <c r="AT82" s="34"/>
      <c r="AU82" s="34"/>
      <c r="AV82" s="34"/>
      <c r="AW82" s="34"/>
      <c r="AX82" s="34"/>
      <c r="AY82" s="34"/>
      <c r="AZ82" s="34"/>
      <c r="BA82" s="34"/>
      <c r="BB82" s="34"/>
      <c r="BC82" s="34"/>
      <c r="BD82" s="34"/>
      <c r="BE82" s="34"/>
      <c r="BF82" s="34"/>
      <c r="BG82" s="34"/>
      <c r="BH82" s="34"/>
      <c r="BI82" s="34"/>
      <c r="BJ82" s="34"/>
      <c r="BK82" s="34"/>
      <c r="BL82" s="34"/>
      <c r="BM82" s="34"/>
      <c r="BN82" s="34"/>
      <c r="BO82" s="34"/>
      <c r="BP82" s="34"/>
      <c r="BQ82" s="34"/>
      <c r="BR82" s="34"/>
      <c r="BS82" s="34"/>
      <c r="BT82" s="34"/>
      <c r="BU82" s="34"/>
      <c r="BV82" s="34"/>
      <c r="BW82" s="34"/>
      <c r="BX82" s="34"/>
      <c r="BY82" s="34"/>
      <c r="BZ82" s="34"/>
      <c r="CA82" s="34"/>
      <c r="CB82" s="34"/>
      <c r="CC82" s="34"/>
      <c r="CD82" s="34"/>
      <c r="CE82" s="34"/>
      <c r="CF82" s="34"/>
      <c r="CG82" s="34"/>
      <c r="CH82" s="34"/>
      <c r="CI82" s="34"/>
      <c r="CJ82" s="34"/>
      <c r="CK82" s="34"/>
      <c r="CL82" s="34"/>
      <c r="CM82" s="34"/>
      <c r="CN82" s="34"/>
      <c r="CO82" s="34"/>
      <c r="CP82" s="34"/>
      <c r="CQ82" s="34"/>
      <c r="CR82" s="34"/>
      <c r="CS82" s="34"/>
      <c r="CT82" s="34"/>
      <c r="CU82" s="34"/>
      <c r="CV82" s="34"/>
      <c r="CW82" s="34"/>
      <c r="CX82" s="9"/>
      <c r="CY82" s="9"/>
      <c r="CZ82" s="9"/>
      <c r="DA82" s="9"/>
      <c r="DB82" s="9"/>
      <c r="DC82" s="9"/>
      <c r="DD82" s="9"/>
      <c r="DE82" s="9"/>
      <c r="DF82" s="9"/>
      <c r="DG82" s="9"/>
      <c r="DH82" s="9"/>
      <c r="DI82" s="9"/>
      <c r="DJ82" s="9"/>
      <c r="DK82" s="9"/>
      <c r="DL82" s="9"/>
      <c r="DM82" s="9"/>
      <c r="DN82" s="9"/>
      <c r="DO82" s="9"/>
      <c r="DP82" s="9"/>
      <c r="DQ82" s="9"/>
      <c r="DR82" s="9"/>
      <c r="DS82" s="9"/>
      <c r="DT82" s="9"/>
      <c r="DU82" s="9"/>
      <c r="DV82" s="9"/>
      <c r="DW82" s="9"/>
      <c r="DX82" s="9"/>
      <c r="DY82" s="9"/>
      <c r="DZ82" s="9"/>
      <c r="EA82" s="9"/>
    </row>
    <row r="83" spans="1:131">
      <c r="A83" s="9"/>
      <c r="B83" s="9" t="s">
        <v>84</v>
      </c>
      <c r="C83" s="437">
        <v>0</v>
      </c>
      <c r="D83" s="437">
        <v>0</v>
      </c>
      <c r="E83" s="437">
        <v>0</v>
      </c>
      <c r="F83" s="437">
        <v>0</v>
      </c>
      <c r="G83" s="437">
        <v>0</v>
      </c>
      <c r="H83" s="437">
        <v>0</v>
      </c>
      <c r="I83" s="437">
        <v>0</v>
      </c>
      <c r="J83" s="437">
        <v>0</v>
      </c>
      <c r="K83" s="437">
        <v>0</v>
      </c>
      <c r="L83" s="438">
        <v>0</v>
      </c>
      <c r="M83" s="437">
        <v>0</v>
      </c>
      <c r="N83" s="437">
        <v>0</v>
      </c>
      <c r="O83" s="437">
        <v>0</v>
      </c>
      <c r="P83" s="437">
        <v>0</v>
      </c>
      <c r="Q83" s="437">
        <v>0</v>
      </c>
      <c r="R83" s="437">
        <v>0</v>
      </c>
      <c r="S83" s="437">
        <v>0</v>
      </c>
      <c r="T83" s="437">
        <v>0</v>
      </c>
      <c r="U83" s="437">
        <v>0</v>
      </c>
      <c r="V83" s="437">
        <v>0</v>
      </c>
      <c r="W83" s="437">
        <v>0</v>
      </c>
      <c r="X83" s="437">
        <v>0</v>
      </c>
      <c r="Y83" s="437">
        <v>0</v>
      </c>
      <c r="Z83" s="437"/>
      <c r="AA83" s="437">
        <v>0</v>
      </c>
      <c r="AB83" s="437">
        <v>0</v>
      </c>
      <c r="AC83" s="437">
        <v>0</v>
      </c>
      <c r="AD83" s="437">
        <v>0</v>
      </c>
      <c r="AE83" s="437">
        <v>0</v>
      </c>
      <c r="AF83" s="437">
        <v>0</v>
      </c>
      <c r="AG83" s="437">
        <v>0</v>
      </c>
      <c r="AH83" s="437">
        <v>0</v>
      </c>
      <c r="AI83" s="437">
        <v>0</v>
      </c>
      <c r="AJ83" s="437">
        <v>0</v>
      </c>
      <c r="AK83" s="437">
        <v>0</v>
      </c>
      <c r="AL83" s="437">
        <v>0</v>
      </c>
      <c r="AM83" s="34"/>
      <c r="AN83" s="34"/>
      <c r="AO83" s="34"/>
      <c r="AP83" s="34"/>
      <c r="AQ83" s="34"/>
      <c r="AR83" s="34"/>
      <c r="AS83" s="34"/>
      <c r="AT83" s="34"/>
      <c r="AU83" s="34"/>
      <c r="AV83" s="34"/>
      <c r="AW83" s="34"/>
      <c r="AX83" s="34"/>
      <c r="AY83" s="34"/>
      <c r="AZ83" s="34"/>
      <c r="BA83" s="34"/>
      <c r="BB83" s="34"/>
      <c r="BC83" s="34"/>
      <c r="BD83" s="34"/>
      <c r="BE83" s="34"/>
      <c r="BF83" s="34"/>
      <c r="BG83" s="34"/>
      <c r="BH83" s="34"/>
      <c r="BI83" s="34"/>
      <c r="BJ83" s="34"/>
      <c r="BK83" s="34"/>
      <c r="BL83" s="34"/>
      <c r="BM83" s="34"/>
      <c r="BN83" s="34"/>
      <c r="BO83" s="34"/>
      <c r="BP83" s="34"/>
      <c r="BQ83" s="34"/>
      <c r="BR83" s="34"/>
      <c r="BS83" s="34"/>
      <c r="BT83" s="34"/>
      <c r="BU83" s="34"/>
      <c r="BV83" s="34"/>
      <c r="BW83" s="34"/>
      <c r="BX83" s="34"/>
      <c r="BY83" s="34"/>
      <c r="BZ83" s="34"/>
      <c r="CA83" s="34"/>
      <c r="CB83" s="34"/>
      <c r="CC83" s="34"/>
      <c r="CD83" s="34"/>
      <c r="CE83" s="34"/>
      <c r="CF83" s="34"/>
      <c r="CG83" s="34"/>
      <c r="CH83" s="34"/>
      <c r="CI83" s="34"/>
      <c r="CJ83" s="34"/>
      <c r="CK83" s="34"/>
      <c r="CL83" s="34"/>
      <c r="CM83" s="34"/>
      <c r="CN83" s="34"/>
      <c r="CO83" s="34"/>
      <c r="CP83" s="34"/>
      <c r="CQ83" s="34"/>
      <c r="CR83" s="34"/>
      <c r="CS83" s="34"/>
      <c r="CT83" s="34"/>
      <c r="CU83" s="34"/>
      <c r="CV83" s="34"/>
      <c r="CW83" s="34"/>
      <c r="CX83" s="9"/>
      <c r="CY83" s="9"/>
      <c r="CZ83" s="9"/>
      <c r="DA83" s="9"/>
      <c r="DB83" s="9"/>
      <c r="DC83" s="9"/>
      <c r="DD83" s="9"/>
      <c r="DE83" s="9"/>
      <c r="DF83" s="9"/>
      <c r="DG83" s="9"/>
      <c r="DH83" s="9"/>
      <c r="DI83" s="9"/>
      <c r="DJ83" s="9"/>
      <c r="DK83" s="9"/>
      <c r="DL83" s="9"/>
      <c r="DM83" s="9"/>
      <c r="DN83" s="9"/>
      <c r="DO83" s="9"/>
      <c r="DP83" s="9"/>
      <c r="DQ83" s="9"/>
      <c r="DR83" s="9"/>
      <c r="DS83" s="9"/>
      <c r="DT83" s="9"/>
      <c r="DU83" s="9"/>
      <c r="DV83" s="9"/>
      <c r="DW83" s="9"/>
      <c r="DX83" s="9"/>
      <c r="DY83" s="9"/>
      <c r="DZ83" s="9"/>
      <c r="EA83" s="9"/>
    </row>
    <row r="84" spans="1:131">
      <c r="A84" s="9"/>
      <c r="B84" s="9" t="s">
        <v>87</v>
      </c>
      <c r="C84" s="437">
        <v>0</v>
      </c>
      <c r="D84" s="437">
        <v>0</v>
      </c>
      <c r="E84" s="437">
        <v>0</v>
      </c>
      <c r="F84" s="437">
        <v>0</v>
      </c>
      <c r="G84" s="437">
        <v>0</v>
      </c>
      <c r="H84" s="437">
        <v>0</v>
      </c>
      <c r="I84" s="437">
        <v>0</v>
      </c>
      <c r="J84" s="437">
        <v>0</v>
      </c>
      <c r="K84" s="437">
        <v>0</v>
      </c>
      <c r="L84" s="438">
        <v>0</v>
      </c>
      <c r="M84" s="437">
        <v>0</v>
      </c>
      <c r="N84" s="437">
        <v>0</v>
      </c>
      <c r="O84" s="437">
        <v>0</v>
      </c>
      <c r="P84" s="437">
        <v>0</v>
      </c>
      <c r="Q84" s="437">
        <v>0</v>
      </c>
      <c r="R84" s="437">
        <v>0</v>
      </c>
      <c r="S84" s="437">
        <v>0</v>
      </c>
      <c r="T84" s="437">
        <v>0</v>
      </c>
      <c r="U84" s="437">
        <v>0</v>
      </c>
      <c r="V84" s="437">
        <v>0</v>
      </c>
      <c r="W84" s="437">
        <v>0</v>
      </c>
      <c r="X84" s="437">
        <v>0</v>
      </c>
      <c r="Y84" s="437">
        <v>0</v>
      </c>
      <c r="Z84" s="437"/>
      <c r="AA84" s="437">
        <v>0</v>
      </c>
      <c r="AB84" s="437">
        <v>0</v>
      </c>
      <c r="AC84" s="437">
        <v>0</v>
      </c>
      <c r="AD84" s="437">
        <v>0</v>
      </c>
      <c r="AE84" s="437">
        <v>0</v>
      </c>
      <c r="AF84" s="437">
        <v>0</v>
      </c>
      <c r="AG84" s="437">
        <v>0</v>
      </c>
      <c r="AH84" s="437">
        <v>0</v>
      </c>
      <c r="AI84" s="437">
        <v>0</v>
      </c>
      <c r="AJ84" s="437">
        <v>0</v>
      </c>
      <c r="AK84" s="437">
        <v>0</v>
      </c>
      <c r="AL84" s="437">
        <v>0</v>
      </c>
      <c r="AM84" s="34"/>
      <c r="AN84" s="34"/>
      <c r="AO84" s="34"/>
      <c r="AP84" s="34"/>
      <c r="AQ84" s="34"/>
      <c r="AR84" s="34"/>
      <c r="AS84" s="34"/>
      <c r="AT84" s="34"/>
      <c r="AU84" s="34"/>
      <c r="AV84" s="34"/>
      <c r="AW84" s="34"/>
      <c r="AX84" s="34"/>
      <c r="AY84" s="34"/>
      <c r="AZ84" s="34"/>
      <c r="BA84" s="34"/>
      <c r="BB84" s="34"/>
      <c r="BC84" s="34"/>
      <c r="BD84" s="34"/>
      <c r="BE84" s="34"/>
      <c r="BF84" s="34"/>
      <c r="BG84" s="34"/>
      <c r="BH84" s="34"/>
      <c r="BI84" s="34"/>
      <c r="BJ84" s="34"/>
      <c r="BK84" s="34"/>
      <c r="BL84" s="34"/>
      <c r="BM84" s="34"/>
      <c r="BN84" s="34"/>
      <c r="BO84" s="34"/>
      <c r="BP84" s="34"/>
      <c r="BQ84" s="34"/>
      <c r="BR84" s="34"/>
      <c r="BS84" s="34"/>
      <c r="BT84" s="34"/>
      <c r="BU84" s="34"/>
      <c r="BV84" s="34"/>
      <c r="BW84" s="34"/>
      <c r="BX84" s="34"/>
      <c r="BY84" s="34"/>
      <c r="BZ84" s="34"/>
      <c r="CA84" s="34"/>
      <c r="CB84" s="34"/>
      <c r="CC84" s="34"/>
      <c r="CD84" s="34"/>
      <c r="CE84" s="34"/>
      <c r="CF84" s="34"/>
      <c r="CG84" s="34"/>
      <c r="CH84" s="34"/>
      <c r="CI84" s="34"/>
      <c r="CJ84" s="34"/>
      <c r="CK84" s="34"/>
      <c r="CL84" s="34"/>
      <c r="CM84" s="34"/>
      <c r="CN84" s="34"/>
      <c r="CO84" s="34"/>
      <c r="CP84" s="34"/>
      <c r="CQ84" s="34"/>
      <c r="CR84" s="34"/>
      <c r="CS84" s="34"/>
      <c r="CT84" s="34"/>
      <c r="CU84" s="34"/>
      <c r="CV84" s="34"/>
      <c r="CW84" s="34"/>
      <c r="CX84" s="9"/>
      <c r="CY84" s="9"/>
      <c r="CZ84" s="9"/>
      <c r="DA84" s="9"/>
      <c r="DB84" s="9"/>
      <c r="DC84" s="9"/>
      <c r="DD84" s="9"/>
      <c r="DE84" s="9"/>
      <c r="DF84" s="9"/>
      <c r="DG84" s="9"/>
      <c r="DH84" s="9"/>
      <c r="DI84" s="9"/>
      <c r="DJ84" s="9"/>
      <c r="DK84" s="9"/>
      <c r="DL84" s="9"/>
      <c r="DM84" s="9"/>
      <c r="DN84" s="9"/>
      <c r="DO84" s="9"/>
      <c r="DP84" s="9"/>
      <c r="DQ84" s="9"/>
      <c r="DR84" s="9"/>
      <c r="DS84" s="9"/>
      <c r="DT84" s="9"/>
      <c r="DU84" s="9"/>
      <c r="DV84" s="9"/>
      <c r="DW84" s="9"/>
      <c r="DX84" s="9"/>
      <c r="DY84" s="9"/>
      <c r="DZ84" s="9"/>
      <c r="EA84" s="9"/>
    </row>
    <row r="85" spans="1:131">
      <c r="A85" s="9"/>
      <c r="B85" s="9" t="s">
        <v>90</v>
      </c>
      <c r="C85" s="437">
        <v>0</v>
      </c>
      <c r="D85" s="437">
        <v>0</v>
      </c>
      <c r="E85" s="437">
        <v>0</v>
      </c>
      <c r="F85" s="437">
        <v>0</v>
      </c>
      <c r="G85" s="437">
        <v>0</v>
      </c>
      <c r="H85" s="437">
        <v>0</v>
      </c>
      <c r="I85" s="437">
        <v>0</v>
      </c>
      <c r="J85" s="437">
        <v>0</v>
      </c>
      <c r="K85" s="437">
        <v>0</v>
      </c>
      <c r="L85" s="438">
        <v>0</v>
      </c>
      <c r="M85" s="437">
        <v>0</v>
      </c>
      <c r="N85" s="437">
        <v>0</v>
      </c>
      <c r="O85" s="437">
        <v>0</v>
      </c>
      <c r="P85" s="437">
        <v>0</v>
      </c>
      <c r="Q85" s="437">
        <v>0</v>
      </c>
      <c r="R85" s="437">
        <v>0</v>
      </c>
      <c r="S85" s="437">
        <v>0</v>
      </c>
      <c r="T85" s="437">
        <v>0</v>
      </c>
      <c r="U85" s="437">
        <v>0</v>
      </c>
      <c r="V85" s="437">
        <v>0</v>
      </c>
      <c r="W85" s="437">
        <v>0</v>
      </c>
      <c r="X85" s="437">
        <v>0</v>
      </c>
      <c r="Y85" s="437">
        <v>0</v>
      </c>
      <c r="Z85" s="437"/>
      <c r="AA85" s="437">
        <v>0</v>
      </c>
      <c r="AB85" s="437">
        <v>0</v>
      </c>
      <c r="AC85" s="437">
        <v>0</v>
      </c>
      <c r="AD85" s="437">
        <v>0</v>
      </c>
      <c r="AE85" s="437">
        <v>0</v>
      </c>
      <c r="AF85" s="437">
        <v>0</v>
      </c>
      <c r="AG85" s="437">
        <v>0</v>
      </c>
      <c r="AH85" s="437">
        <v>0</v>
      </c>
      <c r="AI85" s="437">
        <v>0</v>
      </c>
      <c r="AJ85" s="437">
        <v>0</v>
      </c>
      <c r="AK85" s="437">
        <v>0</v>
      </c>
      <c r="AL85" s="437">
        <v>0</v>
      </c>
      <c r="AM85" s="34"/>
      <c r="AN85" s="34"/>
      <c r="AO85" s="34"/>
      <c r="AP85" s="34"/>
      <c r="AQ85" s="34"/>
      <c r="AR85" s="34"/>
      <c r="AS85" s="34"/>
      <c r="AT85" s="34"/>
      <c r="AU85" s="34"/>
      <c r="AV85" s="34"/>
      <c r="AW85" s="34"/>
      <c r="AX85" s="34"/>
      <c r="AY85" s="34"/>
      <c r="AZ85" s="34"/>
      <c r="BA85" s="34"/>
      <c r="BB85" s="34"/>
      <c r="BC85" s="34"/>
      <c r="BD85" s="34"/>
      <c r="BE85" s="34"/>
      <c r="BF85" s="34"/>
      <c r="BG85" s="34"/>
      <c r="BH85" s="34"/>
      <c r="BI85" s="34"/>
      <c r="BJ85" s="34"/>
      <c r="BK85" s="34"/>
      <c r="BL85" s="34"/>
      <c r="BM85" s="34"/>
      <c r="BN85" s="34"/>
      <c r="BO85" s="34"/>
      <c r="BP85" s="34"/>
      <c r="BQ85" s="34"/>
      <c r="BR85" s="34"/>
      <c r="BS85" s="34"/>
      <c r="BT85" s="34"/>
      <c r="BU85" s="34"/>
      <c r="BV85" s="34"/>
      <c r="BW85" s="34"/>
      <c r="BX85" s="34"/>
      <c r="BY85" s="34"/>
      <c r="BZ85" s="34"/>
      <c r="CA85" s="34"/>
      <c r="CB85" s="34"/>
      <c r="CC85" s="34"/>
      <c r="CD85" s="34"/>
      <c r="CE85" s="34"/>
      <c r="CF85" s="34"/>
      <c r="CG85" s="34"/>
      <c r="CH85" s="34"/>
      <c r="CI85" s="34"/>
      <c r="CJ85" s="34"/>
      <c r="CK85" s="34"/>
      <c r="CL85" s="34"/>
      <c r="CM85" s="34"/>
      <c r="CN85" s="34"/>
      <c r="CO85" s="34"/>
      <c r="CP85" s="34"/>
      <c r="CQ85" s="34"/>
      <c r="CR85" s="34"/>
      <c r="CS85" s="34"/>
      <c r="CT85" s="34"/>
      <c r="CU85" s="34"/>
      <c r="CV85" s="34"/>
      <c r="CW85" s="34"/>
      <c r="CX85" s="9"/>
      <c r="CY85" s="9"/>
      <c r="CZ85" s="9"/>
      <c r="DA85" s="9"/>
      <c r="DB85" s="9"/>
      <c r="DC85" s="9"/>
      <c r="DD85" s="9"/>
      <c r="DE85" s="9"/>
      <c r="DF85" s="9"/>
      <c r="DG85" s="9"/>
      <c r="DH85" s="9"/>
      <c r="DI85" s="9"/>
      <c r="DJ85" s="9"/>
      <c r="DK85" s="9"/>
      <c r="DL85" s="9"/>
      <c r="DM85" s="9"/>
      <c r="DN85" s="9"/>
      <c r="DO85" s="9"/>
      <c r="DP85" s="9"/>
      <c r="DQ85" s="9"/>
      <c r="DR85" s="9"/>
      <c r="DS85" s="9"/>
      <c r="DT85" s="9"/>
      <c r="DU85" s="9"/>
      <c r="DV85" s="9"/>
      <c r="DW85" s="9"/>
      <c r="DX85" s="9"/>
      <c r="DY85" s="9"/>
      <c r="DZ85" s="9"/>
      <c r="EA85" s="9"/>
    </row>
    <row r="86" spans="1:131">
      <c r="A86" s="9"/>
      <c r="B86" s="9" t="s">
        <v>93</v>
      </c>
      <c r="C86" s="437">
        <v>0</v>
      </c>
      <c r="D86" s="437">
        <v>0</v>
      </c>
      <c r="E86" s="437">
        <v>0</v>
      </c>
      <c r="F86" s="437">
        <v>0</v>
      </c>
      <c r="G86" s="437">
        <v>0</v>
      </c>
      <c r="H86" s="437">
        <v>0</v>
      </c>
      <c r="I86" s="437">
        <v>0</v>
      </c>
      <c r="J86" s="437">
        <v>0</v>
      </c>
      <c r="K86" s="437">
        <v>0</v>
      </c>
      <c r="L86" s="438">
        <v>0</v>
      </c>
      <c r="M86" s="437">
        <v>0</v>
      </c>
      <c r="N86" s="437">
        <v>0</v>
      </c>
      <c r="O86" s="437">
        <v>0</v>
      </c>
      <c r="P86" s="437">
        <v>0</v>
      </c>
      <c r="Q86" s="437">
        <v>0</v>
      </c>
      <c r="R86" s="437">
        <v>0</v>
      </c>
      <c r="S86" s="437">
        <v>0</v>
      </c>
      <c r="T86" s="437">
        <v>0</v>
      </c>
      <c r="U86" s="437">
        <v>0</v>
      </c>
      <c r="V86" s="437">
        <v>0</v>
      </c>
      <c r="W86" s="437">
        <v>0</v>
      </c>
      <c r="X86" s="437">
        <v>0</v>
      </c>
      <c r="Y86" s="437">
        <v>0</v>
      </c>
      <c r="Z86" s="437"/>
      <c r="AA86" s="437">
        <v>0</v>
      </c>
      <c r="AB86" s="437">
        <v>0</v>
      </c>
      <c r="AC86" s="437">
        <v>0</v>
      </c>
      <c r="AD86" s="437">
        <v>0</v>
      </c>
      <c r="AE86" s="437">
        <v>0</v>
      </c>
      <c r="AF86" s="437">
        <v>0</v>
      </c>
      <c r="AG86" s="437">
        <v>0</v>
      </c>
      <c r="AH86" s="437">
        <v>0</v>
      </c>
      <c r="AI86" s="437">
        <v>0</v>
      </c>
      <c r="AJ86" s="437">
        <v>0</v>
      </c>
      <c r="AK86" s="437">
        <v>0</v>
      </c>
      <c r="AL86" s="437">
        <v>0</v>
      </c>
      <c r="AM86" s="34"/>
      <c r="AN86" s="34"/>
      <c r="AO86" s="34"/>
      <c r="AP86" s="34"/>
      <c r="AQ86" s="34"/>
      <c r="AR86" s="34"/>
      <c r="AS86" s="34"/>
      <c r="AT86" s="34"/>
      <c r="AU86" s="34"/>
      <c r="AV86" s="34"/>
      <c r="AW86" s="34"/>
      <c r="AX86" s="34"/>
      <c r="AY86" s="34"/>
      <c r="AZ86" s="34"/>
      <c r="BA86" s="34"/>
      <c r="BB86" s="34"/>
      <c r="BC86" s="34"/>
      <c r="BD86" s="34"/>
      <c r="BE86" s="34"/>
      <c r="BF86" s="34"/>
      <c r="BG86" s="34"/>
      <c r="BH86" s="34"/>
      <c r="BI86" s="34"/>
      <c r="BJ86" s="34"/>
      <c r="BK86" s="34"/>
      <c r="BL86" s="34"/>
      <c r="BM86" s="34"/>
      <c r="BN86" s="34"/>
      <c r="BO86" s="34"/>
      <c r="BP86" s="34"/>
      <c r="BQ86" s="34"/>
      <c r="BR86" s="34"/>
      <c r="BS86" s="34"/>
      <c r="BT86" s="34"/>
      <c r="BU86" s="34"/>
      <c r="BV86" s="34"/>
      <c r="BW86" s="34"/>
      <c r="BX86" s="34"/>
      <c r="BY86" s="34"/>
      <c r="BZ86" s="34"/>
      <c r="CA86" s="34"/>
      <c r="CB86" s="34"/>
      <c r="CC86" s="34"/>
      <c r="CD86" s="34"/>
      <c r="CE86" s="34"/>
      <c r="CF86" s="34"/>
      <c r="CG86" s="34"/>
      <c r="CH86" s="34"/>
      <c r="CI86" s="34"/>
      <c r="CJ86" s="34"/>
      <c r="CK86" s="34"/>
      <c r="CL86" s="34"/>
      <c r="CM86" s="34"/>
      <c r="CN86" s="34"/>
      <c r="CO86" s="34"/>
      <c r="CP86" s="34"/>
      <c r="CQ86" s="34"/>
      <c r="CR86" s="34"/>
      <c r="CS86" s="34"/>
      <c r="CT86" s="34"/>
      <c r="CU86" s="34"/>
      <c r="CV86" s="34"/>
      <c r="CW86" s="34"/>
      <c r="CX86" s="9"/>
      <c r="CY86" s="9"/>
      <c r="CZ86" s="9"/>
      <c r="DA86" s="9"/>
      <c r="DB86" s="9"/>
      <c r="DC86" s="9"/>
      <c r="DD86" s="9"/>
      <c r="DE86" s="9"/>
      <c r="DF86" s="9"/>
      <c r="DG86" s="9"/>
      <c r="DH86" s="9"/>
      <c r="DI86" s="9"/>
      <c r="DJ86" s="9"/>
      <c r="DK86" s="9"/>
      <c r="DL86" s="9"/>
      <c r="DM86" s="9"/>
      <c r="DN86" s="9"/>
      <c r="DO86" s="9"/>
      <c r="DP86" s="9"/>
      <c r="DQ86" s="9"/>
      <c r="DR86" s="9"/>
      <c r="DS86" s="9"/>
      <c r="DT86" s="9"/>
      <c r="DU86" s="9"/>
      <c r="DV86" s="9"/>
      <c r="DW86" s="9"/>
      <c r="DX86" s="9"/>
      <c r="DY86" s="9"/>
      <c r="DZ86" s="9"/>
      <c r="EA86" s="9"/>
    </row>
    <row r="87" spans="1:131">
      <c r="A87" s="9"/>
      <c r="B87" s="9" t="s">
        <v>96</v>
      </c>
      <c r="C87" s="437">
        <v>0</v>
      </c>
      <c r="D87" s="437">
        <v>0</v>
      </c>
      <c r="E87" s="437">
        <v>0</v>
      </c>
      <c r="F87" s="437">
        <v>0</v>
      </c>
      <c r="G87" s="437">
        <v>0</v>
      </c>
      <c r="H87" s="437">
        <v>0</v>
      </c>
      <c r="I87" s="437">
        <v>0</v>
      </c>
      <c r="J87" s="437">
        <v>0</v>
      </c>
      <c r="K87" s="437">
        <v>0</v>
      </c>
      <c r="L87" s="438">
        <v>0</v>
      </c>
      <c r="M87" s="437">
        <v>0</v>
      </c>
      <c r="N87" s="437">
        <v>0</v>
      </c>
      <c r="O87" s="437">
        <v>0</v>
      </c>
      <c r="P87" s="437">
        <v>0</v>
      </c>
      <c r="Q87" s="437">
        <v>0</v>
      </c>
      <c r="R87" s="437">
        <v>0</v>
      </c>
      <c r="S87" s="437">
        <v>0</v>
      </c>
      <c r="T87" s="437">
        <v>0</v>
      </c>
      <c r="U87" s="437">
        <v>0</v>
      </c>
      <c r="V87" s="437">
        <v>0</v>
      </c>
      <c r="W87" s="437">
        <v>0</v>
      </c>
      <c r="X87" s="437">
        <v>0</v>
      </c>
      <c r="Y87" s="437">
        <v>0</v>
      </c>
      <c r="Z87" s="437"/>
      <c r="AA87" s="437">
        <v>0</v>
      </c>
      <c r="AB87" s="437">
        <v>0</v>
      </c>
      <c r="AC87" s="437">
        <v>0</v>
      </c>
      <c r="AD87" s="437">
        <v>0</v>
      </c>
      <c r="AE87" s="437">
        <v>0</v>
      </c>
      <c r="AF87" s="437">
        <v>0</v>
      </c>
      <c r="AG87" s="437">
        <v>0</v>
      </c>
      <c r="AH87" s="437">
        <v>0</v>
      </c>
      <c r="AI87" s="437">
        <v>0</v>
      </c>
      <c r="AJ87" s="437">
        <v>0</v>
      </c>
      <c r="AK87" s="437">
        <v>0</v>
      </c>
      <c r="AL87" s="437">
        <v>0</v>
      </c>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9"/>
      <c r="CY87" s="9"/>
      <c r="CZ87" s="9"/>
      <c r="DA87" s="9"/>
      <c r="DB87" s="9"/>
      <c r="DC87" s="9"/>
      <c r="DD87" s="9"/>
      <c r="DE87" s="9"/>
      <c r="DF87" s="9"/>
      <c r="DG87" s="9"/>
      <c r="DH87" s="9"/>
      <c r="DI87" s="9"/>
      <c r="DJ87" s="9"/>
      <c r="DK87" s="9"/>
      <c r="DL87" s="9"/>
      <c r="DM87" s="9"/>
      <c r="DN87" s="9"/>
      <c r="DO87" s="9"/>
      <c r="DP87" s="9"/>
      <c r="DQ87" s="9"/>
      <c r="DR87" s="9"/>
      <c r="DS87" s="9"/>
      <c r="DT87" s="9"/>
      <c r="DU87" s="9"/>
      <c r="DV87" s="9"/>
      <c r="DW87" s="9"/>
      <c r="DX87" s="9"/>
      <c r="DY87" s="9"/>
      <c r="DZ87" s="9"/>
      <c r="EA87" s="9"/>
    </row>
    <row r="88" spans="1:131">
      <c r="A88" s="9"/>
      <c r="B88" s="9" t="s">
        <v>99</v>
      </c>
      <c r="C88" s="437">
        <v>0</v>
      </c>
      <c r="D88" s="437">
        <v>0</v>
      </c>
      <c r="E88" s="437">
        <v>0</v>
      </c>
      <c r="F88" s="437">
        <v>0</v>
      </c>
      <c r="G88" s="437">
        <v>0</v>
      </c>
      <c r="H88" s="437">
        <v>0</v>
      </c>
      <c r="I88" s="437">
        <v>0</v>
      </c>
      <c r="J88" s="437">
        <v>0</v>
      </c>
      <c r="K88" s="437">
        <v>0</v>
      </c>
      <c r="L88" s="438">
        <v>0</v>
      </c>
      <c r="M88" s="437">
        <v>0</v>
      </c>
      <c r="N88" s="437">
        <v>0</v>
      </c>
      <c r="O88" s="437">
        <v>0</v>
      </c>
      <c r="P88" s="437">
        <v>0</v>
      </c>
      <c r="Q88" s="437">
        <v>0</v>
      </c>
      <c r="R88" s="437">
        <v>0</v>
      </c>
      <c r="S88" s="437">
        <v>0</v>
      </c>
      <c r="T88" s="437">
        <v>0</v>
      </c>
      <c r="U88" s="437">
        <v>0</v>
      </c>
      <c r="V88" s="437">
        <v>0</v>
      </c>
      <c r="W88" s="437">
        <v>0</v>
      </c>
      <c r="X88" s="437">
        <v>0</v>
      </c>
      <c r="Y88" s="437">
        <v>0</v>
      </c>
      <c r="Z88" s="437"/>
      <c r="AA88" s="437">
        <v>0</v>
      </c>
      <c r="AB88" s="437">
        <v>0</v>
      </c>
      <c r="AC88" s="437">
        <v>0</v>
      </c>
      <c r="AD88" s="437">
        <v>0</v>
      </c>
      <c r="AE88" s="437">
        <v>0</v>
      </c>
      <c r="AF88" s="437">
        <v>0</v>
      </c>
      <c r="AG88" s="437">
        <v>0</v>
      </c>
      <c r="AH88" s="437">
        <v>0</v>
      </c>
      <c r="AI88" s="437">
        <v>0</v>
      </c>
      <c r="AJ88" s="437">
        <v>0</v>
      </c>
      <c r="AK88" s="437">
        <v>0</v>
      </c>
      <c r="AL88" s="437">
        <v>0</v>
      </c>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9"/>
      <c r="CY88" s="9"/>
      <c r="CZ88" s="9"/>
      <c r="DA88" s="9"/>
      <c r="DB88" s="9"/>
      <c r="DC88" s="9"/>
      <c r="DD88" s="9"/>
      <c r="DE88" s="9"/>
      <c r="DF88" s="9"/>
      <c r="DG88" s="9"/>
      <c r="DH88" s="9"/>
      <c r="DI88" s="9"/>
      <c r="DJ88" s="9"/>
      <c r="DK88" s="9"/>
      <c r="DL88" s="9"/>
      <c r="DM88" s="9"/>
      <c r="DN88" s="9"/>
      <c r="DO88" s="9"/>
      <c r="DP88" s="9"/>
      <c r="DQ88" s="9"/>
      <c r="DR88" s="9"/>
      <c r="DS88" s="9"/>
      <c r="DT88" s="9"/>
      <c r="DU88" s="9"/>
      <c r="DV88" s="9"/>
      <c r="DW88" s="9"/>
      <c r="DX88" s="9"/>
      <c r="DY88" s="9"/>
      <c r="DZ88" s="9"/>
      <c r="EA88" s="9"/>
    </row>
    <row r="89" spans="1:131">
      <c r="A89" s="9"/>
      <c r="B89" s="9" t="s">
        <v>102</v>
      </c>
      <c r="C89" s="437">
        <v>0</v>
      </c>
      <c r="D89" s="437">
        <v>0</v>
      </c>
      <c r="E89" s="437">
        <v>0</v>
      </c>
      <c r="F89" s="437">
        <v>0</v>
      </c>
      <c r="G89" s="437">
        <v>0</v>
      </c>
      <c r="H89" s="437">
        <v>0</v>
      </c>
      <c r="I89" s="437">
        <v>0</v>
      </c>
      <c r="J89" s="437">
        <v>0</v>
      </c>
      <c r="K89" s="437">
        <v>0</v>
      </c>
      <c r="L89" s="438">
        <v>0</v>
      </c>
      <c r="M89" s="437">
        <v>0</v>
      </c>
      <c r="N89" s="437">
        <v>0</v>
      </c>
      <c r="O89" s="437">
        <v>0</v>
      </c>
      <c r="P89" s="437">
        <v>0</v>
      </c>
      <c r="Q89" s="437">
        <v>0</v>
      </c>
      <c r="R89" s="437">
        <v>0</v>
      </c>
      <c r="S89" s="437">
        <v>0</v>
      </c>
      <c r="T89" s="437">
        <v>0</v>
      </c>
      <c r="U89" s="437">
        <v>0</v>
      </c>
      <c r="V89" s="437">
        <v>0</v>
      </c>
      <c r="W89" s="437">
        <v>0</v>
      </c>
      <c r="X89" s="437">
        <v>0</v>
      </c>
      <c r="Y89" s="437">
        <v>0</v>
      </c>
      <c r="Z89" s="437"/>
      <c r="AA89" s="437">
        <v>0</v>
      </c>
      <c r="AB89" s="437">
        <v>0</v>
      </c>
      <c r="AC89" s="437">
        <v>0</v>
      </c>
      <c r="AD89" s="437">
        <v>0</v>
      </c>
      <c r="AE89" s="437">
        <v>0</v>
      </c>
      <c r="AF89" s="437">
        <v>0</v>
      </c>
      <c r="AG89" s="437">
        <v>0</v>
      </c>
      <c r="AH89" s="437">
        <v>0</v>
      </c>
      <c r="AI89" s="437">
        <v>0</v>
      </c>
      <c r="AJ89" s="437">
        <v>0</v>
      </c>
      <c r="AK89" s="437">
        <v>0</v>
      </c>
      <c r="AL89" s="437">
        <v>0</v>
      </c>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9"/>
      <c r="CY89" s="9"/>
      <c r="CZ89" s="9"/>
      <c r="DA89" s="9"/>
      <c r="DB89" s="9"/>
      <c r="DC89" s="9"/>
      <c r="DD89" s="9"/>
      <c r="DE89" s="9"/>
      <c r="DF89" s="9"/>
      <c r="DG89" s="9"/>
      <c r="DH89" s="9"/>
      <c r="DI89" s="9"/>
      <c r="DJ89" s="9"/>
      <c r="DK89" s="9"/>
      <c r="DL89" s="9"/>
      <c r="DM89" s="9"/>
      <c r="DN89" s="9"/>
      <c r="DO89" s="9"/>
      <c r="DP89" s="9"/>
      <c r="DQ89" s="9"/>
      <c r="DR89" s="9"/>
      <c r="DS89" s="9"/>
      <c r="DT89" s="9"/>
      <c r="DU89" s="9"/>
      <c r="DV89" s="9"/>
      <c r="DW89" s="9"/>
      <c r="DX89" s="9"/>
      <c r="DY89" s="9"/>
      <c r="DZ89" s="9"/>
      <c r="EA89" s="9"/>
    </row>
    <row r="90" spans="1:131">
      <c r="A90" s="9"/>
      <c r="B90" s="9" t="s">
        <v>105</v>
      </c>
      <c r="C90" s="437">
        <v>0</v>
      </c>
      <c r="D90" s="437">
        <v>0</v>
      </c>
      <c r="E90" s="437">
        <v>0</v>
      </c>
      <c r="F90" s="437">
        <v>0</v>
      </c>
      <c r="G90" s="437">
        <v>0</v>
      </c>
      <c r="H90" s="437">
        <v>0</v>
      </c>
      <c r="I90" s="437">
        <v>0</v>
      </c>
      <c r="J90" s="437">
        <v>0</v>
      </c>
      <c r="K90" s="437">
        <v>0</v>
      </c>
      <c r="L90" s="438">
        <v>0</v>
      </c>
      <c r="M90" s="437">
        <v>0</v>
      </c>
      <c r="N90" s="437">
        <v>0</v>
      </c>
      <c r="O90" s="437">
        <v>0</v>
      </c>
      <c r="P90" s="437">
        <v>0</v>
      </c>
      <c r="Q90" s="437">
        <v>0</v>
      </c>
      <c r="R90" s="437">
        <v>0</v>
      </c>
      <c r="S90" s="437">
        <v>0</v>
      </c>
      <c r="T90" s="437">
        <v>0</v>
      </c>
      <c r="U90" s="437">
        <v>0</v>
      </c>
      <c r="V90" s="437">
        <v>0</v>
      </c>
      <c r="W90" s="437">
        <v>0</v>
      </c>
      <c r="X90" s="437">
        <v>0</v>
      </c>
      <c r="Y90" s="437">
        <v>0</v>
      </c>
      <c r="Z90" s="437"/>
      <c r="AA90" s="437">
        <v>0</v>
      </c>
      <c r="AB90" s="437">
        <v>0</v>
      </c>
      <c r="AC90" s="437">
        <v>0</v>
      </c>
      <c r="AD90" s="437">
        <v>0</v>
      </c>
      <c r="AE90" s="437">
        <v>0</v>
      </c>
      <c r="AF90" s="437">
        <v>0</v>
      </c>
      <c r="AG90" s="437">
        <v>0</v>
      </c>
      <c r="AH90" s="437">
        <v>0</v>
      </c>
      <c r="AI90" s="437">
        <v>0</v>
      </c>
      <c r="AJ90" s="437">
        <v>0</v>
      </c>
      <c r="AK90" s="437">
        <v>0</v>
      </c>
      <c r="AL90" s="437">
        <v>0</v>
      </c>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9"/>
      <c r="CY90" s="9"/>
      <c r="CZ90" s="9"/>
      <c r="DA90" s="9"/>
      <c r="DB90" s="9"/>
      <c r="DC90" s="9"/>
      <c r="DD90" s="9"/>
      <c r="DE90" s="9"/>
      <c r="DF90" s="9"/>
      <c r="DG90" s="9"/>
      <c r="DH90" s="9"/>
      <c r="DI90" s="9"/>
      <c r="DJ90" s="9"/>
      <c r="DK90" s="9"/>
      <c r="DL90" s="9"/>
      <c r="DM90" s="9"/>
      <c r="DN90" s="9"/>
      <c r="DO90" s="9"/>
      <c r="DP90" s="9"/>
      <c r="DQ90" s="9"/>
      <c r="DR90" s="9"/>
      <c r="DS90" s="9"/>
      <c r="DT90" s="9"/>
      <c r="DU90" s="9"/>
      <c r="DV90" s="9"/>
      <c r="DW90" s="9"/>
      <c r="DX90" s="9"/>
      <c r="DY90" s="9"/>
      <c r="DZ90" s="9"/>
      <c r="EA90" s="9"/>
    </row>
    <row r="91" spans="1:131">
      <c r="A91" s="9"/>
      <c r="B91" s="9" t="s">
        <v>108</v>
      </c>
      <c r="C91" s="437">
        <v>0</v>
      </c>
      <c r="D91" s="437">
        <v>0</v>
      </c>
      <c r="E91" s="437">
        <v>0</v>
      </c>
      <c r="F91" s="437">
        <v>0</v>
      </c>
      <c r="G91" s="437">
        <v>0</v>
      </c>
      <c r="H91" s="437">
        <v>0</v>
      </c>
      <c r="I91" s="437">
        <v>0</v>
      </c>
      <c r="J91" s="437">
        <v>0</v>
      </c>
      <c r="K91" s="437">
        <v>0</v>
      </c>
      <c r="L91" s="438">
        <v>0</v>
      </c>
      <c r="M91" s="437">
        <v>0</v>
      </c>
      <c r="N91" s="437">
        <v>0</v>
      </c>
      <c r="O91" s="437">
        <v>0</v>
      </c>
      <c r="P91" s="437">
        <v>0</v>
      </c>
      <c r="Q91" s="437">
        <v>0</v>
      </c>
      <c r="R91" s="437">
        <v>0</v>
      </c>
      <c r="S91" s="437">
        <v>0</v>
      </c>
      <c r="T91" s="437">
        <v>0</v>
      </c>
      <c r="U91" s="437">
        <v>0</v>
      </c>
      <c r="V91" s="437">
        <v>0</v>
      </c>
      <c r="W91" s="437">
        <v>0</v>
      </c>
      <c r="X91" s="437">
        <v>0</v>
      </c>
      <c r="Y91" s="437">
        <v>0</v>
      </c>
      <c r="Z91" s="437"/>
      <c r="AA91" s="437">
        <v>0</v>
      </c>
      <c r="AB91" s="437">
        <v>0</v>
      </c>
      <c r="AC91" s="437">
        <v>0</v>
      </c>
      <c r="AD91" s="437">
        <v>0</v>
      </c>
      <c r="AE91" s="437">
        <v>0</v>
      </c>
      <c r="AF91" s="437">
        <v>0</v>
      </c>
      <c r="AG91" s="437">
        <v>0</v>
      </c>
      <c r="AH91" s="437">
        <v>0</v>
      </c>
      <c r="AI91" s="437">
        <v>0</v>
      </c>
      <c r="AJ91" s="437">
        <v>0</v>
      </c>
      <c r="AK91" s="437">
        <v>0</v>
      </c>
      <c r="AL91" s="437">
        <v>0</v>
      </c>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9"/>
      <c r="CY91" s="9"/>
      <c r="CZ91" s="9"/>
      <c r="DA91" s="9"/>
      <c r="DB91" s="9"/>
      <c r="DC91" s="9"/>
      <c r="DD91" s="9"/>
      <c r="DE91" s="9"/>
      <c r="DF91" s="9"/>
      <c r="DG91" s="9"/>
      <c r="DH91" s="9"/>
      <c r="DI91" s="9"/>
      <c r="DJ91" s="9"/>
      <c r="DK91" s="9"/>
      <c r="DL91" s="9"/>
      <c r="DM91" s="9"/>
      <c r="DN91" s="9"/>
      <c r="DO91" s="9"/>
      <c r="DP91" s="9"/>
      <c r="DQ91" s="9"/>
      <c r="DR91" s="9"/>
      <c r="DS91" s="9"/>
      <c r="DT91" s="9"/>
      <c r="DU91" s="9"/>
      <c r="DV91" s="9"/>
      <c r="DW91" s="9"/>
      <c r="DX91" s="9"/>
      <c r="DY91" s="9"/>
      <c r="DZ91" s="9"/>
      <c r="EA91" s="9"/>
    </row>
    <row r="92" spans="1:131">
      <c r="A92" s="9"/>
      <c r="B92" s="9" t="s">
        <v>111</v>
      </c>
      <c r="C92" s="437">
        <v>0</v>
      </c>
      <c r="D92" s="437">
        <v>0</v>
      </c>
      <c r="E92" s="437">
        <v>0</v>
      </c>
      <c r="F92" s="437">
        <v>0</v>
      </c>
      <c r="G92" s="437">
        <v>0</v>
      </c>
      <c r="H92" s="437">
        <v>0</v>
      </c>
      <c r="I92" s="437">
        <v>0</v>
      </c>
      <c r="J92" s="437">
        <v>0</v>
      </c>
      <c r="K92" s="437">
        <v>0</v>
      </c>
      <c r="L92" s="438">
        <v>0</v>
      </c>
      <c r="M92" s="437">
        <v>0</v>
      </c>
      <c r="N92" s="437">
        <v>0</v>
      </c>
      <c r="O92" s="437">
        <v>0</v>
      </c>
      <c r="P92" s="437">
        <v>0</v>
      </c>
      <c r="Q92" s="437">
        <v>0</v>
      </c>
      <c r="R92" s="437">
        <v>0</v>
      </c>
      <c r="S92" s="437">
        <v>0</v>
      </c>
      <c r="T92" s="437">
        <v>0</v>
      </c>
      <c r="U92" s="437">
        <v>0</v>
      </c>
      <c r="V92" s="437">
        <v>0</v>
      </c>
      <c r="W92" s="437">
        <v>0</v>
      </c>
      <c r="X92" s="437">
        <v>0</v>
      </c>
      <c r="Y92" s="437">
        <v>0</v>
      </c>
      <c r="Z92" s="437"/>
      <c r="AA92" s="437">
        <v>0</v>
      </c>
      <c r="AB92" s="437">
        <v>0</v>
      </c>
      <c r="AC92" s="437">
        <v>0</v>
      </c>
      <c r="AD92" s="437">
        <v>0</v>
      </c>
      <c r="AE92" s="437">
        <v>0</v>
      </c>
      <c r="AF92" s="437">
        <v>0</v>
      </c>
      <c r="AG92" s="437">
        <v>0</v>
      </c>
      <c r="AH92" s="437">
        <v>0</v>
      </c>
      <c r="AI92" s="437">
        <v>0</v>
      </c>
      <c r="AJ92" s="437">
        <v>0</v>
      </c>
      <c r="AK92" s="437">
        <v>0</v>
      </c>
      <c r="AL92" s="437">
        <v>0</v>
      </c>
      <c r="AM92" s="34"/>
      <c r="AN92" s="34"/>
      <c r="AO92" s="34"/>
      <c r="AP92" s="34"/>
      <c r="AQ92" s="34"/>
      <c r="AR92" s="34"/>
      <c r="AS92" s="34"/>
      <c r="AT92" s="34"/>
      <c r="AU92" s="34"/>
      <c r="AV92" s="34"/>
      <c r="AW92" s="34"/>
      <c r="AX92" s="34"/>
      <c r="AY92" s="34"/>
      <c r="AZ92" s="34"/>
      <c r="BA92" s="34"/>
      <c r="BB92" s="34"/>
      <c r="BC92" s="34"/>
      <c r="BD92" s="34"/>
      <c r="BE92" s="34"/>
      <c r="BF92" s="34"/>
      <c r="BG92" s="34"/>
      <c r="BH92" s="34"/>
      <c r="BI92" s="34"/>
      <c r="BJ92" s="34"/>
      <c r="BK92" s="34"/>
      <c r="BL92" s="34"/>
      <c r="BM92" s="34"/>
      <c r="BN92" s="34"/>
      <c r="BO92" s="34"/>
      <c r="BP92" s="34"/>
      <c r="BQ92" s="34"/>
      <c r="BR92" s="34"/>
      <c r="BS92" s="34"/>
      <c r="BT92" s="34"/>
      <c r="BU92" s="34"/>
      <c r="BV92" s="34"/>
      <c r="BW92" s="34"/>
      <c r="BX92" s="34"/>
      <c r="BY92" s="34"/>
      <c r="BZ92" s="34"/>
      <c r="CA92" s="34"/>
      <c r="CB92" s="34"/>
      <c r="CC92" s="34"/>
      <c r="CD92" s="34"/>
      <c r="CE92" s="34"/>
      <c r="CF92" s="34"/>
      <c r="CG92" s="34"/>
      <c r="CH92" s="34"/>
      <c r="CI92" s="34"/>
      <c r="CJ92" s="34"/>
      <c r="CK92" s="34"/>
      <c r="CL92" s="34"/>
      <c r="CM92" s="34"/>
      <c r="CN92" s="34"/>
      <c r="CO92" s="34"/>
      <c r="CP92" s="34"/>
      <c r="CQ92" s="34"/>
      <c r="CR92" s="34"/>
      <c r="CS92" s="34"/>
      <c r="CT92" s="34"/>
      <c r="CU92" s="34"/>
      <c r="CV92" s="34"/>
      <c r="CW92" s="34"/>
      <c r="CX92" s="9"/>
      <c r="CY92" s="9"/>
      <c r="CZ92" s="9"/>
      <c r="DA92" s="9"/>
      <c r="DB92" s="9"/>
      <c r="DC92" s="9"/>
      <c r="DD92" s="9"/>
      <c r="DE92" s="9"/>
      <c r="DF92" s="9"/>
      <c r="DG92" s="9"/>
      <c r="DH92" s="9"/>
      <c r="DI92" s="9"/>
      <c r="DJ92" s="9"/>
      <c r="DK92" s="9"/>
      <c r="DL92" s="9"/>
      <c r="DM92" s="9"/>
      <c r="DN92" s="9"/>
      <c r="DO92" s="9"/>
      <c r="DP92" s="9"/>
      <c r="DQ92" s="9"/>
      <c r="DR92" s="9"/>
      <c r="DS92" s="9"/>
      <c r="DT92" s="9"/>
      <c r="DU92" s="9"/>
      <c r="DV92" s="9"/>
      <c r="DW92" s="9"/>
      <c r="DX92" s="9"/>
      <c r="DY92" s="9"/>
      <c r="DZ92" s="9"/>
      <c r="EA92" s="9"/>
    </row>
    <row r="93" spans="1:131">
      <c r="A93" s="9"/>
      <c r="B93" s="9" t="s">
        <v>114</v>
      </c>
      <c r="C93" s="34">
        <v>3822.4043943278657</v>
      </c>
      <c r="D93" s="34">
        <v>8215.9389935462095</v>
      </c>
      <c r="E93" s="34">
        <v>1643.1877987092421</v>
      </c>
      <c r="F93" s="34">
        <v>9859.1267922554507</v>
      </c>
      <c r="G93" s="34">
        <v>9995.0470153139504</v>
      </c>
      <c r="H93" s="34">
        <v>3809.7303484812337</v>
      </c>
      <c r="I93" s="34">
        <v>22594.666024431568</v>
      </c>
      <c r="J93" s="34">
        <v>116.21716698687352</v>
      </c>
      <c r="K93" s="34">
        <v>157.31156480020979</v>
      </c>
      <c r="L93" s="410">
        <v>0.38116182371570045</v>
      </c>
      <c r="M93" s="34">
        <v>36.313283047495922</v>
      </c>
      <c r="N93" s="39">
        <v>326.86783033906278</v>
      </c>
      <c r="O93" s="39">
        <v>238.68842428593052</v>
      </c>
      <c r="P93" s="39">
        <v>193.36054104835117</v>
      </c>
      <c r="Q93" s="39">
        <v>167.63942995958192</v>
      </c>
      <c r="R93" s="39">
        <v>61.512327645214462</v>
      </c>
      <c r="S93" s="39">
        <v>39.769881375048328</v>
      </c>
      <c r="T93" s="39">
        <v>115.63029485857743</v>
      </c>
      <c r="U93" s="39">
        <v>115.32585614581963</v>
      </c>
      <c r="V93" s="39">
        <v>67.064638940546075</v>
      </c>
      <c r="W93" s="39">
        <v>152.34500632162332</v>
      </c>
      <c r="X93" s="39">
        <v>236.55133054776923</v>
      </c>
      <c r="Y93" s="39">
        <v>412.77875645997869</v>
      </c>
      <c r="Z93" s="39"/>
      <c r="AA93" s="39">
        <v>310.14402453878404</v>
      </c>
      <c r="AB93" s="39">
        <v>219.6706512581853</v>
      </c>
      <c r="AC93" s="39">
        <v>162.21525851726443</v>
      </c>
      <c r="AD93" s="39">
        <v>151.29987488120452</v>
      </c>
      <c r="AE93" s="39">
        <v>59.812925333221855</v>
      </c>
      <c r="AF93" s="39">
        <v>18.477447131638602</v>
      </c>
      <c r="AG93" s="39">
        <v>56.917061628625262</v>
      </c>
      <c r="AH93" s="39">
        <v>40.748003239961719</v>
      </c>
      <c r="AI93" s="39">
        <v>38.53245752997389</v>
      </c>
      <c r="AJ93" s="39">
        <v>93.592109530865443</v>
      </c>
      <c r="AK93" s="39">
        <v>186.26429723821033</v>
      </c>
      <c r="AL93" s="39">
        <v>357.1959655724275</v>
      </c>
      <c r="AM93" s="34"/>
      <c r="AN93" s="34"/>
      <c r="AO93" s="34"/>
      <c r="AP93" s="34"/>
      <c r="AQ93" s="34"/>
      <c r="AR93" s="34"/>
      <c r="AS93" s="34"/>
      <c r="AT93" s="34"/>
      <c r="AU93" s="34"/>
      <c r="AV93" s="34"/>
      <c r="AW93" s="34"/>
      <c r="AX93" s="34"/>
      <c r="AY93" s="34"/>
      <c r="AZ93" s="34"/>
      <c r="BA93" s="34"/>
      <c r="BB93" s="34"/>
      <c r="BC93" s="34"/>
      <c r="BD93" s="34"/>
      <c r="BE93" s="34"/>
      <c r="BF93" s="34"/>
      <c r="BG93" s="34"/>
      <c r="BH93" s="34"/>
      <c r="BI93" s="34"/>
      <c r="BJ93" s="34"/>
      <c r="BK93" s="34"/>
      <c r="BL93" s="34"/>
      <c r="BM93" s="34"/>
      <c r="BN93" s="34"/>
      <c r="BO93" s="34"/>
      <c r="BP93" s="34"/>
      <c r="BQ93" s="34"/>
      <c r="BR93" s="34"/>
      <c r="BS93" s="34"/>
      <c r="BT93" s="34"/>
      <c r="BU93" s="34"/>
      <c r="BV93" s="34"/>
      <c r="BW93" s="34"/>
      <c r="BX93" s="34"/>
      <c r="BY93" s="34"/>
      <c r="BZ93" s="34"/>
      <c r="CA93" s="34"/>
      <c r="CB93" s="34"/>
      <c r="CC93" s="34"/>
      <c r="CD93" s="34"/>
      <c r="CE93" s="34"/>
      <c r="CF93" s="34"/>
      <c r="CG93" s="34"/>
      <c r="CH93" s="34"/>
      <c r="CI93" s="34"/>
      <c r="CJ93" s="34"/>
      <c r="CK93" s="34"/>
      <c r="CL93" s="34"/>
      <c r="CM93" s="34"/>
      <c r="CN93" s="34"/>
      <c r="CO93" s="34"/>
      <c r="CP93" s="34"/>
      <c r="CQ93" s="34"/>
      <c r="CR93" s="34"/>
      <c r="CS93" s="34"/>
      <c r="CT93" s="34"/>
      <c r="CU93" s="34"/>
      <c r="CV93" s="34"/>
      <c r="CW93" s="34"/>
      <c r="CX93" s="9"/>
      <c r="CY93" s="9"/>
      <c r="CZ93" s="9"/>
      <c r="DA93" s="9"/>
      <c r="DB93" s="9"/>
      <c r="DC93" s="9"/>
      <c r="DD93" s="9"/>
      <c r="DE93" s="9"/>
      <c r="DF93" s="9"/>
      <c r="DG93" s="9"/>
      <c r="DH93" s="9"/>
      <c r="DI93" s="9"/>
      <c r="DJ93" s="9"/>
      <c r="DK93" s="9"/>
      <c r="DL93" s="9"/>
      <c r="DM93" s="9"/>
      <c r="DN93" s="9"/>
      <c r="DO93" s="9"/>
      <c r="DP93" s="9"/>
      <c r="DQ93" s="9"/>
      <c r="DR93" s="9"/>
      <c r="DS93" s="9"/>
      <c r="DT93" s="9"/>
      <c r="DU93" s="9"/>
      <c r="DV93" s="9"/>
      <c r="DW93" s="9"/>
      <c r="DX93" s="9"/>
      <c r="DY93" s="9"/>
      <c r="DZ93" s="9"/>
      <c r="EA93" s="9"/>
    </row>
    <row r="94" spans="1:131">
      <c r="A94" s="9"/>
      <c r="B94" s="9" t="s">
        <v>117</v>
      </c>
      <c r="C94" s="34">
        <v>4888.9421304361276</v>
      </c>
      <c r="D94" s="34">
        <v>11632.25621190845</v>
      </c>
      <c r="E94" s="34">
        <v>2326.45124238169</v>
      </c>
      <c r="F94" s="34">
        <v>13958.707454290141</v>
      </c>
      <c r="G94" s="34">
        <v>14151.145453189376</v>
      </c>
      <c r="H94" s="34">
        <v>5444.2587791963479</v>
      </c>
      <c r="I94" s="34">
        <v>25011.193431466036</v>
      </c>
      <c r="J94" s="34">
        <v>130.76806202813958</v>
      </c>
      <c r="K94" s="34">
        <v>169.28775757917458</v>
      </c>
      <c r="L94" s="410">
        <v>0.38471145981306692</v>
      </c>
      <c r="M94" s="34">
        <v>46.445514673643672</v>
      </c>
      <c r="N94" s="39">
        <v>418.07138700453811</v>
      </c>
      <c r="O94" s="39">
        <v>305.28792172553318</v>
      </c>
      <c r="P94" s="39">
        <v>247.31252844361475</v>
      </c>
      <c r="Q94" s="39">
        <v>214.4146425396238</v>
      </c>
      <c r="R94" s="39">
        <v>78.675665665343743</v>
      </c>
      <c r="S94" s="39">
        <v>50.866582527333563</v>
      </c>
      <c r="T94" s="39">
        <v>147.89377621261752</v>
      </c>
      <c r="U94" s="39">
        <v>147.50439217697073</v>
      </c>
      <c r="V94" s="39">
        <v>85.777198055094004</v>
      </c>
      <c r="W94" s="39">
        <v>194.85272695703605</v>
      </c>
      <c r="X94" s="39">
        <v>302.55453024327869</v>
      </c>
      <c r="Y94" s="39">
        <v>527.95341487176142</v>
      </c>
      <c r="Z94" s="39"/>
      <c r="AA94" s="39">
        <v>396.68125913645008</v>
      </c>
      <c r="AB94" s="39">
        <v>280.96375761553338</v>
      </c>
      <c r="AC94" s="39">
        <v>207.47700393539716</v>
      </c>
      <c r="AD94" s="39">
        <v>193.51598008156441</v>
      </c>
      <c r="AE94" s="39">
        <v>76.502091468958341</v>
      </c>
      <c r="AF94" s="39">
        <v>23.633075003477941</v>
      </c>
      <c r="AG94" s="39">
        <v>72.798215947464058</v>
      </c>
      <c r="AH94" s="39">
        <v>52.117622632135635</v>
      </c>
      <c r="AI94" s="39">
        <v>49.283889294150825</v>
      </c>
      <c r="AJ94" s="39">
        <v>119.70643609578089</v>
      </c>
      <c r="AK94" s="39">
        <v>238.23627126299675</v>
      </c>
      <c r="AL94" s="39">
        <v>456.8617615394736</v>
      </c>
      <c r="AM94" s="34"/>
      <c r="AN94" s="34"/>
      <c r="AO94" s="34"/>
      <c r="AP94" s="34"/>
      <c r="AQ94" s="34"/>
      <c r="AR94" s="34"/>
      <c r="AS94" s="34"/>
      <c r="AT94" s="34"/>
      <c r="AU94" s="34"/>
      <c r="AV94" s="34"/>
      <c r="AW94" s="34"/>
      <c r="AX94" s="34"/>
      <c r="AY94" s="34"/>
      <c r="AZ94" s="34"/>
      <c r="BA94" s="34"/>
      <c r="BB94" s="34"/>
      <c r="BC94" s="34"/>
      <c r="BD94" s="34"/>
      <c r="BE94" s="34"/>
      <c r="BF94" s="34"/>
      <c r="BG94" s="34"/>
      <c r="BH94" s="34"/>
      <c r="BI94" s="34"/>
      <c r="BJ94" s="34"/>
      <c r="BK94" s="34"/>
      <c r="BL94" s="34"/>
      <c r="BM94" s="34"/>
      <c r="BN94" s="34"/>
      <c r="BO94" s="34"/>
      <c r="BP94" s="34"/>
      <c r="BQ94" s="34"/>
      <c r="BR94" s="34"/>
      <c r="BS94" s="34"/>
      <c r="BT94" s="34"/>
      <c r="BU94" s="34"/>
      <c r="BV94" s="34"/>
      <c r="BW94" s="34"/>
      <c r="BX94" s="34"/>
      <c r="BY94" s="34"/>
      <c r="BZ94" s="34"/>
      <c r="CA94" s="34"/>
      <c r="CB94" s="34"/>
      <c r="CC94" s="34"/>
      <c r="CD94" s="34"/>
      <c r="CE94" s="34"/>
      <c r="CF94" s="34"/>
      <c r="CG94" s="34"/>
      <c r="CH94" s="34"/>
      <c r="CI94" s="34"/>
      <c r="CJ94" s="34"/>
      <c r="CK94" s="34"/>
      <c r="CL94" s="34"/>
      <c r="CM94" s="34"/>
      <c r="CN94" s="34"/>
      <c r="CO94" s="34"/>
      <c r="CP94" s="34"/>
      <c r="CQ94" s="34"/>
      <c r="CR94" s="34"/>
      <c r="CS94" s="34"/>
      <c r="CT94" s="34"/>
      <c r="CU94" s="34"/>
      <c r="CV94" s="34"/>
      <c r="CW94" s="34"/>
      <c r="CX94" s="9"/>
      <c r="CY94" s="9"/>
      <c r="CZ94" s="9"/>
      <c r="DA94" s="9"/>
      <c r="DB94" s="9"/>
      <c r="DC94" s="9"/>
      <c r="DD94" s="9"/>
      <c r="DE94" s="9"/>
      <c r="DF94" s="9"/>
      <c r="DG94" s="9"/>
      <c r="DH94" s="9"/>
      <c r="DI94" s="9"/>
      <c r="DJ94" s="9"/>
      <c r="DK94" s="9"/>
      <c r="DL94" s="9"/>
      <c r="DM94" s="9"/>
      <c r="DN94" s="9"/>
      <c r="DO94" s="9"/>
      <c r="DP94" s="9"/>
      <c r="DQ94" s="9"/>
      <c r="DR94" s="9"/>
      <c r="DS94" s="9"/>
      <c r="DT94" s="9"/>
      <c r="DU94" s="9"/>
      <c r="DV94" s="9"/>
      <c r="DW94" s="9"/>
      <c r="DX94" s="9"/>
      <c r="DY94" s="9"/>
      <c r="DZ94" s="9"/>
      <c r="EA94" s="9"/>
    </row>
    <row r="95" spans="1:131">
      <c r="A95" s="9"/>
      <c r="B95" s="9" t="s">
        <v>120</v>
      </c>
      <c r="C95" s="437">
        <v>0</v>
      </c>
      <c r="D95" s="437">
        <v>0</v>
      </c>
      <c r="E95" s="437">
        <v>0</v>
      </c>
      <c r="F95" s="437">
        <v>0</v>
      </c>
      <c r="G95" s="437">
        <v>0</v>
      </c>
      <c r="H95" s="437">
        <v>0</v>
      </c>
      <c r="I95" s="437">
        <v>0</v>
      </c>
      <c r="J95" s="437">
        <v>0</v>
      </c>
      <c r="K95" s="437">
        <v>0</v>
      </c>
      <c r="L95" s="438">
        <v>0</v>
      </c>
      <c r="M95" s="437">
        <v>0</v>
      </c>
      <c r="N95" s="437">
        <v>0</v>
      </c>
      <c r="O95" s="437">
        <v>0</v>
      </c>
      <c r="P95" s="437">
        <v>0</v>
      </c>
      <c r="Q95" s="437">
        <v>0</v>
      </c>
      <c r="R95" s="437">
        <v>0</v>
      </c>
      <c r="S95" s="437">
        <v>0</v>
      </c>
      <c r="T95" s="437">
        <v>0</v>
      </c>
      <c r="U95" s="437">
        <v>0</v>
      </c>
      <c r="V95" s="437">
        <v>0</v>
      </c>
      <c r="W95" s="437">
        <v>0</v>
      </c>
      <c r="X95" s="437">
        <v>0</v>
      </c>
      <c r="Y95" s="437">
        <v>0</v>
      </c>
      <c r="Z95" s="437"/>
      <c r="AA95" s="437">
        <v>0</v>
      </c>
      <c r="AB95" s="437">
        <v>0</v>
      </c>
      <c r="AC95" s="437">
        <v>0</v>
      </c>
      <c r="AD95" s="437">
        <v>0</v>
      </c>
      <c r="AE95" s="437">
        <v>0</v>
      </c>
      <c r="AF95" s="437">
        <v>0</v>
      </c>
      <c r="AG95" s="437">
        <v>0</v>
      </c>
      <c r="AH95" s="437">
        <v>0</v>
      </c>
      <c r="AI95" s="437">
        <v>0</v>
      </c>
      <c r="AJ95" s="437">
        <v>0</v>
      </c>
      <c r="AK95" s="437">
        <v>0</v>
      </c>
      <c r="AL95" s="437">
        <v>0</v>
      </c>
      <c r="AM95" s="34"/>
      <c r="AN95" s="34"/>
      <c r="AO95" s="34"/>
      <c r="AP95" s="34"/>
      <c r="AQ95" s="34"/>
      <c r="AR95" s="34"/>
      <c r="AS95" s="34"/>
      <c r="AT95" s="34"/>
      <c r="AU95" s="34"/>
      <c r="AV95" s="34"/>
      <c r="AW95" s="34"/>
      <c r="AX95" s="34"/>
      <c r="AY95" s="34"/>
      <c r="AZ95" s="34"/>
      <c r="BA95" s="34"/>
      <c r="BB95" s="34"/>
      <c r="BC95" s="34"/>
      <c r="BD95" s="34"/>
      <c r="BE95" s="34"/>
      <c r="BF95" s="34"/>
      <c r="BG95" s="34"/>
      <c r="BH95" s="34"/>
      <c r="BI95" s="34"/>
      <c r="BJ95" s="34"/>
      <c r="BK95" s="34"/>
      <c r="BL95" s="34"/>
      <c r="BM95" s="34"/>
      <c r="BN95" s="34"/>
      <c r="BO95" s="34"/>
      <c r="BP95" s="34"/>
      <c r="BQ95" s="34"/>
      <c r="BR95" s="34"/>
      <c r="BS95" s="34"/>
      <c r="BT95" s="34"/>
      <c r="BU95" s="34"/>
      <c r="BV95" s="34"/>
      <c r="BW95" s="34"/>
      <c r="BX95" s="34"/>
      <c r="BY95" s="34"/>
      <c r="BZ95" s="34"/>
      <c r="CA95" s="34"/>
      <c r="CB95" s="34"/>
      <c r="CC95" s="34"/>
      <c r="CD95" s="34"/>
      <c r="CE95" s="34"/>
      <c r="CF95" s="34"/>
      <c r="CG95" s="34"/>
      <c r="CH95" s="34"/>
      <c r="CI95" s="34"/>
      <c r="CJ95" s="34"/>
      <c r="CK95" s="34"/>
      <c r="CL95" s="34"/>
      <c r="CM95" s="34"/>
      <c r="CN95" s="34"/>
      <c r="CO95" s="34"/>
      <c r="CP95" s="34"/>
      <c r="CQ95" s="34"/>
      <c r="CR95" s="34"/>
      <c r="CS95" s="34"/>
      <c r="CT95" s="34"/>
      <c r="CU95" s="34"/>
      <c r="CV95" s="34"/>
      <c r="CW95" s="34"/>
      <c r="CX95" s="9"/>
      <c r="CY95" s="9"/>
      <c r="CZ95" s="9"/>
      <c r="DA95" s="9"/>
      <c r="DB95" s="9"/>
      <c r="DC95" s="9"/>
      <c r="DD95" s="9"/>
      <c r="DE95" s="9"/>
      <c r="DF95" s="9"/>
      <c r="DG95" s="9"/>
      <c r="DH95" s="9"/>
      <c r="DI95" s="9"/>
      <c r="DJ95" s="9"/>
      <c r="DK95" s="9"/>
      <c r="DL95" s="9"/>
      <c r="DM95" s="9"/>
      <c r="DN95" s="9"/>
      <c r="DO95" s="9"/>
      <c r="DP95" s="9"/>
      <c r="DQ95" s="9"/>
      <c r="DR95" s="9"/>
      <c r="DS95" s="9"/>
      <c r="DT95" s="9"/>
      <c r="DU95" s="9"/>
      <c r="DV95" s="9"/>
      <c r="DW95" s="9"/>
      <c r="DX95" s="9"/>
      <c r="DY95" s="9"/>
      <c r="DZ95" s="9"/>
      <c r="EA95" s="9"/>
    </row>
    <row r="96" spans="1:131">
      <c r="A96" s="9"/>
      <c r="B96" s="9" t="s">
        <v>123</v>
      </c>
      <c r="C96" s="34">
        <v>3867.7113310152445</v>
      </c>
      <c r="D96" s="34">
        <v>9455.4012779609584</v>
      </c>
      <c r="E96" s="34">
        <v>1891.0802555921919</v>
      </c>
      <c r="F96" s="34">
        <v>11346.481533553149</v>
      </c>
      <c r="G96" s="34">
        <v>11502.906776220803</v>
      </c>
      <c r="H96" s="34">
        <v>3970.1969721727019</v>
      </c>
      <c r="I96" s="34">
        <v>25698.70647710286</v>
      </c>
      <c r="J96" s="34">
        <v>134.90785789283433</v>
      </c>
      <c r="K96" s="34">
        <v>181.55043025550398</v>
      </c>
      <c r="L96" s="410">
        <v>0.34514727880608637</v>
      </c>
      <c r="M96" s="34">
        <v>36.743704176768674</v>
      </c>
      <c r="N96" s="39">
        <v>330.74219279958334</v>
      </c>
      <c r="O96" s="39">
        <v>241.51759676783232</v>
      </c>
      <c r="P96" s="39">
        <v>195.65244239822275</v>
      </c>
      <c r="Q96" s="39">
        <v>169.62645913178511</v>
      </c>
      <c r="R96" s="39">
        <v>62.241432901123709</v>
      </c>
      <c r="S96" s="39">
        <v>40.241273543861674</v>
      </c>
      <c r="T96" s="39">
        <v>117.00086005991368</v>
      </c>
      <c r="U96" s="39">
        <v>116.69281283689345</v>
      </c>
      <c r="V96" s="39">
        <v>67.859555709412845</v>
      </c>
      <c r="W96" s="39">
        <v>154.15075078086852</v>
      </c>
      <c r="X96" s="39">
        <v>239.35517207022741</v>
      </c>
      <c r="Y96" s="39">
        <v>417.67142061989307</v>
      </c>
      <c r="Z96" s="39"/>
      <c r="AA96" s="39">
        <v>313.82015982802739</v>
      </c>
      <c r="AB96" s="39">
        <v>222.27440618882494</v>
      </c>
      <c r="AC96" s="39">
        <v>164.13799501743028</v>
      </c>
      <c r="AD96" s="39">
        <v>153.09323140366541</v>
      </c>
      <c r="AE96" s="39">
        <v>60.521887583574156</v>
      </c>
      <c r="AF96" s="39">
        <v>18.696460203248662</v>
      </c>
      <c r="AG96" s="39">
        <v>57.591699223607733</v>
      </c>
      <c r="AH96" s="39">
        <v>41.230989081457089</v>
      </c>
      <c r="AI96" s="39">
        <v>38.989182521267395</v>
      </c>
      <c r="AJ96" s="39">
        <v>94.701456251805155</v>
      </c>
      <c r="AK96" s="39">
        <v>188.47208685215429</v>
      </c>
      <c r="AL96" s="39">
        <v>361.42980724056497</v>
      </c>
      <c r="AM96" s="34"/>
      <c r="AN96" s="34"/>
      <c r="AO96" s="34"/>
      <c r="AP96" s="34"/>
      <c r="AQ96" s="34"/>
      <c r="AR96" s="34"/>
      <c r="AS96" s="34"/>
      <c r="AT96" s="34"/>
      <c r="AU96" s="34"/>
      <c r="AV96" s="34"/>
      <c r="AW96" s="34"/>
      <c r="AX96" s="34"/>
      <c r="AY96" s="34"/>
      <c r="AZ96" s="34"/>
      <c r="BA96" s="34"/>
      <c r="BB96" s="34"/>
      <c r="BC96" s="34"/>
      <c r="BD96" s="34"/>
      <c r="BE96" s="34"/>
      <c r="BF96" s="34"/>
      <c r="BG96" s="34"/>
      <c r="BH96" s="34"/>
      <c r="BI96" s="34"/>
      <c r="BJ96" s="34"/>
      <c r="BK96" s="34"/>
      <c r="BL96" s="34"/>
      <c r="BM96" s="34"/>
      <c r="BN96" s="34"/>
      <c r="BO96" s="34"/>
      <c r="BP96" s="34"/>
      <c r="BQ96" s="34"/>
      <c r="BR96" s="34"/>
      <c r="BS96" s="34"/>
      <c r="BT96" s="34"/>
      <c r="BU96" s="34"/>
      <c r="BV96" s="34"/>
      <c r="BW96" s="34"/>
      <c r="BX96" s="34"/>
      <c r="BY96" s="34"/>
      <c r="BZ96" s="34"/>
      <c r="CA96" s="34"/>
      <c r="CB96" s="34"/>
      <c r="CC96" s="34"/>
      <c r="CD96" s="34"/>
      <c r="CE96" s="34"/>
      <c r="CF96" s="34"/>
      <c r="CG96" s="34"/>
      <c r="CH96" s="34"/>
      <c r="CI96" s="34"/>
      <c r="CJ96" s="34"/>
      <c r="CK96" s="34"/>
      <c r="CL96" s="34"/>
      <c r="CM96" s="34"/>
      <c r="CN96" s="34"/>
      <c r="CO96" s="34"/>
      <c r="CP96" s="34"/>
      <c r="CQ96" s="34"/>
      <c r="CR96" s="34"/>
      <c r="CS96" s="34"/>
      <c r="CT96" s="34"/>
      <c r="CU96" s="34"/>
      <c r="CV96" s="34"/>
      <c r="CW96" s="34"/>
      <c r="CX96" s="9"/>
      <c r="CY96" s="9"/>
      <c r="CZ96" s="9"/>
      <c r="DA96" s="9"/>
      <c r="DB96" s="9"/>
      <c r="DC96" s="9"/>
      <c r="DD96" s="9"/>
      <c r="DE96" s="9"/>
      <c r="DF96" s="9"/>
      <c r="DG96" s="9"/>
      <c r="DH96" s="9"/>
      <c r="DI96" s="9"/>
      <c r="DJ96" s="9"/>
      <c r="DK96" s="9"/>
      <c r="DL96" s="9"/>
      <c r="DM96" s="9"/>
      <c r="DN96" s="9"/>
      <c r="DO96" s="9"/>
      <c r="DP96" s="9"/>
      <c r="DQ96" s="9"/>
      <c r="DR96" s="9"/>
      <c r="DS96" s="9"/>
      <c r="DT96" s="9"/>
      <c r="DU96" s="9"/>
      <c r="DV96" s="9"/>
      <c r="DW96" s="9"/>
      <c r="DX96" s="9"/>
      <c r="DY96" s="9"/>
      <c r="DZ96" s="9"/>
      <c r="EA96" s="9"/>
    </row>
    <row r="97" spans="1:131">
      <c r="A97" s="9"/>
      <c r="B97" s="9" t="s">
        <v>126</v>
      </c>
      <c r="C97" s="437">
        <v>0</v>
      </c>
      <c r="D97" s="437">
        <v>0</v>
      </c>
      <c r="E97" s="437">
        <v>0</v>
      </c>
      <c r="F97" s="437">
        <v>0</v>
      </c>
      <c r="G97" s="437">
        <v>0</v>
      </c>
      <c r="H97" s="437">
        <v>0</v>
      </c>
      <c r="I97" s="437">
        <v>0</v>
      </c>
      <c r="J97" s="437">
        <v>0</v>
      </c>
      <c r="K97" s="437">
        <v>0</v>
      </c>
      <c r="L97" s="438">
        <v>0</v>
      </c>
      <c r="M97" s="437">
        <v>0</v>
      </c>
      <c r="N97" s="437">
        <v>0</v>
      </c>
      <c r="O97" s="437">
        <v>0</v>
      </c>
      <c r="P97" s="437">
        <v>0</v>
      </c>
      <c r="Q97" s="437">
        <v>0</v>
      </c>
      <c r="R97" s="437">
        <v>0</v>
      </c>
      <c r="S97" s="437">
        <v>0</v>
      </c>
      <c r="T97" s="437">
        <v>0</v>
      </c>
      <c r="U97" s="437">
        <v>0</v>
      </c>
      <c r="V97" s="437">
        <v>0</v>
      </c>
      <c r="W97" s="437">
        <v>0</v>
      </c>
      <c r="X97" s="437">
        <v>0</v>
      </c>
      <c r="Y97" s="437">
        <v>0</v>
      </c>
      <c r="Z97" s="437"/>
      <c r="AA97" s="437">
        <v>0</v>
      </c>
      <c r="AB97" s="437">
        <v>0</v>
      </c>
      <c r="AC97" s="437">
        <v>0</v>
      </c>
      <c r="AD97" s="437">
        <v>0</v>
      </c>
      <c r="AE97" s="437">
        <v>0</v>
      </c>
      <c r="AF97" s="437">
        <v>0</v>
      </c>
      <c r="AG97" s="437">
        <v>0</v>
      </c>
      <c r="AH97" s="437">
        <v>0</v>
      </c>
      <c r="AI97" s="437">
        <v>0</v>
      </c>
      <c r="AJ97" s="437">
        <v>0</v>
      </c>
      <c r="AK97" s="437">
        <v>0</v>
      </c>
      <c r="AL97" s="437">
        <v>0</v>
      </c>
      <c r="AM97" s="34"/>
      <c r="AN97" s="34"/>
      <c r="AO97" s="34"/>
      <c r="AP97" s="34"/>
      <c r="AQ97" s="34"/>
      <c r="AR97" s="34"/>
      <c r="AS97" s="34"/>
      <c r="AT97" s="34"/>
      <c r="AU97" s="34"/>
      <c r="AV97" s="34"/>
      <c r="AW97" s="34"/>
      <c r="AX97" s="34"/>
      <c r="AY97" s="34"/>
      <c r="AZ97" s="34"/>
      <c r="BA97" s="34"/>
      <c r="BB97" s="34"/>
      <c r="BC97" s="34"/>
      <c r="BD97" s="34"/>
      <c r="BE97" s="34"/>
      <c r="BF97" s="34"/>
      <c r="BG97" s="34"/>
      <c r="BH97" s="34"/>
      <c r="BI97" s="34"/>
      <c r="BJ97" s="34"/>
      <c r="BK97" s="34"/>
      <c r="BL97" s="34"/>
      <c r="BM97" s="34"/>
      <c r="BN97" s="34"/>
      <c r="BO97" s="34"/>
      <c r="BP97" s="34"/>
      <c r="BQ97" s="34"/>
      <c r="BR97" s="34"/>
      <c r="BS97" s="34"/>
      <c r="BT97" s="34"/>
      <c r="BU97" s="34"/>
      <c r="BV97" s="34"/>
      <c r="BW97" s="34"/>
      <c r="BX97" s="34"/>
      <c r="BY97" s="34"/>
      <c r="BZ97" s="34"/>
      <c r="CA97" s="34"/>
      <c r="CB97" s="34"/>
      <c r="CC97" s="34"/>
      <c r="CD97" s="34"/>
      <c r="CE97" s="34"/>
      <c r="CF97" s="34"/>
      <c r="CG97" s="34"/>
      <c r="CH97" s="34"/>
      <c r="CI97" s="34"/>
      <c r="CJ97" s="34"/>
      <c r="CK97" s="34"/>
      <c r="CL97" s="34"/>
      <c r="CM97" s="34"/>
      <c r="CN97" s="34"/>
      <c r="CO97" s="34"/>
      <c r="CP97" s="34"/>
      <c r="CQ97" s="34"/>
      <c r="CR97" s="34"/>
      <c r="CS97" s="34"/>
      <c r="CT97" s="34"/>
      <c r="CU97" s="34"/>
      <c r="CV97" s="34"/>
      <c r="CW97" s="34"/>
      <c r="CX97" s="9"/>
      <c r="CY97" s="9"/>
      <c r="CZ97" s="9"/>
      <c r="DA97" s="9"/>
      <c r="DB97" s="9"/>
      <c r="DC97" s="9"/>
      <c r="DD97" s="9"/>
      <c r="DE97" s="9"/>
      <c r="DF97" s="9"/>
      <c r="DG97" s="9"/>
      <c r="DH97" s="9"/>
      <c r="DI97" s="9"/>
      <c r="DJ97" s="9"/>
      <c r="DK97" s="9"/>
      <c r="DL97" s="9"/>
      <c r="DM97" s="9"/>
      <c r="DN97" s="9"/>
      <c r="DO97" s="9"/>
      <c r="DP97" s="9"/>
      <c r="DQ97" s="9"/>
      <c r="DR97" s="9"/>
      <c r="DS97" s="9"/>
      <c r="DT97" s="9"/>
      <c r="DU97" s="9"/>
      <c r="DV97" s="9"/>
      <c r="DW97" s="9"/>
      <c r="DX97" s="9"/>
      <c r="DY97" s="9"/>
      <c r="DZ97" s="9"/>
      <c r="EA97" s="9"/>
    </row>
    <row r="98" spans="1:131">
      <c r="A98" s="9"/>
      <c r="B98" s="9" t="s">
        <v>1359</v>
      </c>
      <c r="C98" s="437">
        <v>0</v>
      </c>
      <c r="D98" s="437">
        <v>0</v>
      </c>
      <c r="E98" s="437">
        <v>0</v>
      </c>
      <c r="F98" s="437">
        <v>0</v>
      </c>
      <c r="G98" s="437">
        <v>0</v>
      </c>
      <c r="H98" s="437">
        <v>0</v>
      </c>
      <c r="I98" s="437">
        <v>0</v>
      </c>
      <c r="J98" s="437">
        <v>0</v>
      </c>
      <c r="K98" s="437">
        <v>0</v>
      </c>
      <c r="L98" s="438">
        <v>0</v>
      </c>
      <c r="M98" s="437">
        <v>0</v>
      </c>
      <c r="N98" s="437">
        <v>0</v>
      </c>
      <c r="O98" s="437">
        <v>0</v>
      </c>
      <c r="P98" s="437">
        <v>0</v>
      </c>
      <c r="Q98" s="437">
        <v>0</v>
      </c>
      <c r="R98" s="437">
        <v>0</v>
      </c>
      <c r="S98" s="437">
        <v>0</v>
      </c>
      <c r="T98" s="437">
        <v>0</v>
      </c>
      <c r="U98" s="437">
        <v>0</v>
      </c>
      <c r="V98" s="437">
        <v>0</v>
      </c>
      <c r="W98" s="437">
        <v>0</v>
      </c>
      <c r="X98" s="437">
        <v>0</v>
      </c>
      <c r="Y98" s="437">
        <v>0</v>
      </c>
      <c r="Z98" s="437"/>
      <c r="AA98" s="437">
        <v>0</v>
      </c>
      <c r="AB98" s="437">
        <v>0</v>
      </c>
      <c r="AC98" s="437">
        <v>0</v>
      </c>
      <c r="AD98" s="437">
        <v>0</v>
      </c>
      <c r="AE98" s="437">
        <v>0</v>
      </c>
      <c r="AF98" s="437">
        <v>0</v>
      </c>
      <c r="AG98" s="437">
        <v>0</v>
      </c>
      <c r="AH98" s="437">
        <v>0</v>
      </c>
      <c r="AI98" s="437">
        <v>0</v>
      </c>
      <c r="AJ98" s="437">
        <v>0</v>
      </c>
      <c r="AK98" s="437">
        <v>0</v>
      </c>
      <c r="AL98" s="437">
        <v>0</v>
      </c>
      <c r="AM98" s="34"/>
      <c r="AN98" s="34"/>
      <c r="AO98" s="34"/>
      <c r="AP98" s="34"/>
      <c r="AQ98" s="34"/>
      <c r="AR98" s="34"/>
      <c r="AS98" s="34"/>
      <c r="AT98" s="34"/>
      <c r="AU98" s="34"/>
      <c r="AV98" s="34"/>
      <c r="AW98" s="34"/>
      <c r="AX98" s="34"/>
      <c r="AY98" s="34"/>
      <c r="AZ98" s="34"/>
      <c r="BA98" s="34"/>
      <c r="BB98" s="34"/>
      <c r="BC98" s="34"/>
      <c r="BD98" s="34"/>
      <c r="BE98" s="34"/>
      <c r="BF98" s="34"/>
      <c r="BG98" s="34"/>
      <c r="BH98" s="34"/>
      <c r="BI98" s="34"/>
      <c r="BJ98" s="34"/>
      <c r="BK98" s="34"/>
      <c r="BL98" s="34"/>
      <c r="BM98" s="34"/>
      <c r="BN98" s="34"/>
      <c r="BO98" s="34"/>
      <c r="BP98" s="34"/>
      <c r="BQ98" s="34"/>
      <c r="BR98" s="34"/>
      <c r="BS98" s="34"/>
      <c r="BT98" s="34"/>
      <c r="BU98" s="34"/>
      <c r="BV98" s="34"/>
      <c r="BW98" s="34"/>
      <c r="BX98" s="34"/>
      <c r="BY98" s="34"/>
      <c r="BZ98" s="34"/>
      <c r="CA98" s="34"/>
      <c r="CB98" s="34"/>
      <c r="CC98" s="34"/>
      <c r="CD98" s="34"/>
      <c r="CE98" s="34"/>
      <c r="CF98" s="34"/>
      <c r="CG98" s="34"/>
      <c r="CH98" s="34"/>
      <c r="CI98" s="34"/>
      <c r="CJ98" s="34"/>
      <c r="CK98" s="34"/>
      <c r="CL98" s="34"/>
      <c r="CM98" s="34"/>
      <c r="CN98" s="34"/>
      <c r="CO98" s="34"/>
      <c r="CP98" s="34"/>
      <c r="CQ98" s="34"/>
      <c r="CR98" s="34"/>
      <c r="CS98" s="34"/>
      <c r="CT98" s="34"/>
      <c r="CU98" s="34"/>
      <c r="CV98" s="34"/>
      <c r="CW98" s="34"/>
      <c r="CX98" s="9"/>
      <c r="CY98" s="9"/>
      <c r="CZ98" s="9"/>
      <c r="DA98" s="9"/>
      <c r="DB98" s="9"/>
      <c r="DC98" s="9"/>
      <c r="DD98" s="9"/>
      <c r="DE98" s="9"/>
      <c r="DF98" s="9"/>
      <c r="DG98" s="9"/>
      <c r="DH98" s="9"/>
      <c r="DI98" s="9"/>
      <c r="DJ98" s="9"/>
      <c r="DK98" s="9"/>
      <c r="DL98" s="9"/>
      <c r="DM98" s="9"/>
      <c r="DN98" s="9"/>
      <c r="DO98" s="9"/>
      <c r="DP98" s="9"/>
      <c r="DQ98" s="9"/>
      <c r="DR98" s="9"/>
      <c r="DS98" s="9"/>
      <c r="DT98" s="9"/>
      <c r="DU98" s="9"/>
      <c r="DV98" s="9"/>
      <c r="DW98" s="9"/>
      <c r="DX98" s="9"/>
      <c r="DY98" s="9"/>
      <c r="DZ98" s="9"/>
      <c r="EA98" s="9"/>
    </row>
    <row r="99" spans="1:131">
      <c r="A99" s="9"/>
      <c r="B99" s="9"/>
      <c r="C99" s="34"/>
      <c r="D99" s="34"/>
      <c r="E99" s="34"/>
      <c r="F99" s="34"/>
      <c r="G99" s="34"/>
      <c r="H99" s="34"/>
      <c r="I99" s="34"/>
      <c r="J99" s="34"/>
      <c r="K99" s="34"/>
      <c r="L99" s="34"/>
      <c r="M99" s="34"/>
      <c r="N99" s="34"/>
      <c r="O99" s="34"/>
      <c r="P99" s="34"/>
      <c r="Q99" s="34"/>
      <c r="R99" s="34"/>
      <c r="S99" s="34"/>
      <c r="T99" s="34"/>
      <c r="U99" s="34"/>
      <c r="V99" s="34"/>
      <c r="W99" s="34"/>
      <c r="X99" s="34"/>
      <c r="Y99" s="34"/>
      <c r="Z99" s="34"/>
      <c r="AA99" s="34"/>
      <c r="AB99" s="34"/>
      <c r="AC99" s="34"/>
      <c r="AD99" s="34"/>
      <c r="AE99" s="34"/>
      <c r="AF99" s="34"/>
      <c r="AG99" s="34"/>
      <c r="AH99" s="34"/>
      <c r="AI99" s="34"/>
      <c r="AJ99" s="34"/>
      <c r="AK99" s="34"/>
      <c r="AL99" s="34"/>
      <c r="AM99" s="34"/>
      <c r="AN99" s="34"/>
      <c r="AO99" s="34"/>
      <c r="AP99" s="34"/>
      <c r="AQ99" s="34"/>
      <c r="AR99" s="34"/>
      <c r="AS99" s="34"/>
      <c r="AT99" s="34"/>
      <c r="AU99" s="34"/>
      <c r="AV99" s="34"/>
      <c r="AW99" s="34"/>
      <c r="AX99" s="34"/>
      <c r="AY99" s="34"/>
      <c r="AZ99" s="34"/>
      <c r="BA99" s="34"/>
      <c r="BB99" s="34"/>
      <c r="BC99" s="34"/>
      <c r="BD99" s="34"/>
      <c r="BE99" s="34"/>
      <c r="BF99" s="34"/>
      <c r="BG99" s="34"/>
      <c r="BH99" s="34"/>
      <c r="BI99" s="34"/>
      <c r="BJ99" s="34"/>
      <c r="BK99" s="34"/>
      <c r="BL99" s="34"/>
      <c r="BM99" s="34"/>
      <c r="BN99" s="34"/>
      <c r="BO99" s="34"/>
      <c r="BP99" s="34"/>
      <c r="BQ99" s="34"/>
      <c r="BR99" s="34"/>
      <c r="BS99" s="34"/>
      <c r="BT99" s="34"/>
      <c r="BU99" s="34"/>
      <c r="BV99" s="34"/>
      <c r="BW99" s="34"/>
      <c r="BX99" s="34"/>
      <c r="BY99" s="34"/>
      <c r="BZ99" s="34"/>
      <c r="CA99" s="34"/>
      <c r="CB99" s="34"/>
      <c r="CC99" s="34"/>
      <c r="CD99" s="34"/>
      <c r="CE99" s="34"/>
      <c r="CF99" s="34"/>
      <c r="CG99" s="34"/>
      <c r="CH99" s="34"/>
      <c r="CI99" s="34"/>
      <c r="CJ99" s="34"/>
      <c r="CK99" s="34"/>
      <c r="CL99" s="34"/>
      <c r="CM99" s="34"/>
      <c r="CN99" s="34"/>
      <c r="CO99" s="34"/>
      <c r="CP99" s="34"/>
      <c r="CQ99" s="34"/>
      <c r="CR99" s="34"/>
      <c r="CS99" s="34"/>
      <c r="CT99" s="34"/>
      <c r="CU99" s="34"/>
      <c r="CV99" s="34"/>
      <c r="CW99" s="34"/>
      <c r="CX99" s="9"/>
      <c r="CY99" s="9"/>
      <c r="CZ99" s="9"/>
      <c r="DA99" s="9"/>
      <c r="DB99" s="9"/>
      <c r="DC99" s="9"/>
      <c r="DD99" s="9"/>
      <c r="DE99" s="9"/>
      <c r="DF99" s="9"/>
      <c r="DG99" s="9"/>
      <c r="DH99" s="9"/>
      <c r="DI99" s="9"/>
      <c r="DJ99" s="9"/>
      <c r="DK99" s="9"/>
      <c r="DL99" s="9"/>
      <c r="DM99" s="9"/>
      <c r="DN99" s="9"/>
      <c r="DO99" s="9"/>
      <c r="DP99" s="9"/>
      <c r="DQ99" s="9"/>
      <c r="DR99" s="9"/>
      <c r="DS99" s="9"/>
      <c r="DT99" s="9"/>
      <c r="DU99" s="9"/>
      <c r="DV99" s="9"/>
      <c r="DW99" s="9"/>
      <c r="DX99" s="9"/>
      <c r="DY99" s="9"/>
      <c r="DZ99" s="9"/>
      <c r="EA99" s="9"/>
    </row>
    <row r="100" spans="1:131">
      <c r="A100" s="9"/>
      <c r="B100" s="9"/>
      <c r="C100" s="34"/>
      <c r="D100" s="34"/>
      <c r="E100" s="34"/>
      <c r="F100" s="34"/>
      <c r="G100" s="34"/>
      <c r="H100" s="34"/>
      <c r="I100" s="34"/>
      <c r="J100" s="34"/>
      <c r="K100" s="34"/>
      <c r="L100" s="34"/>
      <c r="M100" s="34"/>
      <c r="N100" s="34"/>
      <c r="O100" s="34"/>
      <c r="P100" s="34"/>
      <c r="Q100" s="34"/>
      <c r="R100" s="34"/>
      <c r="S100" s="34"/>
      <c r="T100" s="34"/>
      <c r="U100" s="34"/>
      <c r="V100" s="34"/>
      <c r="W100" s="34"/>
      <c r="X100" s="34"/>
      <c r="Y100" s="34"/>
      <c r="Z100" s="34"/>
      <c r="AA100" s="34"/>
      <c r="AB100" s="34"/>
      <c r="AC100" s="34"/>
      <c r="AD100" s="34"/>
      <c r="AE100" s="34"/>
      <c r="AF100" s="34"/>
      <c r="AG100" s="34"/>
      <c r="AH100" s="34"/>
      <c r="AI100" s="34"/>
      <c r="AJ100" s="34"/>
      <c r="AK100" s="34"/>
      <c r="AL100" s="34"/>
      <c r="AM100" s="34"/>
      <c r="AN100" s="34"/>
      <c r="AO100" s="34"/>
      <c r="AP100" s="34"/>
      <c r="AQ100" s="34"/>
      <c r="AR100" s="34"/>
      <c r="AS100" s="34"/>
      <c r="AT100" s="34"/>
      <c r="AU100" s="34"/>
      <c r="AV100" s="34"/>
      <c r="AW100" s="34"/>
      <c r="AX100" s="34"/>
      <c r="AY100" s="34"/>
      <c r="AZ100" s="34"/>
      <c r="BA100" s="34"/>
      <c r="BB100" s="34"/>
      <c r="BC100" s="34"/>
      <c r="BD100" s="34"/>
      <c r="BE100" s="34"/>
      <c r="BF100" s="34"/>
      <c r="BG100" s="34"/>
      <c r="BH100" s="34"/>
      <c r="BI100" s="34"/>
      <c r="BJ100" s="34"/>
      <c r="BK100" s="34"/>
      <c r="BL100" s="34"/>
      <c r="BM100" s="34"/>
      <c r="BN100" s="34"/>
      <c r="BO100" s="34"/>
      <c r="BP100" s="34"/>
      <c r="BQ100" s="34"/>
      <c r="BR100" s="34"/>
      <c r="BS100" s="34"/>
      <c r="BT100" s="34"/>
      <c r="BU100" s="34"/>
      <c r="BV100" s="34"/>
      <c r="BW100" s="34"/>
      <c r="BX100" s="34"/>
      <c r="BY100" s="34"/>
      <c r="BZ100" s="34"/>
      <c r="CA100" s="34"/>
      <c r="CB100" s="34"/>
      <c r="CC100" s="34"/>
      <c r="CD100" s="34"/>
      <c r="CE100" s="34"/>
      <c r="CF100" s="34"/>
      <c r="CG100" s="34"/>
      <c r="CH100" s="34"/>
      <c r="CI100" s="34"/>
      <c r="CJ100" s="34"/>
      <c r="CK100" s="34"/>
      <c r="CL100" s="34"/>
      <c r="CM100" s="34"/>
      <c r="CN100" s="34"/>
      <c r="CO100" s="34"/>
      <c r="CP100" s="34"/>
      <c r="CQ100" s="34"/>
      <c r="CR100" s="34"/>
      <c r="CS100" s="34"/>
      <c r="CT100" s="34"/>
      <c r="CU100" s="34"/>
      <c r="CV100" s="34"/>
      <c r="CW100" s="34"/>
      <c r="CX100" s="9"/>
      <c r="CY100" s="9"/>
      <c r="CZ100" s="9"/>
      <c r="DA100" s="9"/>
      <c r="DB100" s="9"/>
      <c r="DC100" s="9"/>
      <c r="DD100" s="9"/>
      <c r="DE100" s="9"/>
      <c r="DF100" s="9"/>
      <c r="DG100" s="9"/>
      <c r="DH100" s="9"/>
      <c r="DI100" s="9"/>
      <c r="DJ100" s="9"/>
      <c r="DK100" s="9"/>
      <c r="DL100" s="9"/>
      <c r="DM100" s="9"/>
      <c r="DN100" s="9"/>
      <c r="DO100" s="9"/>
      <c r="DP100" s="9"/>
      <c r="DQ100" s="9"/>
      <c r="DR100" s="9"/>
      <c r="DS100" s="9"/>
      <c r="DT100" s="9"/>
      <c r="DU100" s="9"/>
      <c r="DV100" s="9"/>
      <c r="DW100" s="9"/>
      <c r="DX100" s="9"/>
      <c r="DY100" s="9"/>
      <c r="DZ100" s="9"/>
      <c r="EA100" s="9"/>
    </row>
    <row r="101" spans="1:131" ht="13.5" thickBot="1">
      <c r="A101" s="32" t="s">
        <v>45</v>
      </c>
      <c r="B101" s="33"/>
      <c r="C101" s="34"/>
      <c r="D101" s="34"/>
      <c r="E101" s="34"/>
      <c r="F101" s="34"/>
      <c r="G101" s="34"/>
      <c r="H101" s="34"/>
      <c r="I101" s="34"/>
      <c r="J101" s="34"/>
      <c r="K101" s="34"/>
      <c r="L101" s="34"/>
      <c r="M101" s="34"/>
      <c r="N101" s="34"/>
      <c r="O101" s="34"/>
      <c r="P101" s="34"/>
      <c r="Q101" s="34"/>
      <c r="R101" s="34"/>
      <c r="S101" s="34"/>
      <c r="T101" s="34"/>
      <c r="U101" s="34"/>
      <c r="V101" s="34"/>
      <c r="W101" s="34"/>
      <c r="X101" s="34"/>
      <c r="Y101" s="34"/>
      <c r="Z101" s="34"/>
      <c r="AA101" s="34"/>
      <c r="AB101" s="34"/>
      <c r="AC101" s="34"/>
      <c r="AD101" s="34"/>
      <c r="AE101" s="34"/>
      <c r="AF101" s="34"/>
      <c r="AG101" s="34"/>
      <c r="AH101" s="34"/>
      <c r="AI101" s="34"/>
      <c r="AJ101" s="34"/>
      <c r="AK101" s="34"/>
      <c r="AL101" s="34"/>
      <c r="AM101" s="34"/>
      <c r="AN101" s="34"/>
      <c r="AO101" s="34"/>
      <c r="AP101" s="34"/>
      <c r="AQ101" s="34"/>
      <c r="AR101" s="34"/>
      <c r="AS101" s="34"/>
      <c r="AT101" s="34"/>
      <c r="AU101" s="34"/>
      <c r="AV101" s="34"/>
      <c r="AW101" s="34"/>
      <c r="AX101" s="34"/>
      <c r="AY101" s="34"/>
      <c r="AZ101" s="34"/>
      <c r="BA101" s="34"/>
      <c r="BB101" s="34"/>
      <c r="BC101" s="34"/>
      <c r="BD101" s="34"/>
      <c r="BE101" s="34"/>
      <c r="BF101" s="34"/>
      <c r="BG101" s="34"/>
      <c r="BH101" s="34"/>
      <c r="BI101" s="34"/>
      <c r="BJ101" s="34"/>
      <c r="BK101" s="34"/>
      <c r="BL101" s="34"/>
      <c r="BM101" s="34"/>
      <c r="BN101" s="34"/>
      <c r="BO101" s="34"/>
      <c r="BP101" s="34"/>
      <c r="BQ101" s="34"/>
      <c r="BR101" s="34"/>
      <c r="BS101" s="34"/>
      <c r="BT101" s="34"/>
      <c r="BU101" s="34"/>
      <c r="BV101" s="34"/>
      <c r="BW101" s="34"/>
      <c r="BX101" s="34"/>
      <c r="BY101" s="34"/>
      <c r="BZ101" s="34"/>
      <c r="CA101" s="34"/>
      <c r="CB101" s="34"/>
      <c r="CC101" s="34"/>
      <c r="CD101" s="34"/>
      <c r="CE101" s="34"/>
      <c r="CF101" s="34"/>
      <c r="CG101" s="34"/>
      <c r="CH101" s="34"/>
      <c r="CI101" s="34"/>
      <c r="CJ101" s="34"/>
      <c r="CK101" s="34"/>
      <c r="CL101" s="34"/>
      <c r="CM101" s="34"/>
      <c r="CN101" s="34"/>
      <c r="CO101" s="34"/>
      <c r="CP101" s="34"/>
      <c r="CQ101" s="34"/>
      <c r="CR101" s="34"/>
      <c r="CS101" s="34"/>
      <c r="CT101" s="34"/>
      <c r="CU101" s="34"/>
      <c r="CV101" s="34"/>
      <c r="CW101" s="34"/>
      <c r="CX101" s="9"/>
      <c r="CY101" s="9"/>
      <c r="CZ101" s="9"/>
      <c r="DA101" s="9"/>
      <c r="DB101" s="9"/>
      <c r="DC101" s="9"/>
      <c r="DD101" s="9"/>
      <c r="DE101" s="9"/>
      <c r="DF101" s="9"/>
      <c r="DG101" s="9"/>
      <c r="DH101" s="9"/>
      <c r="DI101" s="9"/>
      <c r="DJ101" s="9"/>
      <c r="DK101" s="9"/>
      <c r="DL101" s="9"/>
      <c r="DM101" s="9"/>
      <c r="DN101" s="9"/>
      <c r="DO101" s="9"/>
      <c r="DP101" s="9"/>
      <c r="DQ101" s="9"/>
      <c r="DR101" s="9"/>
      <c r="DS101" s="9"/>
      <c r="DT101" s="9"/>
      <c r="DU101" s="9"/>
      <c r="DV101" s="9"/>
      <c r="DW101" s="9"/>
      <c r="DX101" s="9"/>
      <c r="DY101" s="9"/>
      <c r="DZ101" s="9"/>
      <c r="EA101" s="9"/>
    </row>
    <row r="102" spans="1:131" ht="13.5" thickBot="1">
      <c r="A102" s="40"/>
      <c r="B102" s="41"/>
      <c r="C102" s="42"/>
      <c r="D102" s="42"/>
      <c r="E102" s="42"/>
      <c r="F102" s="42"/>
      <c r="G102" s="42"/>
      <c r="H102" s="42"/>
      <c r="I102" s="42"/>
      <c r="J102" s="42"/>
      <c r="K102" s="42"/>
      <c r="L102" s="42"/>
      <c r="M102" s="42"/>
      <c r="N102" s="42"/>
      <c r="O102" s="43" t="s">
        <v>202</v>
      </c>
      <c r="P102" s="44"/>
      <c r="Q102" s="44"/>
      <c r="R102" s="44"/>
      <c r="S102" s="44"/>
      <c r="T102" s="44"/>
      <c r="U102" s="44"/>
      <c r="V102" s="44"/>
      <c r="W102" s="44"/>
      <c r="X102" s="44"/>
      <c r="Y102" s="44"/>
      <c r="Z102" s="38"/>
      <c r="AA102" s="42"/>
      <c r="AB102" s="43" t="s">
        <v>203</v>
      </c>
      <c r="AC102" s="44"/>
      <c r="AD102" s="44"/>
      <c r="AE102" s="44"/>
      <c r="AF102" s="44"/>
      <c r="AG102" s="44"/>
      <c r="AH102" s="44"/>
      <c r="AI102" s="44"/>
      <c r="AJ102" s="44"/>
      <c r="AK102" s="44"/>
      <c r="AL102" s="44"/>
      <c r="AM102" s="38"/>
      <c r="AN102" s="34"/>
      <c r="AO102" s="34"/>
      <c r="AP102" s="34"/>
      <c r="AQ102" s="34"/>
      <c r="AR102" s="34"/>
      <c r="AS102" s="34"/>
      <c r="AT102" s="34"/>
      <c r="AU102" s="34"/>
      <c r="AV102" s="34"/>
      <c r="AW102" s="34"/>
      <c r="AX102" s="34"/>
      <c r="AY102" s="34"/>
      <c r="AZ102" s="34"/>
      <c r="BA102" s="34"/>
      <c r="BB102" s="34"/>
      <c r="BC102" s="34"/>
      <c r="BD102" s="34"/>
      <c r="BE102" s="34"/>
      <c r="BF102" s="34"/>
      <c r="BG102" s="34"/>
      <c r="BH102" s="34"/>
      <c r="BI102" s="34"/>
      <c r="BJ102" s="34"/>
      <c r="BK102" s="34"/>
      <c r="BL102" s="34"/>
      <c r="BM102" s="34"/>
      <c r="BN102" s="34"/>
      <c r="BO102" s="34"/>
      <c r="BP102" s="34"/>
      <c r="BQ102" s="34"/>
      <c r="BR102" s="34"/>
      <c r="BS102" s="34"/>
      <c r="BT102" s="34"/>
      <c r="BU102" s="34"/>
      <c r="BV102" s="34"/>
      <c r="BW102" s="34"/>
      <c r="BX102" s="34"/>
      <c r="BY102" s="34"/>
      <c r="BZ102" s="34"/>
      <c r="CA102" s="34"/>
      <c r="CB102" s="34"/>
      <c r="CC102" s="34"/>
      <c r="CD102" s="34"/>
      <c r="CE102" s="34"/>
      <c r="CF102" s="34"/>
      <c r="CG102" s="34"/>
      <c r="CH102" s="34"/>
      <c r="CI102" s="34"/>
      <c r="CJ102" s="34"/>
      <c r="CK102" s="34"/>
      <c r="CL102" s="34"/>
      <c r="CM102" s="34"/>
      <c r="CN102" s="34"/>
      <c r="CO102" s="34"/>
      <c r="CP102" s="34"/>
      <c r="CQ102" s="34"/>
      <c r="CR102" s="34"/>
      <c r="CS102" s="34"/>
      <c r="CT102" s="34"/>
      <c r="CU102" s="34"/>
      <c r="CV102" s="34"/>
      <c r="CW102" s="34"/>
      <c r="CX102" s="9"/>
      <c r="CY102" s="9"/>
      <c r="CZ102" s="9"/>
      <c r="DA102" s="9"/>
      <c r="DB102" s="9"/>
      <c r="DC102" s="9"/>
      <c r="DD102" s="9"/>
      <c r="DE102" s="9"/>
      <c r="DF102" s="9"/>
      <c r="DG102" s="9"/>
      <c r="DH102" s="9"/>
      <c r="DI102" s="9"/>
      <c r="DJ102" s="9"/>
      <c r="DK102" s="9"/>
      <c r="DL102" s="9"/>
      <c r="DM102" s="9"/>
      <c r="DN102" s="9"/>
      <c r="DO102" s="9"/>
      <c r="DP102" s="9"/>
      <c r="DQ102" s="9"/>
      <c r="DR102" s="9"/>
      <c r="DS102" s="9"/>
      <c r="DT102" s="9"/>
      <c r="DU102" s="9"/>
      <c r="DV102" s="9"/>
      <c r="DW102" s="9"/>
      <c r="DX102" s="9"/>
      <c r="DY102" s="9"/>
      <c r="DZ102" s="9"/>
      <c r="EA102" s="9"/>
    </row>
    <row r="103" spans="1:131" ht="191.25">
      <c r="A103" s="35" t="s">
        <v>21</v>
      </c>
      <c r="B103" s="36" t="s">
        <v>22</v>
      </c>
      <c r="C103" s="37" t="s">
        <v>46</v>
      </c>
      <c r="D103" s="37" t="s">
        <v>25</v>
      </c>
      <c r="E103" s="37" t="s">
        <v>26</v>
      </c>
      <c r="F103" s="37" t="s">
        <v>27</v>
      </c>
      <c r="G103" s="37" t="s">
        <v>28</v>
      </c>
      <c r="H103" s="37" t="s">
        <v>29</v>
      </c>
      <c r="I103" s="37" t="s">
        <v>30</v>
      </c>
      <c r="J103" s="37" t="s">
        <v>31</v>
      </c>
      <c r="K103" s="37" t="s">
        <v>24</v>
      </c>
      <c r="L103" s="37" t="s">
        <v>23</v>
      </c>
      <c r="M103" s="37" t="s">
        <v>32</v>
      </c>
      <c r="N103" s="37" t="s">
        <v>204</v>
      </c>
      <c r="O103" s="37" t="s">
        <v>33</v>
      </c>
      <c r="P103" s="37" t="s">
        <v>34</v>
      </c>
      <c r="Q103" s="37" t="s">
        <v>35</v>
      </c>
      <c r="R103" s="37" t="s">
        <v>36</v>
      </c>
      <c r="S103" s="37" t="s">
        <v>37</v>
      </c>
      <c r="T103" s="37" t="s">
        <v>38</v>
      </c>
      <c r="U103" s="37" t="s">
        <v>39</v>
      </c>
      <c r="V103" s="37" t="s">
        <v>40</v>
      </c>
      <c r="W103" s="37" t="s">
        <v>41</v>
      </c>
      <c r="X103" s="37" t="s">
        <v>42</v>
      </c>
      <c r="Y103" s="37" t="s">
        <v>43</v>
      </c>
      <c r="Z103" s="37" t="s">
        <v>44</v>
      </c>
      <c r="AA103" s="37"/>
      <c r="AB103" s="37" t="s">
        <v>33</v>
      </c>
      <c r="AC103" s="37" t="s">
        <v>34</v>
      </c>
      <c r="AD103" s="37" t="s">
        <v>35</v>
      </c>
      <c r="AE103" s="37" t="s">
        <v>36</v>
      </c>
      <c r="AF103" s="37" t="s">
        <v>37</v>
      </c>
      <c r="AG103" s="37" t="s">
        <v>38</v>
      </c>
      <c r="AH103" s="37" t="s">
        <v>39</v>
      </c>
      <c r="AI103" s="37" t="s">
        <v>40</v>
      </c>
      <c r="AJ103" s="37" t="s">
        <v>41</v>
      </c>
      <c r="AK103" s="37" t="s">
        <v>42</v>
      </c>
      <c r="AL103" s="37" t="s">
        <v>43</v>
      </c>
      <c r="AM103" s="37" t="s">
        <v>44</v>
      </c>
      <c r="AN103" s="34"/>
      <c r="AO103" s="34"/>
      <c r="AP103" s="34"/>
      <c r="AQ103" s="34"/>
      <c r="AR103" s="34"/>
      <c r="AS103" s="34"/>
      <c r="AT103" s="34"/>
      <c r="AU103" s="34"/>
      <c r="AV103" s="34"/>
      <c r="AW103" s="34"/>
      <c r="AX103" s="34"/>
      <c r="AY103" s="34"/>
      <c r="AZ103" s="34"/>
      <c r="BA103" s="34"/>
      <c r="BB103" s="34"/>
      <c r="BC103" s="34"/>
      <c r="BD103" s="34"/>
      <c r="BE103" s="34"/>
      <c r="BF103" s="34"/>
      <c r="BG103" s="34"/>
      <c r="BH103" s="34"/>
      <c r="BI103" s="34"/>
      <c r="BJ103" s="34"/>
      <c r="BK103" s="34"/>
      <c r="BL103" s="34"/>
      <c r="BM103" s="34"/>
      <c r="BN103" s="34"/>
      <c r="BO103" s="34"/>
      <c r="BP103" s="34"/>
      <c r="BQ103" s="34"/>
      <c r="BR103" s="34"/>
      <c r="BS103" s="34"/>
      <c r="BT103" s="34"/>
      <c r="BU103" s="34"/>
      <c r="BV103" s="34"/>
      <c r="BW103" s="34"/>
      <c r="BX103" s="34"/>
      <c r="BY103" s="34"/>
      <c r="BZ103" s="34"/>
      <c r="CA103" s="34"/>
      <c r="CB103" s="34"/>
      <c r="CC103" s="34"/>
      <c r="CD103" s="34"/>
      <c r="CE103" s="34"/>
      <c r="CF103" s="34"/>
      <c r="CG103" s="34"/>
      <c r="CH103" s="34"/>
      <c r="CI103" s="34"/>
      <c r="CJ103" s="34"/>
      <c r="CK103" s="34"/>
      <c r="CL103" s="34"/>
      <c r="CM103" s="34"/>
      <c r="CN103" s="34"/>
      <c r="CO103" s="34"/>
      <c r="CP103" s="34"/>
      <c r="CQ103" s="34"/>
      <c r="CR103" s="34"/>
      <c r="CS103" s="34"/>
      <c r="CT103" s="34"/>
      <c r="CU103" s="34"/>
      <c r="CV103" s="34"/>
      <c r="CW103" s="34"/>
      <c r="CX103" s="9"/>
      <c r="CY103" s="9"/>
      <c r="CZ103" s="9"/>
      <c r="DA103" s="9"/>
      <c r="DB103" s="9"/>
      <c r="DC103" s="9"/>
      <c r="DD103" s="9"/>
      <c r="DE103" s="9"/>
      <c r="DF103" s="9"/>
      <c r="DG103" s="9"/>
      <c r="DH103" s="9"/>
      <c r="DI103" s="9"/>
      <c r="DJ103" s="9"/>
      <c r="DK103" s="9"/>
      <c r="DL103" s="9"/>
      <c r="DM103" s="9"/>
      <c r="DN103" s="9"/>
      <c r="DO103" s="9"/>
      <c r="DP103" s="9"/>
      <c r="DQ103" s="9"/>
      <c r="DR103" s="9"/>
      <c r="DS103" s="9"/>
      <c r="DT103" s="9"/>
      <c r="DU103" s="9"/>
      <c r="DV103" s="9"/>
      <c r="DW103" s="9"/>
      <c r="DX103" s="9"/>
      <c r="DY103" s="9"/>
      <c r="DZ103" s="9"/>
      <c r="EA103" s="9"/>
    </row>
    <row r="104" spans="1:131">
      <c r="A104" s="9" t="s">
        <v>1177</v>
      </c>
      <c r="B104" s="9"/>
      <c r="C104" s="39">
        <v>2334.1470078520424</v>
      </c>
      <c r="D104" s="39">
        <v>5568.9513326368924</v>
      </c>
      <c r="E104" s="39">
        <v>1113.7902665273784</v>
      </c>
      <c r="F104" s="39">
        <v>6682.7415991642711</v>
      </c>
      <c r="G104" s="39">
        <v>6774.8714345888684</v>
      </c>
      <c r="H104" s="39">
        <v>2635.0507566597635</v>
      </c>
      <c r="I104" s="39">
        <v>25080.175418149935</v>
      </c>
      <c r="J104" s="39">
        <v>131.18343064554222</v>
      </c>
      <c r="K104" s="39">
        <v>168.74734982295431</v>
      </c>
      <c r="L104" s="410">
        <v>0.38894476184545795</v>
      </c>
      <c r="M104" s="39">
        <v>22.174666054793832</v>
      </c>
      <c r="N104" s="39">
        <v>0.81542308094159122</v>
      </c>
      <c r="O104" s="39">
        <v>199.60147839961118</v>
      </c>
      <c r="P104" s="39">
        <v>145.75482180343462</v>
      </c>
      <c r="Q104" s="39">
        <v>118.0754001314985</v>
      </c>
      <c r="R104" s="39">
        <v>102.36883214628728</v>
      </c>
      <c r="S104" s="39">
        <v>37.562434715738341</v>
      </c>
      <c r="T104" s="39">
        <v>24.285433993313205</v>
      </c>
      <c r="U104" s="39">
        <v>70.609511427337338</v>
      </c>
      <c r="V104" s="39">
        <v>70.423606264735383</v>
      </c>
      <c r="W104" s="39">
        <v>40.952947455806559</v>
      </c>
      <c r="X104" s="39">
        <v>93.029309299270437</v>
      </c>
      <c r="Y104" s="39">
        <v>144.44980788030531</v>
      </c>
      <c r="Z104" s="39">
        <v>252.06289023884565</v>
      </c>
      <c r="AA104" s="39"/>
      <c r="AB104" s="39">
        <v>189.38910491904875</v>
      </c>
      <c r="AC104" s="39">
        <v>134.14163977732761</v>
      </c>
      <c r="AD104" s="39">
        <v>99.056567865472445</v>
      </c>
      <c r="AE104" s="39">
        <v>92.391100943271894</v>
      </c>
      <c r="AF104" s="39">
        <v>36.524696577000171</v>
      </c>
      <c r="AG104" s="39">
        <v>11.283232616375846</v>
      </c>
      <c r="AH104" s="39">
        <v>34.756340614647833</v>
      </c>
      <c r="AI104" s="39">
        <v>24.882723026281603</v>
      </c>
      <c r="AJ104" s="39">
        <v>23.529802493487779</v>
      </c>
      <c r="AK104" s="39">
        <v>57.151917977125478</v>
      </c>
      <c r="AL104" s="39">
        <v>113.74208671206858</v>
      </c>
      <c r="AM104" s="34">
        <v>218.12132057375095</v>
      </c>
      <c r="AN104" s="34"/>
      <c r="AO104" s="34"/>
      <c r="AP104" s="34"/>
      <c r="AQ104" s="34"/>
      <c r="AR104" s="34"/>
      <c r="AS104" s="34"/>
      <c r="AT104" s="34"/>
      <c r="AU104" s="34"/>
      <c r="AV104" s="34"/>
      <c r="AW104" s="34"/>
      <c r="AX104" s="34"/>
      <c r="AY104" s="34"/>
      <c r="AZ104" s="34"/>
      <c r="BA104" s="34"/>
      <c r="BB104" s="34"/>
      <c r="BC104" s="34"/>
      <c r="BD104" s="34"/>
      <c r="BE104" s="34"/>
      <c r="BF104" s="34"/>
      <c r="BG104" s="34"/>
      <c r="BH104" s="34"/>
      <c r="BI104" s="34"/>
      <c r="BJ104" s="34"/>
      <c r="BK104" s="34"/>
      <c r="BL104" s="34"/>
      <c r="BM104" s="34"/>
      <c r="BN104" s="34"/>
      <c r="BO104" s="34"/>
      <c r="BP104" s="34"/>
      <c r="BQ104" s="34"/>
      <c r="BR104" s="34"/>
      <c r="BS104" s="34"/>
      <c r="BT104" s="34"/>
      <c r="BU104" s="34"/>
      <c r="BV104" s="34"/>
      <c r="BW104" s="34"/>
      <c r="BX104" s="34"/>
      <c r="BY104" s="34"/>
      <c r="BZ104" s="34"/>
      <c r="CA104" s="34"/>
      <c r="CB104" s="34"/>
      <c r="CC104" s="34"/>
      <c r="CD104" s="34"/>
      <c r="CE104" s="34"/>
      <c r="CF104" s="34"/>
      <c r="CG104" s="34"/>
      <c r="CH104" s="34"/>
      <c r="CI104" s="34"/>
      <c r="CJ104" s="34"/>
      <c r="CK104" s="34"/>
      <c r="CL104" s="34"/>
      <c r="CM104" s="34"/>
      <c r="CN104" s="34"/>
      <c r="CO104" s="34"/>
      <c r="CP104" s="34"/>
      <c r="CQ104" s="34"/>
      <c r="CR104" s="34"/>
      <c r="CS104" s="34"/>
      <c r="CT104" s="34"/>
      <c r="CU104" s="34"/>
      <c r="CV104" s="34"/>
      <c r="CW104" s="34"/>
      <c r="CX104" s="9"/>
      <c r="CY104" s="9"/>
      <c r="CZ104" s="9"/>
      <c r="DA104" s="9"/>
      <c r="DB104" s="9"/>
      <c r="DC104" s="9"/>
      <c r="DD104" s="9"/>
      <c r="DE104" s="9"/>
      <c r="DF104" s="9"/>
      <c r="DG104" s="9"/>
      <c r="DH104" s="9"/>
      <c r="DI104" s="9"/>
      <c r="DJ104" s="9"/>
      <c r="DK104" s="9"/>
      <c r="DL104" s="9"/>
      <c r="DM104" s="9"/>
      <c r="DN104" s="9"/>
      <c r="DO104" s="9"/>
      <c r="DP104" s="9"/>
      <c r="DQ104" s="9"/>
      <c r="DR104" s="9"/>
      <c r="DS104" s="9"/>
      <c r="DT104" s="9"/>
      <c r="DU104" s="9"/>
      <c r="DV104" s="9"/>
      <c r="DW104" s="9"/>
      <c r="DX104" s="9"/>
      <c r="DY104" s="9"/>
      <c r="DZ104" s="9"/>
      <c r="EA104" s="9"/>
    </row>
    <row r="105" spans="1:131">
      <c r="A105" s="9" t="s">
        <v>1174</v>
      </c>
      <c r="B105" s="9"/>
      <c r="C105" s="39">
        <v>3822.4043943278657</v>
      </c>
      <c r="D105" s="39">
        <v>8215.9389935462095</v>
      </c>
      <c r="E105" s="39">
        <v>1643.1877987092421</v>
      </c>
      <c r="F105" s="39">
        <v>9859.1267922554507</v>
      </c>
      <c r="G105" s="39">
        <v>9995.0470153139504</v>
      </c>
      <c r="H105" s="39">
        <v>3809.7303484812337</v>
      </c>
      <c r="I105" s="39">
        <v>22594.666024431568</v>
      </c>
      <c r="J105" s="39">
        <v>116.21716698687352</v>
      </c>
      <c r="K105" s="39">
        <v>157.31156480020979</v>
      </c>
      <c r="L105" s="410">
        <v>0.38116182371570045</v>
      </c>
      <c r="M105" s="39">
        <v>36.313283047495922</v>
      </c>
      <c r="N105" s="39">
        <v>1.3353386729037928</v>
      </c>
      <c r="O105" s="39">
        <v>326.86783033906278</v>
      </c>
      <c r="P105" s="39">
        <v>238.68842428593052</v>
      </c>
      <c r="Q105" s="39">
        <v>193.36054104835117</v>
      </c>
      <c r="R105" s="39">
        <v>167.63942995958192</v>
      </c>
      <c r="S105" s="39">
        <v>61.512327645214462</v>
      </c>
      <c r="T105" s="39">
        <v>39.769881375048328</v>
      </c>
      <c r="U105" s="39">
        <v>115.63029485857743</v>
      </c>
      <c r="V105" s="39">
        <v>115.32585614581963</v>
      </c>
      <c r="W105" s="39">
        <v>67.064638940546075</v>
      </c>
      <c r="X105" s="39">
        <v>152.34500632162332</v>
      </c>
      <c r="Y105" s="39">
        <v>236.55133054776923</v>
      </c>
      <c r="Z105" s="39">
        <v>412.77875645997869</v>
      </c>
      <c r="AA105" s="39"/>
      <c r="AB105" s="39">
        <v>310.14402453878404</v>
      </c>
      <c r="AC105" s="39">
        <v>219.6706512581853</v>
      </c>
      <c r="AD105" s="39">
        <v>162.21525851726443</v>
      </c>
      <c r="AE105" s="39">
        <v>151.29987488120452</v>
      </c>
      <c r="AF105" s="39">
        <v>59.812925333221855</v>
      </c>
      <c r="AG105" s="39">
        <v>18.477447131638602</v>
      </c>
      <c r="AH105" s="39">
        <v>56.917061628625262</v>
      </c>
      <c r="AI105" s="39">
        <v>40.748003239961719</v>
      </c>
      <c r="AJ105" s="39">
        <v>38.53245752997389</v>
      </c>
      <c r="AK105" s="39">
        <v>93.592109530865443</v>
      </c>
      <c r="AL105" s="39">
        <v>186.26429723821033</v>
      </c>
      <c r="AM105" s="34">
        <v>357.1959655724275</v>
      </c>
      <c r="AN105" s="34"/>
      <c r="AO105" s="34"/>
      <c r="AP105" s="34"/>
      <c r="AQ105" s="34"/>
      <c r="AR105" s="34"/>
      <c r="AS105" s="34"/>
      <c r="AT105" s="34"/>
      <c r="AU105" s="34"/>
      <c r="AV105" s="34"/>
      <c r="AW105" s="34"/>
      <c r="AX105" s="34"/>
      <c r="AY105" s="34"/>
      <c r="AZ105" s="34"/>
      <c r="BA105" s="34"/>
      <c r="BB105" s="34"/>
      <c r="BC105" s="34"/>
      <c r="BD105" s="34"/>
      <c r="BE105" s="34"/>
      <c r="BF105" s="34"/>
      <c r="BG105" s="34"/>
      <c r="BH105" s="34"/>
      <c r="BI105" s="34"/>
      <c r="BJ105" s="34"/>
      <c r="BK105" s="34"/>
      <c r="BL105" s="34"/>
      <c r="BM105" s="34"/>
      <c r="BN105" s="34"/>
      <c r="BO105" s="34"/>
      <c r="BP105" s="34"/>
      <c r="BQ105" s="34"/>
      <c r="BR105" s="34"/>
      <c r="BS105" s="34"/>
      <c r="BT105" s="34"/>
      <c r="BU105" s="34"/>
      <c r="BV105" s="34"/>
      <c r="BW105" s="34"/>
      <c r="BX105" s="34"/>
      <c r="BY105" s="34"/>
      <c r="BZ105" s="34"/>
      <c r="CA105" s="34"/>
      <c r="CB105" s="34"/>
      <c r="CC105" s="34"/>
      <c r="CD105" s="34"/>
      <c r="CE105" s="34"/>
      <c r="CF105" s="34"/>
      <c r="CG105" s="34"/>
      <c r="CH105" s="34"/>
      <c r="CI105" s="34"/>
      <c r="CJ105" s="34"/>
      <c r="CK105" s="34"/>
      <c r="CL105" s="34"/>
      <c r="CM105" s="34"/>
      <c r="CN105" s="34"/>
      <c r="CO105" s="34"/>
      <c r="CP105" s="34"/>
      <c r="CQ105" s="34"/>
      <c r="CR105" s="34"/>
      <c r="CS105" s="34"/>
      <c r="CT105" s="34"/>
      <c r="CU105" s="34"/>
      <c r="CV105" s="34"/>
      <c r="CW105" s="34"/>
      <c r="CX105" s="9"/>
      <c r="CY105" s="9"/>
      <c r="CZ105" s="9"/>
      <c r="DA105" s="9"/>
      <c r="DB105" s="9"/>
      <c r="DC105" s="9"/>
      <c r="DD105" s="9"/>
      <c r="DE105" s="9"/>
      <c r="DF105" s="9"/>
      <c r="DG105" s="9"/>
      <c r="DH105" s="9"/>
      <c r="DI105" s="9"/>
      <c r="DJ105" s="9"/>
      <c r="DK105" s="9"/>
      <c r="DL105" s="9"/>
      <c r="DM105" s="9"/>
      <c r="DN105" s="9"/>
      <c r="DO105" s="9"/>
      <c r="DP105" s="9"/>
      <c r="DQ105" s="9"/>
      <c r="DR105" s="9"/>
      <c r="DS105" s="9"/>
      <c r="DT105" s="9"/>
      <c r="DU105" s="9"/>
      <c r="DV105" s="9"/>
      <c r="DW105" s="9"/>
      <c r="DX105" s="9"/>
      <c r="DY105" s="9"/>
      <c r="DZ105" s="9"/>
      <c r="EA105" s="9"/>
    </row>
    <row r="106" spans="1:131">
      <c r="A106" s="9" t="s">
        <v>1176</v>
      </c>
      <c r="B106" s="9"/>
      <c r="C106" s="39">
        <v>2554.7951225840852</v>
      </c>
      <c r="D106" s="39">
        <v>6063.3048792715572</v>
      </c>
      <c r="E106" s="39">
        <v>1212.6609758543116</v>
      </c>
      <c r="F106" s="39">
        <v>7275.965855125869</v>
      </c>
      <c r="G106" s="39">
        <v>7376.2740186005085</v>
      </c>
      <c r="H106" s="39">
        <v>2809.2080225365844</v>
      </c>
      <c r="I106" s="39">
        <v>24948.169161382466</v>
      </c>
      <c r="J106" s="39">
        <v>130.38856724717047</v>
      </c>
      <c r="K106" s="39">
        <v>169.78149233545739</v>
      </c>
      <c r="L106" s="410">
        <v>0.38084377226940003</v>
      </c>
      <c r="M106" s="39">
        <v>24.27084861884984</v>
      </c>
      <c r="N106" s="39">
        <v>0.89250544332643766</v>
      </c>
      <c r="O106" s="39">
        <v>218.46990860492693</v>
      </c>
      <c r="P106" s="39">
        <v>159.53309992209856</v>
      </c>
      <c r="Q106" s="39">
        <v>129.23712831211625</v>
      </c>
      <c r="R106" s="39">
        <v>112.04581039333651</v>
      </c>
      <c r="S106" s="39">
        <v>41.113230949605402</v>
      </c>
      <c r="T106" s="39">
        <v>26.581148534020361</v>
      </c>
      <c r="U106" s="39">
        <v>77.284264785280172</v>
      </c>
      <c r="V106" s="39">
        <v>77.080785912235356</v>
      </c>
      <c r="W106" s="39">
        <v>44.824250599287453</v>
      </c>
      <c r="X106" s="39">
        <v>101.82341765776562</v>
      </c>
      <c r="Y106" s="39">
        <v>158.10472236297338</v>
      </c>
      <c r="Z106" s="39">
        <v>275.8905246329158</v>
      </c>
      <c r="AA106" s="39"/>
      <c r="AB106" s="39">
        <v>207.2921542174013</v>
      </c>
      <c r="AC106" s="39">
        <v>146.82211783820574</v>
      </c>
      <c r="AD106" s="39">
        <v>108.42043606992472</v>
      </c>
      <c r="AE106" s="39">
        <v>101.12487913829253</v>
      </c>
      <c r="AF106" s="39">
        <v>39.97739489195817</v>
      </c>
      <c r="AG106" s="39">
        <v>12.349842387102097</v>
      </c>
      <c r="AH106" s="39">
        <v>38.041875332816232</v>
      </c>
      <c r="AI106" s="39">
        <v>27.234899605854029</v>
      </c>
      <c r="AJ106" s="39">
        <v>25.754086800663046</v>
      </c>
      <c r="AK106" s="39">
        <v>62.554518118655409</v>
      </c>
      <c r="AL106" s="39">
        <v>124.49418455092817</v>
      </c>
      <c r="AM106" s="34">
        <v>238.74044096572266</v>
      </c>
      <c r="AN106" s="34"/>
      <c r="AO106" s="34"/>
      <c r="AP106" s="34"/>
      <c r="AQ106" s="34"/>
      <c r="AR106" s="34"/>
      <c r="AS106" s="34"/>
      <c r="AT106" s="34"/>
      <c r="AU106" s="34"/>
      <c r="AV106" s="34"/>
      <c r="AW106" s="34"/>
      <c r="AX106" s="34"/>
      <c r="AY106" s="34"/>
      <c r="AZ106" s="34"/>
      <c r="BA106" s="34"/>
      <c r="BB106" s="34"/>
      <c r="BC106" s="34"/>
      <c r="BD106" s="34"/>
      <c r="BE106" s="34"/>
      <c r="BF106" s="34"/>
      <c r="BG106" s="34"/>
      <c r="BH106" s="34"/>
      <c r="BI106" s="34"/>
      <c r="BJ106" s="34"/>
      <c r="BK106" s="34"/>
      <c r="BL106" s="34"/>
      <c r="BM106" s="34"/>
      <c r="BN106" s="34"/>
      <c r="BO106" s="34"/>
      <c r="BP106" s="34"/>
      <c r="BQ106" s="34"/>
      <c r="BR106" s="34"/>
      <c r="BS106" s="34"/>
      <c r="BT106" s="34"/>
      <c r="BU106" s="34"/>
      <c r="BV106" s="34"/>
      <c r="BW106" s="34"/>
      <c r="BX106" s="34"/>
      <c r="BY106" s="34"/>
      <c r="BZ106" s="34"/>
      <c r="CA106" s="34"/>
      <c r="CB106" s="34"/>
      <c r="CC106" s="34"/>
      <c r="CD106" s="34"/>
      <c r="CE106" s="34"/>
      <c r="CF106" s="34"/>
      <c r="CG106" s="34"/>
      <c r="CH106" s="34"/>
      <c r="CI106" s="34"/>
      <c r="CJ106" s="34"/>
      <c r="CK106" s="34"/>
      <c r="CL106" s="34"/>
      <c r="CM106" s="34"/>
      <c r="CN106" s="34"/>
      <c r="CO106" s="34"/>
      <c r="CP106" s="34"/>
      <c r="CQ106" s="34"/>
      <c r="CR106" s="34"/>
      <c r="CS106" s="34"/>
      <c r="CT106" s="34"/>
      <c r="CU106" s="34"/>
      <c r="CV106" s="34"/>
      <c r="CW106" s="34"/>
      <c r="CX106" s="9"/>
      <c r="CY106" s="9"/>
      <c r="CZ106" s="9"/>
      <c r="DA106" s="9"/>
      <c r="DB106" s="9"/>
      <c r="DC106" s="9"/>
      <c r="DD106" s="9"/>
      <c r="DE106" s="9"/>
      <c r="DF106" s="9"/>
      <c r="DG106" s="9"/>
      <c r="DH106" s="9"/>
      <c r="DI106" s="9"/>
      <c r="DJ106" s="9"/>
      <c r="DK106" s="9"/>
      <c r="DL106" s="9"/>
      <c r="DM106" s="9"/>
      <c r="DN106" s="9"/>
      <c r="DO106" s="9"/>
      <c r="DP106" s="9"/>
      <c r="DQ106" s="9"/>
      <c r="DR106" s="9"/>
      <c r="DS106" s="9"/>
      <c r="DT106" s="9"/>
      <c r="DU106" s="9"/>
      <c r="DV106" s="9"/>
      <c r="DW106" s="9"/>
      <c r="DX106" s="9"/>
      <c r="DY106" s="9"/>
      <c r="DZ106" s="9"/>
      <c r="EA106" s="9"/>
    </row>
    <row r="107" spans="1:131">
      <c r="A107" s="9" t="s">
        <v>1175</v>
      </c>
      <c r="B107" s="9"/>
      <c r="C107" s="39">
        <v>3867.7113310152445</v>
      </c>
      <c r="D107" s="39">
        <v>9455.4012779609584</v>
      </c>
      <c r="E107" s="39">
        <v>1891.0802555921919</v>
      </c>
      <c r="F107" s="39">
        <v>11346.481533553149</v>
      </c>
      <c r="G107" s="39">
        <v>11502.906776220803</v>
      </c>
      <c r="H107" s="39">
        <v>3970.1969721727019</v>
      </c>
      <c r="I107" s="39">
        <v>25698.706477102864</v>
      </c>
      <c r="J107" s="39">
        <v>134.90785789283433</v>
      </c>
      <c r="K107" s="39">
        <v>181.55043025550398</v>
      </c>
      <c r="L107" s="410">
        <v>0.34514727880608637</v>
      </c>
      <c r="M107" s="39">
        <v>36.743704176768674</v>
      </c>
      <c r="N107" s="39">
        <v>1.3511664342990126</v>
      </c>
      <c r="O107" s="39">
        <v>330.74219279958334</v>
      </c>
      <c r="P107" s="39">
        <v>241.51759676783232</v>
      </c>
      <c r="Q107" s="39">
        <v>195.65244239822275</v>
      </c>
      <c r="R107" s="39">
        <v>169.62645913178511</v>
      </c>
      <c r="S107" s="39">
        <v>62.241432901123709</v>
      </c>
      <c r="T107" s="39">
        <v>40.241273543861674</v>
      </c>
      <c r="U107" s="39">
        <v>117.00086005991368</v>
      </c>
      <c r="V107" s="39">
        <v>116.69281283689345</v>
      </c>
      <c r="W107" s="39">
        <v>67.859555709412845</v>
      </c>
      <c r="X107" s="39">
        <v>154.15075078086852</v>
      </c>
      <c r="Y107" s="39">
        <v>239.35517207022741</v>
      </c>
      <c r="Z107" s="39">
        <v>417.67142061989307</v>
      </c>
      <c r="AA107" s="39"/>
      <c r="AB107" s="39">
        <v>313.82015982802739</v>
      </c>
      <c r="AC107" s="39">
        <v>222.27440618882494</v>
      </c>
      <c r="AD107" s="39">
        <v>164.13799501743028</v>
      </c>
      <c r="AE107" s="39">
        <v>153.09323140366541</v>
      </c>
      <c r="AF107" s="39">
        <v>60.521887583574156</v>
      </c>
      <c r="AG107" s="39">
        <v>18.696460203248662</v>
      </c>
      <c r="AH107" s="39">
        <v>57.591699223607733</v>
      </c>
      <c r="AI107" s="39">
        <v>41.230989081457089</v>
      </c>
      <c r="AJ107" s="39">
        <v>38.989182521267395</v>
      </c>
      <c r="AK107" s="39">
        <v>94.701456251805155</v>
      </c>
      <c r="AL107" s="39">
        <v>188.47208685215429</v>
      </c>
      <c r="AM107" s="34">
        <v>361.42980724056497</v>
      </c>
      <c r="AN107" s="34"/>
      <c r="AO107" s="34"/>
      <c r="AP107" s="34"/>
      <c r="AQ107" s="34"/>
      <c r="AR107" s="34"/>
      <c r="AS107" s="34"/>
      <c r="AT107" s="34"/>
      <c r="AU107" s="34"/>
      <c r="AV107" s="34"/>
      <c r="AW107" s="34"/>
      <c r="AX107" s="34"/>
      <c r="AY107" s="34"/>
      <c r="AZ107" s="34"/>
      <c r="BA107" s="34"/>
      <c r="BB107" s="34"/>
      <c r="BC107" s="34"/>
      <c r="BD107" s="34"/>
      <c r="BE107" s="34"/>
      <c r="BF107" s="34"/>
      <c r="BG107" s="34"/>
      <c r="BH107" s="34"/>
      <c r="BI107" s="34"/>
      <c r="BJ107" s="34"/>
      <c r="BK107" s="34"/>
      <c r="BL107" s="34"/>
      <c r="BM107" s="34"/>
      <c r="BN107" s="34"/>
      <c r="BO107" s="34"/>
      <c r="BP107" s="34"/>
      <c r="BQ107" s="34"/>
      <c r="BR107" s="34"/>
      <c r="BS107" s="34"/>
      <c r="BT107" s="34"/>
      <c r="BU107" s="34"/>
      <c r="BV107" s="34"/>
      <c r="BW107" s="34"/>
      <c r="BX107" s="34"/>
      <c r="BY107" s="34"/>
      <c r="BZ107" s="34"/>
      <c r="CA107" s="34"/>
      <c r="CB107" s="34"/>
      <c r="CC107" s="34"/>
      <c r="CD107" s="34"/>
      <c r="CE107" s="34"/>
      <c r="CF107" s="34"/>
      <c r="CG107" s="34"/>
      <c r="CH107" s="34"/>
      <c r="CI107" s="34"/>
      <c r="CJ107" s="34"/>
      <c r="CK107" s="34"/>
      <c r="CL107" s="34"/>
      <c r="CM107" s="34"/>
      <c r="CN107" s="34"/>
      <c r="CO107" s="34"/>
      <c r="CP107" s="34"/>
      <c r="CQ107" s="34"/>
      <c r="CR107" s="34"/>
      <c r="CS107" s="34"/>
      <c r="CT107" s="34"/>
      <c r="CU107" s="34"/>
      <c r="CV107" s="34"/>
      <c r="CW107" s="34"/>
      <c r="CX107" s="9"/>
      <c r="CY107" s="9"/>
      <c r="CZ107" s="9"/>
      <c r="DA107" s="9"/>
      <c r="DB107" s="9"/>
      <c r="DC107" s="9"/>
      <c r="DD107" s="9"/>
      <c r="DE107" s="9"/>
      <c r="DF107" s="9"/>
      <c r="DG107" s="9"/>
      <c r="DH107" s="9"/>
      <c r="DI107" s="9"/>
      <c r="DJ107" s="9"/>
      <c r="DK107" s="9"/>
      <c r="DL107" s="9"/>
      <c r="DM107" s="9"/>
      <c r="DN107" s="9"/>
      <c r="DO107" s="9"/>
      <c r="DP107" s="9"/>
      <c r="DQ107" s="9"/>
      <c r="DR107" s="9"/>
      <c r="DS107" s="9"/>
      <c r="DT107" s="9"/>
      <c r="DU107" s="9"/>
      <c r="DV107" s="9"/>
      <c r="DW107" s="9"/>
      <c r="DX107" s="9"/>
      <c r="DY107" s="9"/>
      <c r="DZ107" s="9"/>
      <c r="EA107" s="9"/>
    </row>
    <row r="108" spans="1:131">
      <c r="A108" s="9"/>
      <c r="B108" s="9"/>
      <c r="C108" s="34"/>
      <c r="D108" s="34"/>
      <c r="E108" s="34"/>
      <c r="F108" s="34"/>
      <c r="G108" s="34"/>
      <c r="H108" s="34"/>
      <c r="I108" s="34"/>
      <c r="J108" s="34"/>
      <c r="K108" s="34"/>
      <c r="L108" s="34"/>
      <c r="M108" s="34"/>
      <c r="N108" s="34"/>
      <c r="O108" s="34"/>
      <c r="P108" s="34"/>
      <c r="Q108" s="34"/>
      <c r="R108" s="34"/>
      <c r="S108" s="34"/>
      <c r="T108" s="34"/>
      <c r="U108" s="34"/>
      <c r="V108" s="34"/>
      <c r="W108" s="34"/>
      <c r="X108" s="34"/>
      <c r="Y108" s="34"/>
      <c r="Z108" s="34"/>
      <c r="AA108" s="34"/>
      <c r="AB108" s="34"/>
      <c r="AC108" s="34"/>
      <c r="AD108" s="34"/>
      <c r="AE108" s="34"/>
      <c r="AF108" s="34"/>
      <c r="AG108" s="34"/>
      <c r="AH108" s="34"/>
      <c r="AI108" s="34"/>
      <c r="AJ108" s="34"/>
      <c r="AK108" s="34"/>
      <c r="AL108" s="34"/>
      <c r="AM108" s="34"/>
      <c r="AN108" s="34"/>
      <c r="AO108" s="34"/>
      <c r="AP108" s="34"/>
      <c r="AQ108" s="34"/>
      <c r="AR108" s="34"/>
      <c r="AS108" s="34"/>
      <c r="AT108" s="34"/>
      <c r="AU108" s="34"/>
      <c r="AV108" s="34"/>
      <c r="AW108" s="34"/>
      <c r="AX108" s="34"/>
      <c r="AY108" s="34"/>
      <c r="AZ108" s="34"/>
      <c r="BA108" s="34"/>
      <c r="BB108" s="34"/>
      <c r="BC108" s="34"/>
      <c r="BD108" s="34"/>
      <c r="BE108" s="34"/>
      <c r="BF108" s="34"/>
      <c r="BG108" s="34"/>
      <c r="BH108" s="34"/>
      <c r="BI108" s="34"/>
      <c r="BJ108" s="34"/>
      <c r="BK108" s="34"/>
      <c r="BL108" s="34"/>
      <c r="BM108" s="34"/>
      <c r="BN108" s="34"/>
      <c r="BO108" s="34"/>
      <c r="BP108" s="34"/>
      <c r="BQ108" s="34"/>
      <c r="BR108" s="34"/>
      <c r="BS108" s="34"/>
      <c r="BT108" s="34"/>
      <c r="BU108" s="34"/>
      <c r="BV108" s="34"/>
      <c r="BW108" s="34"/>
      <c r="BX108" s="34"/>
      <c r="BY108" s="34"/>
      <c r="BZ108" s="34"/>
      <c r="CA108" s="34"/>
      <c r="CB108" s="34"/>
      <c r="CC108" s="34"/>
      <c r="CD108" s="34"/>
      <c r="CE108" s="34"/>
      <c r="CF108" s="34"/>
      <c r="CG108" s="34"/>
      <c r="CH108" s="34"/>
      <c r="CI108" s="34"/>
      <c r="CJ108" s="34"/>
      <c r="CK108" s="34"/>
      <c r="CL108" s="34"/>
      <c r="CM108" s="34"/>
      <c r="CN108" s="34"/>
      <c r="CO108" s="34"/>
      <c r="CP108" s="34"/>
      <c r="CQ108" s="34"/>
      <c r="CR108" s="34"/>
      <c r="CS108" s="34"/>
      <c r="CT108" s="34"/>
      <c r="CU108" s="34"/>
      <c r="CV108" s="34"/>
      <c r="CW108" s="34"/>
      <c r="CX108" s="9"/>
      <c r="CY108" s="9"/>
      <c r="CZ108" s="9"/>
      <c r="DA108" s="9"/>
      <c r="DB108" s="9"/>
      <c r="DC108" s="9"/>
      <c r="DD108" s="9"/>
      <c r="DE108" s="9"/>
      <c r="DF108" s="9"/>
      <c r="DG108" s="9"/>
      <c r="DH108" s="9"/>
      <c r="DI108" s="9"/>
      <c r="DJ108" s="9"/>
      <c r="DK108" s="9"/>
      <c r="DL108" s="9"/>
      <c r="DM108" s="9"/>
      <c r="DN108" s="9"/>
      <c r="DO108" s="9"/>
      <c r="DP108" s="9"/>
      <c r="DQ108" s="9"/>
      <c r="DR108" s="9"/>
      <c r="DS108" s="9"/>
      <c r="DT108" s="9"/>
      <c r="DU108" s="9"/>
      <c r="DV108" s="9"/>
      <c r="DW108" s="9"/>
      <c r="DX108" s="9"/>
      <c r="DY108" s="9"/>
      <c r="DZ108" s="9"/>
      <c r="EA108" s="9"/>
    </row>
  </sheetData>
  <mergeCells count="3">
    <mergeCell ref="I6:N6"/>
    <mergeCell ref="O6:P6"/>
    <mergeCell ref="R6:T6"/>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sheetPr codeName="Sheet9"/>
  <dimension ref="A1:DB129"/>
  <sheetViews>
    <sheetView topLeftCell="A96" workbookViewId="0">
      <selection activeCell="I118" sqref="I118:I129"/>
    </sheetView>
  </sheetViews>
  <sheetFormatPr defaultRowHeight="12.75"/>
  <cols>
    <col min="2" max="2" width="106.28515625" customWidth="1"/>
  </cols>
  <sheetData>
    <row r="1" spans="1:106">
      <c r="B1" t="s">
        <v>1004</v>
      </c>
    </row>
    <row r="3" spans="1:106" s="9" customFormat="1">
      <c r="B3" s="14" t="s">
        <v>3</v>
      </c>
      <c r="C3" s="15"/>
      <c r="D3" s="15"/>
      <c r="E3" s="15"/>
      <c r="F3" s="15"/>
      <c r="G3" s="15"/>
      <c r="H3" s="16"/>
      <c r="I3" s="17"/>
      <c r="J3" s="613" t="s">
        <v>4</v>
      </c>
      <c r="K3" s="614"/>
      <c r="L3" s="614"/>
      <c r="M3" s="614"/>
      <c r="N3" s="614"/>
      <c r="O3" s="615"/>
      <c r="P3" s="616" t="s">
        <v>5</v>
      </c>
      <c r="Q3" s="617"/>
      <c r="R3" s="18"/>
      <c r="S3" s="19"/>
      <c r="T3" s="19"/>
      <c r="U3" s="19"/>
      <c r="V3" s="19"/>
      <c r="W3" s="19"/>
      <c r="X3" s="19"/>
      <c r="Y3" s="20"/>
      <c r="Z3" s="21"/>
      <c r="AA3" s="19"/>
      <c r="AB3" s="19"/>
      <c r="AC3" s="19"/>
      <c r="AD3" s="19"/>
      <c r="AE3" s="19"/>
      <c r="AF3" s="22"/>
      <c r="AG3" s="22"/>
      <c r="AH3" s="22"/>
      <c r="AI3" s="22"/>
      <c r="AJ3" s="22"/>
      <c r="AK3" s="22"/>
      <c r="AL3" s="22"/>
      <c r="AM3" s="22"/>
      <c r="AN3" s="22"/>
      <c r="AO3" s="22"/>
      <c r="AP3" s="22"/>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row>
    <row r="4" spans="1:106" s="9" customFormat="1" ht="38.25">
      <c r="B4" s="23" t="s">
        <v>6</v>
      </c>
      <c r="C4" s="23" t="s">
        <v>7</v>
      </c>
      <c r="D4" s="23" t="s">
        <v>8</v>
      </c>
      <c r="E4" s="23" t="s">
        <v>9</v>
      </c>
      <c r="F4" s="23" t="s">
        <v>10</v>
      </c>
      <c r="G4" s="23" t="s">
        <v>11</v>
      </c>
      <c r="H4" s="23" t="s">
        <v>12</v>
      </c>
      <c r="I4" s="23" t="s">
        <v>13</v>
      </c>
      <c r="J4" s="23" t="s">
        <v>14</v>
      </c>
      <c r="K4" s="23" t="s">
        <v>15</v>
      </c>
      <c r="L4" s="23" t="s">
        <v>16</v>
      </c>
      <c r="M4" s="23" t="s">
        <v>17</v>
      </c>
      <c r="N4" s="23" t="s">
        <v>18</v>
      </c>
      <c r="O4" s="23" t="s">
        <v>19</v>
      </c>
      <c r="P4" s="24" t="s">
        <v>20</v>
      </c>
      <c r="Q4" s="23" t="s">
        <v>12</v>
      </c>
      <c r="R4" s="25"/>
      <c r="S4" s="25"/>
      <c r="T4" s="25"/>
      <c r="U4" s="25"/>
      <c r="V4" s="25"/>
      <c r="W4" s="25"/>
      <c r="X4" s="25"/>
      <c r="Y4" s="25"/>
      <c r="Z4" s="25"/>
      <c r="AA4" s="25"/>
      <c r="AB4" s="25"/>
      <c r="AC4" s="25"/>
      <c r="AD4" s="25"/>
      <c r="AE4" s="25"/>
      <c r="AF4" s="22"/>
      <c r="AG4" s="22"/>
      <c r="AH4" s="22"/>
      <c r="AI4" s="22"/>
      <c r="AJ4" s="22"/>
      <c r="AK4" s="22"/>
      <c r="AL4" s="22"/>
      <c r="AM4" s="22"/>
      <c r="AN4" s="22"/>
      <c r="AO4" s="22"/>
      <c r="AP4" s="22"/>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row>
    <row r="5" spans="1:106">
      <c r="A5" t="str">
        <f>Compiled!A5</f>
        <v>Heating Zone 1 - Cooling Zone 1</v>
      </c>
      <c r="B5" t="str">
        <f>LEFT(Compiled!B5,LEN(Compiled!B5)-33)</f>
        <v xml:space="preserve">Ground Source Heat Pump Upgrade from Air Source Heat Pump - With Desuperheater - New House less than 4000 square feet </v>
      </c>
      <c r="C5" t="str">
        <f>Compiled!C5</f>
        <v>heat</v>
      </c>
      <c r="D5">
        <f>Compiled!D5*VLOOKUP($A5,Weighting!$A$19:$C$27,3,FALSE)</f>
        <v>169.10170608963188</v>
      </c>
      <c r="E5">
        <f>Compiled!E5</f>
        <v>20</v>
      </c>
      <c r="F5">
        <f>Compiled!F5*VLOOKUP($A5,Weighting!$A$19:$C$27,3,FALSE)</f>
        <v>24.29530905564291</v>
      </c>
      <c r="G5">
        <f>Compiled!G5</f>
        <v>0</v>
      </c>
      <c r="H5" t="str">
        <f>Compiled!H5</f>
        <v>ResSpHtHPZ1</v>
      </c>
      <c r="I5">
        <f>Compiled!I5</f>
        <v>45.720399079587551</v>
      </c>
    </row>
    <row r="6" spans="1:106">
      <c r="A6" t="str">
        <f>Compiled!A6</f>
        <v>Heating Zone 1 - Cooling Zone 1</v>
      </c>
      <c r="B6" t="str">
        <f>LEFT(Compiled!B6,LEN(Compiled!B6)-33)</f>
        <v xml:space="preserve">Ground Source Heat Pump Upgrade from Air Source Heat Pump - With Desuperheater - New House less than 4000 square feet </v>
      </c>
      <c r="C6" t="str">
        <f>Compiled!C6</f>
        <v>cool</v>
      </c>
      <c r="D6">
        <f>Compiled!D6*VLOOKUP($A6,Weighting!$A$19:$C$27,3,FALSE)</f>
        <v>18.560791039425862</v>
      </c>
      <c r="E6">
        <f>Compiled!E6</f>
        <v>20</v>
      </c>
      <c r="F6">
        <f>Compiled!F6*VLOOKUP($A6,Weighting!$A$19:$C$27,3,FALSE)</f>
        <v>0</v>
      </c>
      <c r="G6">
        <f>Compiled!G6</f>
        <v>0</v>
      </c>
      <c r="H6" t="str">
        <f>Compiled!H6</f>
        <v>ResCACPNW</v>
      </c>
      <c r="I6">
        <f>Compiled!I6</f>
        <v>0</v>
      </c>
    </row>
    <row r="7" spans="1:106">
      <c r="A7" t="str">
        <f>Compiled!A7</f>
        <v>Heating Zone 1 - Cooling Zone 1</v>
      </c>
      <c r="B7" t="str">
        <f>LEFT(Compiled!B7,LEN(Compiled!B7)-33)</f>
        <v xml:space="preserve">Ground Source Heat Pump Upgrade from Air Source Heat Pump - With Desuperheater - New House less than 4000 square feet </v>
      </c>
      <c r="C7" t="str">
        <f>Compiled!C7</f>
        <v>dhw</v>
      </c>
      <c r="D7">
        <f>Compiled!D7*VLOOKUP($A7,Weighting!$A$19:$C$27,3,FALSE)</f>
        <v>724.03300365097198</v>
      </c>
      <c r="E7">
        <f>Compiled!E7</f>
        <v>20</v>
      </c>
      <c r="F7">
        <f>Compiled!F7*VLOOKUP($A7,Weighting!$A$19:$C$27,3,FALSE)</f>
        <v>2177.6234658237627</v>
      </c>
      <c r="G7">
        <f>Compiled!G7</f>
        <v>0</v>
      </c>
      <c r="H7" t="str">
        <f>Compiled!H7</f>
        <v>ResDHW</v>
      </c>
      <c r="I7">
        <f>Compiled!I7</f>
        <v>0</v>
      </c>
    </row>
    <row r="8" spans="1:106">
      <c r="A8" t="str">
        <f>Compiled!A8</f>
        <v>Heating Zone 1 - Cooling Zone 2</v>
      </c>
      <c r="B8" t="str">
        <f>LEFT(Compiled!B8,LEN(Compiled!B8)-33)</f>
        <v xml:space="preserve">Ground Source Heat Pump Upgrade from Air Source Heat Pump - With Desuperheater - New House less than 4000 square feet </v>
      </c>
      <c r="C8" t="str">
        <f>Compiled!C8</f>
        <v>heat</v>
      </c>
      <c r="D8">
        <f>Compiled!D8*VLOOKUP($A8,Weighting!$A$19:$C$27,3,FALSE)</f>
        <v>39.011138950808032</v>
      </c>
      <c r="E8">
        <f>Compiled!E8</f>
        <v>20</v>
      </c>
      <c r="F8">
        <f>Compiled!F8*VLOOKUP($A8,Weighting!$A$19:$C$27,3,FALSE)</f>
        <v>5.6048380547984422</v>
      </c>
      <c r="G8">
        <f>Compiled!G8</f>
        <v>0</v>
      </c>
      <c r="H8" t="str">
        <f>Compiled!H8</f>
        <v>ResSpHtHPZ1</v>
      </c>
      <c r="I8">
        <f>Compiled!I8</f>
        <v>45.720399079587551</v>
      </c>
    </row>
    <row r="9" spans="1:106">
      <c r="A9" t="str">
        <f>Compiled!A9</f>
        <v>Heating Zone 1 - Cooling Zone 2</v>
      </c>
      <c r="B9" t="str">
        <f>LEFT(Compiled!B9,LEN(Compiled!B9)-33)</f>
        <v xml:space="preserve">Ground Source Heat Pump Upgrade from Air Source Heat Pump - With Desuperheater - New House less than 4000 square feet </v>
      </c>
      <c r="C9" t="str">
        <f>Compiled!C9</f>
        <v>cool</v>
      </c>
      <c r="D9">
        <f>Compiled!D9*VLOOKUP($A9,Weighting!$A$19:$C$27,3,FALSE)</f>
        <v>13.45756037193885</v>
      </c>
      <c r="E9">
        <f>Compiled!E9</f>
        <v>20</v>
      </c>
      <c r="F9">
        <f>Compiled!F9*VLOOKUP($A9,Weighting!$A$19:$C$27,3,FALSE)</f>
        <v>0</v>
      </c>
      <c r="G9">
        <f>Compiled!G9</f>
        <v>0</v>
      </c>
      <c r="H9" t="str">
        <f>Compiled!H9</f>
        <v>ResCACPNW</v>
      </c>
      <c r="I9">
        <f>Compiled!I9</f>
        <v>0</v>
      </c>
    </row>
    <row r="10" spans="1:106">
      <c r="A10" t="str">
        <f>Compiled!A10</f>
        <v>Heating Zone 1 - Cooling Zone 2</v>
      </c>
      <c r="B10" t="str">
        <f>LEFT(Compiled!B10,LEN(Compiled!B10)-33)</f>
        <v xml:space="preserve">Ground Source Heat Pump Upgrade from Air Source Heat Pump - With Desuperheater - New House less than 4000 square feet </v>
      </c>
      <c r="C10" t="str">
        <f>Compiled!C10</f>
        <v>dhw</v>
      </c>
      <c r="D10">
        <f>Compiled!D10*VLOOKUP($A10,Weighting!$A$19:$C$27,3,FALSE)</f>
        <v>167.03173943985874</v>
      </c>
      <c r="E10">
        <f>Compiled!E10</f>
        <v>20</v>
      </c>
      <c r="F10">
        <f>Compiled!F10*VLOOKUP($A10,Weighting!$A$19:$C$27,3,FALSE)</f>
        <v>502.36968965152022</v>
      </c>
      <c r="G10">
        <f>Compiled!G10</f>
        <v>0</v>
      </c>
      <c r="H10" t="str">
        <f>Compiled!H10</f>
        <v>ResDHW</v>
      </c>
      <c r="I10">
        <f>Compiled!I10</f>
        <v>0</v>
      </c>
    </row>
    <row r="11" spans="1:106">
      <c r="A11" t="str">
        <f>Compiled!A11</f>
        <v>Heating Zone 1 - Cooling Zone 3</v>
      </c>
      <c r="B11" t="str">
        <f>LEFT(Compiled!B11,LEN(Compiled!B11)-33)</f>
        <v xml:space="preserve">Ground Source Heat Pump Upgrade from Air Source Heat Pump - With Desuperheater - New House less than 4000 square feet </v>
      </c>
      <c r="C11" t="str">
        <f>Compiled!C11</f>
        <v>heat</v>
      </c>
      <c r="D11">
        <f>Compiled!D11*VLOOKUP($A11,Weighting!$A$19:$C$27,3,FALSE)</f>
        <v>30.851560490949769</v>
      </c>
      <c r="E11">
        <f>Compiled!E11</f>
        <v>20</v>
      </c>
      <c r="F11">
        <f>Compiled!F11*VLOOKUP($A11,Weighting!$A$19:$C$27,3,FALSE)</f>
        <v>4.4325288863684857</v>
      </c>
      <c r="G11">
        <f>Compiled!G11</f>
        <v>0</v>
      </c>
      <c r="H11" t="str">
        <f>Compiled!H11</f>
        <v>ResSpHtHPZ1</v>
      </c>
      <c r="I11">
        <f>Compiled!I11</f>
        <v>45.720399079587551</v>
      </c>
    </row>
    <row r="12" spans="1:106">
      <c r="A12" t="str">
        <f>Compiled!A12</f>
        <v>Heating Zone 1 - Cooling Zone 3</v>
      </c>
      <c r="B12" t="str">
        <f>LEFT(Compiled!B12,LEN(Compiled!B12)-33)</f>
        <v xml:space="preserve">Ground Source Heat Pump Upgrade from Air Source Heat Pump - With Desuperheater - New House less than 4000 square feet </v>
      </c>
      <c r="C12" t="str">
        <f>Compiled!C12</f>
        <v>cool</v>
      </c>
      <c r="D12">
        <f>Compiled!D12*VLOOKUP($A12,Weighting!$A$19:$C$27,3,FALSE)</f>
        <v>22.573757052725181</v>
      </c>
      <c r="E12">
        <f>Compiled!E12</f>
        <v>20</v>
      </c>
      <c r="F12">
        <f>Compiled!F12*VLOOKUP($A12,Weighting!$A$19:$C$27,3,FALSE)</f>
        <v>0</v>
      </c>
      <c r="G12">
        <f>Compiled!G12</f>
        <v>0</v>
      </c>
      <c r="H12" t="str">
        <f>Compiled!H12</f>
        <v>ResCACPNW</v>
      </c>
      <c r="I12">
        <f>Compiled!I12</f>
        <v>0</v>
      </c>
    </row>
    <row r="13" spans="1:106">
      <c r="A13" t="str">
        <f>Compiled!A13</f>
        <v>Heating Zone 1 - Cooling Zone 3</v>
      </c>
      <c r="B13" t="str">
        <f>LEFT(Compiled!B13,LEN(Compiled!B13)-33)</f>
        <v xml:space="preserve">Ground Source Heat Pump Upgrade from Air Source Heat Pump - With Desuperheater - New House less than 4000 square feet </v>
      </c>
      <c r="C13" t="str">
        <f>Compiled!C13</f>
        <v>dhw</v>
      </c>
      <c r="D13">
        <f>Compiled!D13*VLOOKUP($A13,Weighting!$A$19:$C$27,3,FALSE)</f>
        <v>132.09534383847117</v>
      </c>
      <c r="E13">
        <f>Compiled!E13</f>
        <v>20</v>
      </c>
      <c r="F13">
        <f>Compiled!F13*VLOOKUP($A13,Weighting!$A$19:$C$27,3,FALSE)</f>
        <v>397.29393414140532</v>
      </c>
      <c r="G13">
        <f>Compiled!G13</f>
        <v>0</v>
      </c>
      <c r="H13" t="str">
        <f>Compiled!H13</f>
        <v>ResDHW</v>
      </c>
      <c r="I13">
        <f>Compiled!I13</f>
        <v>0</v>
      </c>
    </row>
    <row r="14" spans="1:106">
      <c r="A14" t="str">
        <f>Compiled!A14</f>
        <v>Heating Zone 2 - Cooling Zone 1</v>
      </c>
      <c r="B14" t="str">
        <f>LEFT(Compiled!B14,LEN(Compiled!B14)-33)</f>
        <v xml:space="preserve">Ground Source Heat Pump Upgrade from Air Source Heat Pump - With Desuperheater - New House less than 4000 square feet </v>
      </c>
      <c r="C14" t="str">
        <f>Compiled!C14</f>
        <v>heat</v>
      </c>
      <c r="D14">
        <f>Compiled!D14*VLOOKUP($A14,Weighting!$A$19:$C$27,3,FALSE)</f>
        <v>53.357912341723207</v>
      </c>
      <c r="E14">
        <f>Compiled!E14</f>
        <v>20</v>
      </c>
      <c r="F14">
        <f>Compiled!F14*VLOOKUP($A14,Weighting!$A$19:$C$27,3,FALSE)</f>
        <v>2.2089698752763889</v>
      </c>
      <c r="G14">
        <f>Compiled!G14</f>
        <v>0</v>
      </c>
      <c r="H14" t="str">
        <f>Compiled!H14</f>
        <v>ResSpHtHPZ2</v>
      </c>
      <c r="I14">
        <f>Compiled!I14</f>
        <v>46.119765184035444</v>
      </c>
    </row>
    <row r="15" spans="1:106">
      <c r="A15" t="str">
        <f>Compiled!A15</f>
        <v>Heating Zone 2 - Cooling Zone 1</v>
      </c>
      <c r="B15" t="str">
        <f>LEFT(Compiled!B15,LEN(Compiled!B15)-33)</f>
        <v xml:space="preserve">Ground Source Heat Pump Upgrade from Air Source Heat Pump - With Desuperheater - New House less than 4000 square feet </v>
      </c>
      <c r="C15" t="str">
        <f>Compiled!C15</f>
        <v>cool</v>
      </c>
      <c r="D15">
        <f>Compiled!D15*VLOOKUP($A15,Weighting!$A$19:$C$27,3,FALSE)</f>
        <v>1.6729646785518366</v>
      </c>
      <c r="E15">
        <f>Compiled!E15</f>
        <v>20</v>
      </c>
      <c r="F15">
        <f>Compiled!F15*VLOOKUP($A15,Weighting!$A$19:$C$27,3,FALSE)</f>
        <v>0</v>
      </c>
      <c r="G15">
        <f>Compiled!G15</f>
        <v>0</v>
      </c>
      <c r="H15" t="str">
        <f>Compiled!H15</f>
        <v>ResCACPNW</v>
      </c>
      <c r="I15">
        <f>Compiled!I15</f>
        <v>0</v>
      </c>
    </row>
    <row r="16" spans="1:106">
      <c r="A16" t="str">
        <f>Compiled!A16</f>
        <v>Heating Zone 2 - Cooling Zone 1</v>
      </c>
      <c r="B16" t="str">
        <f>LEFT(Compiled!B16,LEN(Compiled!B16)-33)</f>
        <v xml:space="preserve">Ground Source Heat Pump Upgrade from Air Source Heat Pump - With Desuperheater - New House less than 4000 square feet </v>
      </c>
      <c r="C16" t="str">
        <f>Compiled!C16</f>
        <v>dhw</v>
      </c>
      <c r="D16">
        <f>Compiled!D16*VLOOKUP($A16,Weighting!$A$19:$C$27,3,FALSE)</f>
        <v>91.34089673626076</v>
      </c>
      <c r="E16">
        <f>Compiled!E16</f>
        <v>20</v>
      </c>
      <c r="F16">
        <f>Compiled!F16*VLOOKUP($A16,Weighting!$A$19:$C$27,3,FALSE)</f>
        <v>389.66112434559392</v>
      </c>
      <c r="G16">
        <f>Compiled!G16</f>
        <v>0</v>
      </c>
      <c r="H16" t="str">
        <f>Compiled!H16</f>
        <v>ResDHW</v>
      </c>
      <c r="I16">
        <f>Compiled!I16</f>
        <v>0</v>
      </c>
    </row>
    <row r="17" spans="1:9">
      <c r="A17" t="str">
        <f>Compiled!A17</f>
        <v>Heating Zone 2 - Cooling Zone 2</v>
      </c>
      <c r="B17" t="str">
        <f>LEFT(Compiled!B17,LEN(Compiled!B17)-33)</f>
        <v xml:space="preserve">Ground Source Heat Pump Upgrade from Air Source Heat Pump - With Desuperheater - New House less than 4000 square feet </v>
      </c>
      <c r="C17" t="str">
        <f>Compiled!C17</f>
        <v>heat</v>
      </c>
      <c r="D17">
        <f>Compiled!D17*VLOOKUP($A17,Weighting!$A$19:$C$27,3,FALSE)</f>
        <v>122.12448554180772</v>
      </c>
      <c r="E17">
        <f>Compiled!E17</f>
        <v>20</v>
      </c>
      <c r="F17">
        <f>Compiled!F17*VLOOKUP($A17,Weighting!$A$19:$C$27,3,FALSE)</f>
        <v>5.0558445365662124</v>
      </c>
      <c r="G17">
        <f>Compiled!G17</f>
        <v>0</v>
      </c>
      <c r="H17" t="str">
        <f>Compiled!H17</f>
        <v>ResSpHtHPZ2</v>
      </c>
      <c r="I17">
        <f>Compiled!I17</f>
        <v>46.119765184035444</v>
      </c>
    </row>
    <row r="18" spans="1:9">
      <c r="A18" t="str">
        <f>Compiled!A18</f>
        <v>Heating Zone 2 - Cooling Zone 2</v>
      </c>
      <c r="B18" t="str">
        <f>LEFT(Compiled!B18,LEN(Compiled!B18)-33)</f>
        <v xml:space="preserve">Ground Source Heat Pump Upgrade from Air Source Heat Pump - With Desuperheater - New House less than 4000 square feet </v>
      </c>
      <c r="C18" t="str">
        <f>Compiled!C18</f>
        <v>cool</v>
      </c>
      <c r="D18">
        <f>Compiled!D18*VLOOKUP($A18,Weighting!$A$19:$C$27,3,FALSE)</f>
        <v>12.034274250760673</v>
      </c>
      <c r="E18">
        <f>Compiled!E18</f>
        <v>20</v>
      </c>
      <c r="F18">
        <f>Compiled!F18*VLOOKUP($A18,Weighting!$A$19:$C$27,3,FALSE)</f>
        <v>0</v>
      </c>
      <c r="G18">
        <f>Compiled!G18</f>
        <v>0</v>
      </c>
      <c r="H18" t="str">
        <f>Compiled!H18</f>
        <v>ResCACPNW</v>
      </c>
      <c r="I18">
        <f>Compiled!I18</f>
        <v>0</v>
      </c>
    </row>
    <row r="19" spans="1:9">
      <c r="A19" t="str">
        <f>Compiled!A19</f>
        <v>Heating Zone 2 - Cooling Zone 2</v>
      </c>
      <c r="B19" t="str">
        <f>LEFT(Compiled!B19,LEN(Compiled!B19)-33)</f>
        <v xml:space="preserve">Ground Source Heat Pump Upgrade from Air Source Heat Pump - With Desuperheater - New House less than 4000 square feet </v>
      </c>
      <c r="C19" t="str">
        <f>Compiled!C19</f>
        <v>dhw</v>
      </c>
      <c r="D19">
        <f>Compiled!D19*VLOOKUP($A19,Weighting!$A$19:$C$27,3,FALSE)</f>
        <v>209.05915417760093</v>
      </c>
      <c r="E19">
        <f>Compiled!E19</f>
        <v>20</v>
      </c>
      <c r="F19">
        <f>Compiled!F19*VLOOKUP($A19,Weighting!$A$19:$C$27,3,FALSE)</f>
        <v>891.84831748256477</v>
      </c>
      <c r="G19">
        <f>Compiled!G19</f>
        <v>0</v>
      </c>
      <c r="H19" t="str">
        <f>Compiled!H19</f>
        <v>ResDHW</v>
      </c>
      <c r="I19">
        <f>Compiled!I19</f>
        <v>0</v>
      </c>
    </row>
    <row r="20" spans="1:9">
      <c r="A20" t="str">
        <f>Compiled!A20</f>
        <v>Heating Zone 2 - Cooling Zone 3</v>
      </c>
      <c r="B20" t="str">
        <f>LEFT(Compiled!B20,LEN(Compiled!B20)-33)</f>
        <v xml:space="preserve">Ground Source Heat Pump Upgrade from Air Source Heat Pump - With Desuperheater - New House less than 4000 square feet </v>
      </c>
      <c r="C20" t="str">
        <f>Compiled!C20</f>
        <v>heat</v>
      </c>
      <c r="D20">
        <f>Compiled!D20*VLOOKUP($A20,Weighting!$A$19:$C$27,3,FALSE)</f>
        <v>8.384718199543272</v>
      </c>
      <c r="E20">
        <f>Compiled!E20</f>
        <v>20</v>
      </c>
      <c r="F20">
        <f>Compiled!F20*VLOOKUP($A20,Weighting!$A$19:$C$27,3,FALSE)</f>
        <v>0.34711983851343109</v>
      </c>
      <c r="G20">
        <f>Compiled!G20</f>
        <v>0</v>
      </c>
      <c r="H20" t="str">
        <f>Compiled!H20</f>
        <v>ResSpHtHPZ2</v>
      </c>
      <c r="I20">
        <f>Compiled!I20</f>
        <v>46.119765184035444</v>
      </c>
    </row>
    <row r="21" spans="1:9">
      <c r="A21" t="str">
        <f>Compiled!A21</f>
        <v>Heating Zone 2 - Cooling Zone 3</v>
      </c>
      <c r="B21" t="str">
        <f>LEFT(Compiled!B21,LEN(Compiled!B21)-33)</f>
        <v xml:space="preserve">Ground Source Heat Pump Upgrade from Air Source Heat Pump - With Desuperheater - New House less than 4000 square feet </v>
      </c>
      <c r="C21" t="str">
        <f>Compiled!C21</f>
        <v>cool</v>
      </c>
      <c r="D21">
        <f>Compiled!D21*VLOOKUP($A21,Weighting!$A$19:$C$27,3,FALSE)</f>
        <v>1.75248630316886</v>
      </c>
      <c r="E21">
        <f>Compiled!E21</f>
        <v>20</v>
      </c>
      <c r="F21">
        <f>Compiled!F21*VLOOKUP($A21,Weighting!$A$19:$C$27,3,FALSE)</f>
        <v>0</v>
      </c>
      <c r="G21">
        <f>Compiled!G21</f>
        <v>0</v>
      </c>
      <c r="H21" t="str">
        <f>Compiled!H21</f>
        <v>ResCACPNW</v>
      </c>
      <c r="I21">
        <f>Compiled!I21</f>
        <v>0</v>
      </c>
    </row>
    <row r="22" spans="1:9">
      <c r="A22" t="str">
        <f>Compiled!A22</f>
        <v>Heating Zone 2 - Cooling Zone 3</v>
      </c>
      <c r="B22" t="str">
        <f>LEFT(Compiled!B22,LEN(Compiled!B22)-33)</f>
        <v xml:space="preserve">Ground Source Heat Pump Upgrade from Air Source Heat Pump - With Desuperheater - New House less than 4000 square feet </v>
      </c>
      <c r="C22" t="str">
        <f>Compiled!C22</f>
        <v>dhw</v>
      </c>
      <c r="D22">
        <f>Compiled!D22*VLOOKUP($A22,Weighting!$A$19:$C$27,3,FALSE)</f>
        <v>14.353404127249899</v>
      </c>
      <c r="E22">
        <f>Compiled!E22</f>
        <v>20</v>
      </c>
      <c r="F22">
        <f>Compiled!F22*VLOOKUP($A22,Weighting!$A$19:$C$27,3,FALSE)</f>
        <v>61.231756970375507</v>
      </c>
      <c r="G22">
        <f>Compiled!G22</f>
        <v>0</v>
      </c>
      <c r="H22" t="str">
        <f>Compiled!H22</f>
        <v>ResDHW</v>
      </c>
      <c r="I22">
        <f>Compiled!I22</f>
        <v>0</v>
      </c>
    </row>
    <row r="23" spans="1:9">
      <c r="A23" t="str">
        <f>Compiled!A23</f>
        <v>Heating Zone 3 - Cooling Zone 1</v>
      </c>
      <c r="B23" t="str">
        <f>LEFT(Compiled!B23,LEN(Compiled!B23)-33)</f>
        <v xml:space="preserve">Ground Source Heat Pump Upgrade from Air Source Heat Pump - With Desuperheater - New House less than 4000 square feet </v>
      </c>
      <c r="C23" t="str">
        <f>Compiled!C23</f>
        <v>heat</v>
      </c>
      <c r="D23">
        <f>Compiled!D23*VLOOKUP($A23,Weighting!$A$19:$C$27,3,FALSE)</f>
        <v>110.80672709793352</v>
      </c>
      <c r="E23">
        <f>Compiled!E23</f>
        <v>20</v>
      </c>
      <c r="F23">
        <f>Compiled!F23*VLOOKUP($A23,Weighting!$A$19:$C$27,3,FALSE)</f>
        <v>3.1668439440478409</v>
      </c>
      <c r="G23">
        <f>Compiled!G23</f>
        <v>0</v>
      </c>
      <c r="H23" t="str">
        <f>Compiled!H23</f>
        <v>ResSpHtHPZ3</v>
      </c>
      <c r="I23">
        <f>Compiled!I23</f>
        <v>49.943845541875454</v>
      </c>
    </row>
    <row r="24" spans="1:9">
      <c r="A24" t="str">
        <f>Compiled!A24</f>
        <v>Heating Zone 3 - Cooling Zone 1</v>
      </c>
      <c r="B24" t="str">
        <f>LEFT(Compiled!B24,LEN(Compiled!B24)-33)</f>
        <v xml:space="preserve">Ground Source Heat Pump Upgrade from Air Source Heat Pump - With Desuperheater - New House less than 4000 square feet </v>
      </c>
      <c r="C24" t="str">
        <f>Compiled!C24</f>
        <v>cool</v>
      </c>
      <c r="D24">
        <f>Compiled!D24*VLOOKUP($A24,Weighting!$A$19:$C$27,3,FALSE)</f>
        <v>2.2147706001548126</v>
      </c>
      <c r="E24">
        <f>Compiled!E24</f>
        <v>20</v>
      </c>
      <c r="F24">
        <f>Compiled!F24*VLOOKUP($A24,Weighting!$A$19:$C$27,3,FALSE)</f>
        <v>0</v>
      </c>
      <c r="G24">
        <f>Compiled!G24</f>
        <v>0</v>
      </c>
      <c r="H24" t="str">
        <f>Compiled!H24</f>
        <v>ResCACPNW</v>
      </c>
      <c r="I24">
        <f>Compiled!I24</f>
        <v>0</v>
      </c>
    </row>
    <row r="25" spans="1:9">
      <c r="A25" t="str">
        <f>Compiled!A25</f>
        <v>Heating Zone 3 - Cooling Zone 1</v>
      </c>
      <c r="B25" t="str">
        <f>LEFT(Compiled!B25,LEN(Compiled!B25)-33)</f>
        <v xml:space="preserve">Ground Source Heat Pump Upgrade from Air Source Heat Pump - With Desuperheater - New House less than 4000 square feet </v>
      </c>
      <c r="C25" t="str">
        <f>Compiled!C25</f>
        <v>dhw</v>
      </c>
      <c r="D25">
        <f>Compiled!D25*VLOOKUP($A25,Weighting!$A$19:$C$27,3,FALSE)</f>
        <v>139.48999421984806</v>
      </c>
      <c r="E25">
        <f>Compiled!E25</f>
        <v>20</v>
      </c>
      <c r="F25">
        <f>Compiled!F25*VLOOKUP($A25,Weighting!$A$19:$C$27,3,FALSE)</f>
        <v>832.1862076073985</v>
      </c>
      <c r="G25">
        <f>Compiled!G25</f>
        <v>0</v>
      </c>
      <c r="H25" t="str">
        <f>Compiled!H25</f>
        <v>ResDHW</v>
      </c>
      <c r="I25">
        <f>Compiled!I25</f>
        <v>0</v>
      </c>
    </row>
    <row r="26" spans="1:9">
      <c r="A26" t="str">
        <f>Compiled!A26</f>
        <v>Heating Zone 3 - Cooling Zone 2</v>
      </c>
      <c r="B26" t="str">
        <f>LEFT(Compiled!B26,LEN(Compiled!B26)-33)</f>
        <v xml:space="preserve">Ground Source Heat Pump Upgrade from Air Source Heat Pump - With Desuperheater - New House less than 4000 square feet </v>
      </c>
      <c r="C26" t="str">
        <f>Compiled!C26</f>
        <v>heat</v>
      </c>
      <c r="D26">
        <f>Compiled!D26*VLOOKUP($A26,Weighting!$A$19:$C$27,3,FALSE)</f>
        <v>36.030178577937427</v>
      </c>
      <c r="E26">
        <f>Compiled!E26</f>
        <v>20</v>
      </c>
      <c r="F26">
        <f>Compiled!F26*VLOOKUP($A26,Weighting!$A$19:$C$27,3,FALSE)</f>
        <v>1.029738498923964</v>
      </c>
      <c r="G26">
        <f>Compiled!G26</f>
        <v>0</v>
      </c>
      <c r="H26" t="str">
        <f>Compiled!H26</f>
        <v>ResSpHtHPZ3</v>
      </c>
      <c r="I26">
        <f>Compiled!I26</f>
        <v>49.943845541875454</v>
      </c>
    </row>
    <row r="27" spans="1:9">
      <c r="A27" t="str">
        <f>Compiled!A27</f>
        <v>Heating Zone 3 - Cooling Zone 2</v>
      </c>
      <c r="B27" t="str">
        <f>LEFT(Compiled!B27,LEN(Compiled!B27)-33)</f>
        <v xml:space="preserve">Ground Source Heat Pump Upgrade from Air Source Heat Pump - With Desuperheater - New House less than 4000 square feet </v>
      </c>
      <c r="C27" t="str">
        <f>Compiled!C27</f>
        <v>cool</v>
      </c>
      <c r="D27">
        <f>Compiled!D27*VLOOKUP($A27,Weighting!$A$19:$C$27,3,FALSE)</f>
        <v>2.2633840541681103</v>
      </c>
      <c r="E27">
        <f>Compiled!E27</f>
        <v>20</v>
      </c>
      <c r="F27">
        <f>Compiled!F27*VLOOKUP($A27,Weighting!$A$19:$C$27,3,FALSE)</f>
        <v>0</v>
      </c>
      <c r="G27">
        <f>Compiled!G27</f>
        <v>0</v>
      </c>
      <c r="H27" t="str">
        <f>Compiled!H27</f>
        <v>ResCACPNW</v>
      </c>
      <c r="I27">
        <f>Compiled!I27</f>
        <v>0</v>
      </c>
    </row>
    <row r="28" spans="1:9">
      <c r="A28" t="str">
        <f>Compiled!A28</f>
        <v>Heating Zone 3 - Cooling Zone 2</v>
      </c>
      <c r="B28" t="str">
        <f>LEFT(Compiled!B28,LEN(Compiled!B28)-33)</f>
        <v xml:space="preserve">Ground Source Heat Pump Upgrade from Air Source Heat Pump - With Desuperheater - New House less than 4000 square feet </v>
      </c>
      <c r="C28" t="str">
        <f>Compiled!C28</f>
        <v>dhw</v>
      </c>
      <c r="D28">
        <f>Compiled!D28*VLOOKUP($A28,Weighting!$A$19:$C$27,3,FALSE)</f>
        <v>45.356897845512798</v>
      </c>
      <c r="E28">
        <f>Compiled!E28</f>
        <v>20</v>
      </c>
      <c r="F28">
        <f>Compiled!F28*VLOOKUP($A28,Weighting!$A$19:$C$27,3,FALSE)</f>
        <v>270.59564392413375</v>
      </c>
      <c r="G28">
        <f>Compiled!G28</f>
        <v>0</v>
      </c>
      <c r="H28" t="str">
        <f>Compiled!H28</f>
        <v>ResDHW</v>
      </c>
      <c r="I28">
        <f>Compiled!I28</f>
        <v>0</v>
      </c>
    </row>
    <row r="29" spans="1:9">
      <c r="A29" t="str">
        <f>Compiled!A29</f>
        <v>Heating Zone 3 - Cooling Zone 3</v>
      </c>
      <c r="B29" t="str">
        <f>LEFT(Compiled!B29,LEN(Compiled!B29)-33)</f>
        <v xml:space="preserve">Ground Source Heat Pump Upgrade from Air Source Heat Pump - With Desuperheater - New House less than 4000 square feet </v>
      </c>
      <c r="C29" t="str">
        <f>Compiled!C29</f>
        <v>heat</v>
      </c>
      <c r="D29">
        <f>Compiled!D29*VLOOKUP($A29,Weighting!$A$19:$C$27,3,FALSE)</f>
        <v>0</v>
      </c>
      <c r="E29">
        <f>Compiled!E29</f>
        <v>20</v>
      </c>
      <c r="F29">
        <f>Compiled!F29*VLOOKUP($A29,Weighting!$A$19:$C$27,3,FALSE)</f>
        <v>0</v>
      </c>
      <c r="G29">
        <f>Compiled!G29</f>
        <v>0</v>
      </c>
      <c r="H29" t="str">
        <f>Compiled!H29</f>
        <v>ResSpHtHPZ3</v>
      </c>
      <c r="I29">
        <f>Compiled!I29</f>
        <v>49.943845541875454</v>
      </c>
    </row>
    <row r="30" spans="1:9">
      <c r="A30" t="str">
        <f>Compiled!A30</f>
        <v>Heating Zone 3 - Cooling Zone 3</v>
      </c>
      <c r="B30" t="str">
        <f>LEFT(Compiled!B30,LEN(Compiled!B30)-33)</f>
        <v xml:space="preserve">Ground Source Heat Pump Upgrade from Air Source Heat Pump - With Desuperheater - New House less than 4000 square feet </v>
      </c>
      <c r="C30" t="str">
        <f>Compiled!C30</f>
        <v>cool</v>
      </c>
      <c r="D30">
        <f>Compiled!D30*VLOOKUP($A30,Weighting!$A$19:$C$27,3,FALSE)</f>
        <v>0</v>
      </c>
      <c r="E30">
        <f>Compiled!E30</f>
        <v>20</v>
      </c>
      <c r="F30">
        <f>Compiled!F30*VLOOKUP($A30,Weighting!$A$19:$C$27,3,FALSE)</f>
        <v>0</v>
      </c>
      <c r="G30">
        <f>Compiled!G30</f>
        <v>0</v>
      </c>
      <c r="H30" t="str">
        <f>Compiled!H30</f>
        <v>ResCACPNW</v>
      </c>
      <c r="I30">
        <f>Compiled!I30</f>
        <v>0</v>
      </c>
    </row>
    <row r="31" spans="1:9">
      <c r="A31" t="str">
        <f>Compiled!A31</f>
        <v>Heating Zone 3 - Cooling Zone 3</v>
      </c>
      <c r="B31" t="str">
        <f>LEFT(Compiled!B31,LEN(Compiled!B31)-33)</f>
        <v xml:space="preserve">Ground Source Heat Pump Upgrade from Air Source Heat Pump - With Desuperheater - New House less than 4000 square feet </v>
      </c>
      <c r="C31" t="str">
        <f>Compiled!C31</f>
        <v>dhw</v>
      </c>
      <c r="D31">
        <f>Compiled!D31*VLOOKUP($A31,Weighting!$A$19:$C$27,3,FALSE)</f>
        <v>0</v>
      </c>
      <c r="E31">
        <f>Compiled!E31</f>
        <v>20</v>
      </c>
      <c r="F31">
        <f>Compiled!F31*VLOOKUP($A31,Weighting!$A$19:$C$27,3,FALSE)</f>
        <v>0</v>
      </c>
      <c r="G31">
        <f>Compiled!G31</f>
        <v>0</v>
      </c>
      <c r="H31" t="str">
        <f>Compiled!H31</f>
        <v>ResDHW</v>
      </c>
      <c r="I31">
        <f>Compiled!I31</f>
        <v>0</v>
      </c>
    </row>
    <row r="32" spans="1:9">
      <c r="A32" t="str">
        <f>Compiled!A32</f>
        <v>Heating Zone 1 - Cooling Zone 1</v>
      </c>
      <c r="B32" t="str">
        <f>LEFT(Compiled!B32,LEN(Compiled!B32)-33)</f>
        <v xml:space="preserve">Ground Source Heat Pump Upgrade from Air Source Heat Pump - With Desuperheater - New House 4000 square feet or greater </v>
      </c>
      <c r="C32" t="str">
        <f>Compiled!C32</f>
        <v>heat</v>
      </c>
      <c r="D32">
        <f>Compiled!D32*VLOOKUP($A32,Weighting!$A$19:$C$27,3,FALSE)</f>
        <v>567.92452077556254</v>
      </c>
      <c r="E32">
        <f>Compiled!E32</f>
        <v>20</v>
      </c>
      <c r="F32">
        <f>Compiled!F32*VLOOKUP($A32,Weighting!$A$19:$C$27,3,FALSE)</f>
        <v>46.607513967446963</v>
      </c>
      <c r="G32">
        <f>Compiled!G32</f>
        <v>0</v>
      </c>
      <c r="H32" t="str">
        <f>Compiled!H32</f>
        <v>ResSpHtHPZ1</v>
      </c>
      <c r="I32">
        <f>Compiled!I32</f>
        <v>87.708871445872504</v>
      </c>
    </row>
    <row r="33" spans="1:9">
      <c r="A33" t="str">
        <f>Compiled!A33</f>
        <v>Heating Zone 1 - Cooling Zone 1</v>
      </c>
      <c r="B33" t="str">
        <f>LEFT(Compiled!B33,LEN(Compiled!B33)-33)</f>
        <v xml:space="preserve">Ground Source Heat Pump Upgrade from Air Source Heat Pump - With Desuperheater - New House 4000 square feet or greater </v>
      </c>
      <c r="C33" t="str">
        <f>Compiled!C33</f>
        <v>cool</v>
      </c>
      <c r="D33">
        <f>Compiled!D33*VLOOKUP($A33,Weighting!$A$19:$C$27,3,FALSE)</f>
        <v>31.224443983342812</v>
      </c>
      <c r="E33">
        <f>Compiled!E33</f>
        <v>20</v>
      </c>
      <c r="F33">
        <f>Compiled!F33*VLOOKUP($A33,Weighting!$A$19:$C$27,3,FALSE)</f>
        <v>0</v>
      </c>
      <c r="G33">
        <f>Compiled!G33</f>
        <v>0</v>
      </c>
      <c r="H33" t="str">
        <f>Compiled!H33</f>
        <v>ResCACPNW</v>
      </c>
      <c r="I33">
        <f>Compiled!I33</f>
        <v>0</v>
      </c>
    </row>
    <row r="34" spans="1:9">
      <c r="A34" t="str">
        <f>Compiled!A34</f>
        <v>Heating Zone 1 - Cooling Zone 1</v>
      </c>
      <c r="B34" t="str">
        <f>LEFT(Compiled!B34,LEN(Compiled!B34)-33)</f>
        <v xml:space="preserve">Ground Source Heat Pump Upgrade from Air Source Heat Pump - With Desuperheater - New House 4000 square feet or greater </v>
      </c>
      <c r="C34" t="str">
        <f>Compiled!C34</f>
        <v>dhw</v>
      </c>
      <c r="D34">
        <f>Compiled!D34*VLOOKUP($A34,Weighting!$A$19:$C$27,3,FALSE)</f>
        <v>888.26622836610215</v>
      </c>
      <c r="E34">
        <f>Compiled!E34</f>
        <v>20</v>
      </c>
      <c r="F34">
        <f>Compiled!F34*VLOOKUP($A34,Weighting!$A$19:$C$27,3,FALSE)</f>
        <v>3193.2437680247003</v>
      </c>
      <c r="G34">
        <f>Compiled!G34</f>
        <v>0</v>
      </c>
      <c r="H34" t="str">
        <f>Compiled!H34</f>
        <v>ResDHW</v>
      </c>
      <c r="I34">
        <f>Compiled!I34</f>
        <v>0</v>
      </c>
    </row>
    <row r="35" spans="1:9">
      <c r="A35" t="str">
        <f>Compiled!A35</f>
        <v>Heating Zone 1 - Cooling Zone 2</v>
      </c>
      <c r="B35" t="str">
        <f>LEFT(Compiled!B35,LEN(Compiled!B35)-33)</f>
        <v xml:space="preserve">Ground Source Heat Pump Upgrade from Air Source Heat Pump - With Desuperheater - New House 4000 square feet or greater </v>
      </c>
      <c r="C35" t="str">
        <f>Compiled!C35</f>
        <v>heat</v>
      </c>
      <c r="D35">
        <f>Compiled!D35*VLOOKUP($A35,Weighting!$A$19:$C$27,3,FALSE)</f>
        <v>131.01808908896007</v>
      </c>
      <c r="E35">
        <f>Compiled!E35</f>
        <v>20</v>
      </c>
      <c r="F35">
        <f>Compiled!F35*VLOOKUP($A35,Weighting!$A$19:$C$27,3,FALSE)</f>
        <v>10.752181308993189</v>
      </c>
      <c r="G35">
        <f>Compiled!G35</f>
        <v>0</v>
      </c>
      <c r="H35" t="str">
        <f>Compiled!H35</f>
        <v>ResSpHtHPZ1</v>
      </c>
      <c r="I35">
        <f>Compiled!I35</f>
        <v>87.708871445872504</v>
      </c>
    </row>
    <row r="36" spans="1:9">
      <c r="A36" t="str">
        <f>Compiled!A36</f>
        <v>Heating Zone 1 - Cooling Zone 2</v>
      </c>
      <c r="B36" t="str">
        <f>LEFT(Compiled!B36,LEN(Compiled!B36)-33)</f>
        <v xml:space="preserve">Ground Source Heat Pump Upgrade from Air Source Heat Pump - With Desuperheater - New House 4000 square feet or greater </v>
      </c>
      <c r="C36" t="str">
        <f>Compiled!C36</f>
        <v>cool</v>
      </c>
      <c r="D36">
        <f>Compiled!D36*VLOOKUP($A36,Weighting!$A$19:$C$27,3,FALSE)</f>
        <v>21.191430773627044</v>
      </c>
      <c r="E36">
        <f>Compiled!E36</f>
        <v>20</v>
      </c>
      <c r="F36">
        <f>Compiled!F36*VLOOKUP($A36,Weighting!$A$19:$C$27,3,FALSE)</f>
        <v>0</v>
      </c>
      <c r="G36">
        <f>Compiled!G36</f>
        <v>0</v>
      </c>
      <c r="H36" t="str">
        <f>Compiled!H36</f>
        <v>ResCACPNW</v>
      </c>
      <c r="I36">
        <f>Compiled!I36</f>
        <v>0</v>
      </c>
    </row>
    <row r="37" spans="1:9">
      <c r="A37" t="str">
        <f>Compiled!A37</f>
        <v>Heating Zone 1 - Cooling Zone 2</v>
      </c>
      <c r="B37" t="str">
        <f>LEFT(Compiled!B37,LEN(Compiled!B37)-33)</f>
        <v xml:space="preserve">Ground Source Heat Pump Upgrade from Air Source Heat Pump - With Desuperheater - New House 4000 square feet or greater </v>
      </c>
      <c r="C37" t="str">
        <f>Compiled!C37</f>
        <v>dhw</v>
      </c>
      <c r="D37">
        <f>Compiled!D37*VLOOKUP($A37,Weighting!$A$19:$C$27,3,FALSE)</f>
        <v>204.91973772123177</v>
      </c>
      <c r="E37">
        <f>Compiled!E37</f>
        <v>20</v>
      </c>
      <c r="F37">
        <f>Compiled!F37*VLOOKUP($A37,Weighting!$A$19:$C$27,3,FALSE)</f>
        <v>736.66954177377909</v>
      </c>
      <c r="G37">
        <f>Compiled!G37</f>
        <v>0</v>
      </c>
      <c r="H37" t="str">
        <f>Compiled!H37</f>
        <v>ResDHW</v>
      </c>
      <c r="I37">
        <f>Compiled!I37</f>
        <v>0</v>
      </c>
    </row>
    <row r="38" spans="1:9">
      <c r="A38" t="str">
        <f>Compiled!A38</f>
        <v>Heating Zone 1 - Cooling Zone 3</v>
      </c>
      <c r="B38" t="str">
        <f>LEFT(Compiled!B38,LEN(Compiled!B38)-33)</f>
        <v xml:space="preserve">Ground Source Heat Pump Upgrade from Air Source Heat Pump - With Desuperheater - New House 4000 square feet or greater </v>
      </c>
      <c r="C38" t="str">
        <f>Compiled!C38</f>
        <v>heat</v>
      </c>
      <c r="D38">
        <f>Compiled!D38*VLOOKUP($A38,Weighting!$A$19:$C$27,3,FALSE)</f>
        <v>103.61431656824195</v>
      </c>
      <c r="E38">
        <f>Compiled!E38</f>
        <v>20</v>
      </c>
      <c r="F38">
        <f>Compiled!F38*VLOOKUP($A38,Weighting!$A$19:$C$27,3,FALSE)</f>
        <v>8.5032526859150295</v>
      </c>
      <c r="G38">
        <f>Compiled!G38</f>
        <v>0</v>
      </c>
      <c r="H38" t="str">
        <f>Compiled!H38</f>
        <v>ResSpHtHPZ1</v>
      </c>
      <c r="I38">
        <f>Compiled!I38</f>
        <v>87.708871445872504</v>
      </c>
    </row>
    <row r="39" spans="1:9">
      <c r="A39" t="str">
        <f>Compiled!A39</f>
        <v>Heating Zone 1 - Cooling Zone 3</v>
      </c>
      <c r="B39" t="str">
        <f>LEFT(Compiled!B39,LEN(Compiled!B39)-33)</f>
        <v xml:space="preserve">Ground Source Heat Pump Upgrade from Air Source Heat Pump - With Desuperheater - New House 4000 square feet or greater </v>
      </c>
      <c r="C39" t="str">
        <f>Compiled!C39</f>
        <v>cool</v>
      </c>
      <c r="D39">
        <f>Compiled!D39*VLOOKUP($A39,Weighting!$A$19:$C$27,3,FALSE)</f>
        <v>35.065632190455752</v>
      </c>
      <c r="E39">
        <f>Compiled!E39</f>
        <v>20</v>
      </c>
      <c r="F39">
        <f>Compiled!F39*VLOOKUP($A39,Weighting!$A$19:$C$27,3,FALSE)</f>
        <v>0</v>
      </c>
      <c r="G39">
        <f>Compiled!G39</f>
        <v>0</v>
      </c>
      <c r="H39" t="str">
        <f>Compiled!H39</f>
        <v>ResCACPNW</v>
      </c>
      <c r="I39">
        <f>Compiled!I39</f>
        <v>0</v>
      </c>
    </row>
    <row r="40" spans="1:9">
      <c r="A40" t="str">
        <f>Compiled!A40</f>
        <v>Heating Zone 1 - Cooling Zone 3</v>
      </c>
      <c r="B40" t="str">
        <f>LEFT(Compiled!B40,LEN(Compiled!B40)-33)</f>
        <v xml:space="preserve">Ground Source Heat Pump Upgrade from Air Source Heat Pump - With Desuperheater - New House 4000 square feet or greater </v>
      </c>
      <c r="C40" t="str">
        <f>Compiled!C40</f>
        <v>dhw</v>
      </c>
      <c r="D40">
        <f>Compiled!D40*VLOOKUP($A40,Weighting!$A$19:$C$27,3,FALSE)</f>
        <v>162.05868001106373</v>
      </c>
      <c r="E40">
        <f>Compiled!E40</f>
        <v>20</v>
      </c>
      <c r="F40">
        <f>Compiled!F40*VLOOKUP($A40,Weighting!$A$19:$C$27,3,FALSE)</f>
        <v>582.58757732073968</v>
      </c>
      <c r="G40">
        <f>Compiled!G40</f>
        <v>0</v>
      </c>
      <c r="H40" t="str">
        <f>Compiled!H40</f>
        <v>ResDHW</v>
      </c>
      <c r="I40">
        <f>Compiled!I40</f>
        <v>0</v>
      </c>
    </row>
    <row r="41" spans="1:9">
      <c r="A41" t="str">
        <f>Compiled!A41</f>
        <v>Heating Zone 2 - Cooling Zone 1</v>
      </c>
      <c r="B41" t="str">
        <f>LEFT(Compiled!B41,LEN(Compiled!B41)-33)</f>
        <v xml:space="preserve">Ground Source Heat Pump Upgrade from Air Source Heat Pump - With Desuperheater - New House 4000 square feet or greater </v>
      </c>
      <c r="C41" t="str">
        <f>Compiled!C41</f>
        <v>heat</v>
      </c>
      <c r="D41">
        <f>Compiled!D41*VLOOKUP($A41,Weighting!$A$19:$C$27,3,FALSE)</f>
        <v>130.06270579084489</v>
      </c>
      <c r="E41">
        <f>Compiled!E41</f>
        <v>20</v>
      </c>
      <c r="F41">
        <f>Compiled!F41*VLOOKUP($A41,Weighting!$A$19:$C$27,3,FALSE)</f>
        <v>4.2616216042200286</v>
      </c>
      <c r="G41">
        <f>Compiled!G41</f>
        <v>0</v>
      </c>
      <c r="H41" t="str">
        <f>Compiled!H41</f>
        <v>ResSpHtHPZ2</v>
      </c>
      <c r="I41">
        <f>Compiled!I41</f>
        <v>88.975856977337997</v>
      </c>
    </row>
    <row r="42" spans="1:9">
      <c r="A42" t="str">
        <f>Compiled!A42</f>
        <v>Heating Zone 2 - Cooling Zone 1</v>
      </c>
      <c r="B42" t="str">
        <f>LEFT(Compiled!B42,LEN(Compiled!B42)-33)</f>
        <v xml:space="preserve">Ground Source Heat Pump Upgrade from Air Source Heat Pump - With Desuperheater - New House 4000 square feet or greater </v>
      </c>
      <c r="C42" t="str">
        <f>Compiled!C42</f>
        <v>cool</v>
      </c>
      <c r="D42">
        <f>Compiled!D42*VLOOKUP($A42,Weighting!$A$19:$C$27,3,FALSE)</f>
        <v>2.8143946979734324</v>
      </c>
      <c r="E42">
        <f>Compiled!E42</f>
        <v>20</v>
      </c>
      <c r="F42">
        <f>Compiled!F42*VLOOKUP($A42,Weighting!$A$19:$C$27,3,FALSE)</f>
        <v>0</v>
      </c>
      <c r="G42">
        <f>Compiled!G42</f>
        <v>0</v>
      </c>
      <c r="H42" t="str">
        <f>Compiled!H42</f>
        <v>ResCACPNW</v>
      </c>
      <c r="I42">
        <f>Compiled!I42</f>
        <v>0</v>
      </c>
    </row>
    <row r="43" spans="1:9">
      <c r="A43" t="str">
        <f>Compiled!A43</f>
        <v>Heating Zone 2 - Cooling Zone 1</v>
      </c>
      <c r="B43" t="str">
        <f>LEFT(Compiled!B43,LEN(Compiled!B43)-33)</f>
        <v xml:space="preserve">Ground Source Heat Pump Upgrade from Air Source Heat Pump - With Desuperheater - New House 4000 square feet or greater </v>
      </c>
      <c r="C43" t="str">
        <f>Compiled!C43</f>
        <v>dhw</v>
      </c>
      <c r="D43">
        <f>Compiled!D43*VLOOKUP($A43,Weighting!$A$19:$C$27,3,FALSE)</f>
        <v>109.65790131443278</v>
      </c>
      <c r="E43">
        <f>Compiled!E43</f>
        <v>20</v>
      </c>
      <c r="F43">
        <f>Compiled!F43*VLOOKUP($A43,Weighting!$A$19:$C$27,3,FALSE)</f>
        <v>571.98354704685676</v>
      </c>
      <c r="G43">
        <f>Compiled!G43</f>
        <v>0</v>
      </c>
      <c r="H43" t="str">
        <f>Compiled!H43</f>
        <v>ResDHW</v>
      </c>
      <c r="I43">
        <f>Compiled!I43</f>
        <v>0</v>
      </c>
    </row>
    <row r="44" spans="1:9">
      <c r="A44" t="str">
        <f>Compiled!A44</f>
        <v>Heating Zone 2 - Cooling Zone 2</v>
      </c>
      <c r="B44" t="str">
        <f>LEFT(Compiled!B44,LEN(Compiled!B44)-33)</f>
        <v xml:space="preserve">Ground Source Heat Pump Upgrade from Air Source Heat Pump - With Desuperheater - New House 4000 square feet or greater </v>
      </c>
      <c r="C44" t="str">
        <f>Compiled!C44</f>
        <v>heat</v>
      </c>
      <c r="D44">
        <f>Compiled!D44*VLOOKUP($A44,Weighting!$A$19:$C$27,3,FALSE)</f>
        <v>297.68482940555492</v>
      </c>
      <c r="E44">
        <f>Compiled!E44</f>
        <v>20</v>
      </c>
      <c r="F44">
        <f>Compiled!F44*VLOOKUP($A44,Weighting!$A$19:$C$27,3,FALSE)</f>
        <v>9.7539113347629947</v>
      </c>
      <c r="G44">
        <f>Compiled!G44</f>
        <v>0</v>
      </c>
      <c r="H44" t="str">
        <f>Compiled!H44</f>
        <v>ResSpHtHPZ2</v>
      </c>
      <c r="I44">
        <f>Compiled!I44</f>
        <v>88.975856977337997</v>
      </c>
    </row>
    <row r="45" spans="1:9">
      <c r="A45" t="str">
        <f>Compiled!A45</f>
        <v>Heating Zone 2 - Cooling Zone 2</v>
      </c>
      <c r="B45" t="str">
        <f>LEFT(Compiled!B45,LEN(Compiled!B45)-33)</f>
        <v xml:space="preserve">Ground Source Heat Pump Upgrade from Air Source Heat Pump - With Desuperheater - New House 4000 square feet or greater </v>
      </c>
      <c r="C45" t="str">
        <f>Compiled!C45</f>
        <v>cool</v>
      </c>
      <c r="D45">
        <f>Compiled!D45*VLOOKUP($A45,Weighting!$A$19:$C$27,3,FALSE)</f>
        <v>18.950202164992824</v>
      </c>
      <c r="E45">
        <f>Compiled!E45</f>
        <v>20</v>
      </c>
      <c r="F45">
        <f>Compiled!F45*VLOOKUP($A45,Weighting!$A$19:$C$27,3,FALSE)</f>
        <v>0</v>
      </c>
      <c r="G45">
        <f>Compiled!G45</f>
        <v>0</v>
      </c>
      <c r="H45" t="str">
        <f>Compiled!H45</f>
        <v>ResCACPNW</v>
      </c>
      <c r="I45">
        <f>Compiled!I45</f>
        <v>0</v>
      </c>
    </row>
    <row r="46" spans="1:9">
      <c r="A46" t="str">
        <f>Compiled!A46</f>
        <v>Heating Zone 2 - Cooling Zone 2</v>
      </c>
      <c r="B46" t="str">
        <f>LEFT(Compiled!B46,LEN(Compiled!B46)-33)</f>
        <v xml:space="preserve">Ground Source Heat Pump Upgrade from Air Source Heat Pump - With Desuperheater - New House 4000 square feet or greater </v>
      </c>
      <c r="C46" t="str">
        <f>Compiled!C46</f>
        <v>dhw</v>
      </c>
      <c r="D46">
        <f>Compiled!D46*VLOOKUP($A46,Weighting!$A$19:$C$27,3,FALSE)</f>
        <v>250.98273519122711</v>
      </c>
      <c r="E46">
        <f>Compiled!E46</f>
        <v>20</v>
      </c>
      <c r="F46">
        <f>Compiled!F46*VLOOKUP($A46,Weighting!$A$19:$C$27,3,FALSE)</f>
        <v>1309.1441054535796</v>
      </c>
      <c r="G46">
        <f>Compiled!G46</f>
        <v>0</v>
      </c>
      <c r="H46" t="str">
        <f>Compiled!H46</f>
        <v>ResDHW</v>
      </c>
      <c r="I46">
        <f>Compiled!I46</f>
        <v>0</v>
      </c>
    </row>
    <row r="47" spans="1:9">
      <c r="A47" t="str">
        <f>Compiled!A47</f>
        <v>Heating Zone 2 - Cooling Zone 3</v>
      </c>
      <c r="B47" t="str">
        <f>LEFT(Compiled!B47,LEN(Compiled!B47)-33)</f>
        <v xml:space="preserve">Ground Source Heat Pump Upgrade from Air Source Heat Pump - With Desuperheater - New House 4000 square feet or greater </v>
      </c>
      <c r="C47" t="str">
        <f>Compiled!C47</f>
        <v>heat</v>
      </c>
      <c r="D47">
        <f>Compiled!D47*VLOOKUP($A47,Weighting!$A$19:$C$27,3,FALSE)</f>
        <v>20.438189735425471</v>
      </c>
      <c r="E47">
        <f>Compiled!E47</f>
        <v>20</v>
      </c>
      <c r="F47">
        <f>Compiled!F47*VLOOKUP($A47,Weighting!$A$19:$C$27,3,FALSE)</f>
        <v>0.66967567988092835</v>
      </c>
      <c r="G47">
        <f>Compiled!G47</f>
        <v>0</v>
      </c>
      <c r="H47" t="str">
        <f>Compiled!H47</f>
        <v>ResSpHtHPZ2</v>
      </c>
      <c r="I47">
        <f>Compiled!I47</f>
        <v>88.975856977337997</v>
      </c>
    </row>
    <row r="48" spans="1:9">
      <c r="A48" t="str">
        <f>Compiled!A48</f>
        <v>Heating Zone 2 - Cooling Zone 3</v>
      </c>
      <c r="B48" t="str">
        <f>LEFT(Compiled!B48,LEN(Compiled!B48)-33)</f>
        <v xml:space="preserve">Ground Source Heat Pump Upgrade from Air Source Heat Pump - With Desuperheater - New House 4000 square feet or greater </v>
      </c>
      <c r="C48" t="str">
        <f>Compiled!C48</f>
        <v>cool</v>
      </c>
      <c r="D48">
        <f>Compiled!D48*VLOOKUP($A48,Weighting!$A$19:$C$27,3,FALSE)</f>
        <v>2.7222779080238251</v>
      </c>
      <c r="E48">
        <f>Compiled!E48</f>
        <v>20</v>
      </c>
      <c r="F48">
        <f>Compiled!F48*VLOOKUP($A48,Weighting!$A$19:$C$27,3,FALSE)</f>
        <v>0</v>
      </c>
      <c r="G48">
        <f>Compiled!G48</f>
        <v>0</v>
      </c>
      <c r="H48" t="str">
        <f>Compiled!H48</f>
        <v>ResCACPNW</v>
      </c>
      <c r="I48">
        <f>Compiled!I48</f>
        <v>0</v>
      </c>
    </row>
    <row r="49" spans="1:9">
      <c r="A49" t="str">
        <f>Compiled!A49</f>
        <v>Heating Zone 2 - Cooling Zone 3</v>
      </c>
      <c r="B49" t="str">
        <f>LEFT(Compiled!B49,LEN(Compiled!B49)-33)</f>
        <v xml:space="preserve">Ground Source Heat Pump Upgrade from Air Source Heat Pump - With Desuperheater - New House 4000 square feet or greater </v>
      </c>
      <c r="C49" t="str">
        <f>Compiled!C49</f>
        <v>dhw</v>
      </c>
      <c r="D49">
        <f>Compiled!D49*VLOOKUP($A49,Weighting!$A$19:$C$27,3,FALSE)</f>
        <v>17.231757400596059</v>
      </c>
      <c r="E49">
        <f>Compiled!E49</f>
        <v>20</v>
      </c>
      <c r="F49">
        <f>Compiled!F49*VLOOKUP($A49,Weighting!$A$19:$C$27,3,FALSE)</f>
        <v>89.882093325696445</v>
      </c>
      <c r="G49">
        <f>Compiled!G49</f>
        <v>0</v>
      </c>
      <c r="H49" t="str">
        <f>Compiled!H49</f>
        <v>ResDHW</v>
      </c>
      <c r="I49">
        <f>Compiled!I49</f>
        <v>0</v>
      </c>
    </row>
    <row r="50" spans="1:9">
      <c r="A50" t="str">
        <f>Compiled!A50</f>
        <v>Heating Zone 3 - Cooling Zone 1</v>
      </c>
      <c r="B50" t="str">
        <f>LEFT(Compiled!B50,LEN(Compiled!B50)-33)</f>
        <v xml:space="preserve">Ground Source Heat Pump Upgrade from Air Source Heat Pump - With Desuperheater - New House 4000 square feet or greater </v>
      </c>
      <c r="C50" t="str">
        <f>Compiled!C50</f>
        <v>heat</v>
      </c>
      <c r="D50">
        <f>Compiled!D50*VLOOKUP($A50,Weighting!$A$19:$C$27,3,FALSE)</f>
        <v>246.6386988104538</v>
      </c>
      <c r="E50">
        <f>Compiled!E50</f>
        <v>20</v>
      </c>
      <c r="F50">
        <f>Compiled!F50*VLOOKUP($A50,Weighting!$A$19:$C$27,3,FALSE)</f>
        <v>6.2495292241784366</v>
      </c>
      <c r="G50">
        <f>Compiled!G50</f>
        <v>0</v>
      </c>
      <c r="H50" t="str">
        <f>Compiled!H50</f>
        <v>ResSpHtHPZ3</v>
      </c>
      <c r="I50">
        <f>Compiled!I50</f>
        <v>98.56043676179624</v>
      </c>
    </row>
    <row r="51" spans="1:9">
      <c r="A51" t="str">
        <f>Compiled!A51</f>
        <v>Heating Zone 3 - Cooling Zone 1</v>
      </c>
      <c r="B51" t="str">
        <f>LEFT(Compiled!B51,LEN(Compiled!B51)-33)</f>
        <v xml:space="preserve">Ground Source Heat Pump Upgrade from Air Source Heat Pump - With Desuperheater - New House 4000 square feet or greater </v>
      </c>
      <c r="C51" t="str">
        <f>Compiled!C51</f>
        <v>cool</v>
      </c>
      <c r="D51">
        <f>Compiled!D51*VLOOKUP($A51,Weighting!$A$19:$C$27,3,FALSE)</f>
        <v>3.7258638596594884</v>
      </c>
      <c r="E51">
        <f>Compiled!E51</f>
        <v>20</v>
      </c>
      <c r="F51">
        <f>Compiled!F51*VLOOKUP($A51,Weighting!$A$19:$C$27,3,FALSE)</f>
        <v>0</v>
      </c>
      <c r="G51">
        <f>Compiled!G51</f>
        <v>0</v>
      </c>
      <c r="H51" t="str">
        <f>Compiled!H51</f>
        <v>ResCACPNW</v>
      </c>
      <c r="I51">
        <f>Compiled!I51</f>
        <v>0</v>
      </c>
    </row>
    <row r="52" spans="1:9">
      <c r="A52" t="str">
        <f>Compiled!A52</f>
        <v>Heating Zone 3 - Cooling Zone 1</v>
      </c>
      <c r="B52" t="str">
        <f>LEFT(Compiled!B52,LEN(Compiled!B52)-33)</f>
        <v xml:space="preserve">Ground Source Heat Pump Upgrade from Air Source Heat Pump - With Desuperheater - New House 4000 square feet or greater </v>
      </c>
      <c r="C52" t="str">
        <f>Compiled!C52</f>
        <v>dhw</v>
      </c>
      <c r="D52">
        <f>Compiled!D52*VLOOKUP($A52,Weighting!$A$19:$C$27,3,FALSE)</f>
        <v>165.00793740407855</v>
      </c>
      <c r="E52">
        <f>Compiled!E52</f>
        <v>20</v>
      </c>
      <c r="F52">
        <f>Compiled!F52*VLOOKUP($A52,Weighting!$A$19:$C$27,3,FALSE)</f>
        <v>1240.2997502146402</v>
      </c>
      <c r="G52">
        <f>Compiled!G52</f>
        <v>0</v>
      </c>
      <c r="H52" t="str">
        <f>Compiled!H52</f>
        <v>ResDHW</v>
      </c>
      <c r="I52">
        <f>Compiled!I52</f>
        <v>0</v>
      </c>
    </row>
    <row r="53" spans="1:9">
      <c r="A53" t="str">
        <f>Compiled!A53</f>
        <v>Heating Zone 3 - Cooling Zone 2</v>
      </c>
      <c r="B53" t="str">
        <f>LEFT(Compiled!B53,LEN(Compiled!B53)-33)</f>
        <v xml:space="preserve">Ground Source Heat Pump Upgrade from Air Source Heat Pump - With Desuperheater - New House 4000 square feet or greater </v>
      </c>
      <c r="C53" t="str">
        <f>Compiled!C53</f>
        <v>heat</v>
      </c>
      <c r="D53">
        <f>Compiled!D53*VLOOKUP($A53,Weighting!$A$19:$C$27,3,FALSE)</f>
        <v>80.197625136213432</v>
      </c>
      <c r="E53">
        <f>Compiled!E53</f>
        <v>20</v>
      </c>
      <c r="F53">
        <f>Compiled!F53*VLOOKUP($A53,Weighting!$A$19:$C$27,3,FALSE)</f>
        <v>2.0321117667898987</v>
      </c>
      <c r="G53">
        <f>Compiled!G53</f>
        <v>0</v>
      </c>
      <c r="H53" t="str">
        <f>Compiled!H53</f>
        <v>ResSpHtHPZ3</v>
      </c>
      <c r="I53">
        <f>Compiled!I53</f>
        <v>98.56043676179624</v>
      </c>
    </row>
    <row r="54" spans="1:9">
      <c r="A54" t="str">
        <f>Compiled!A54</f>
        <v>Heating Zone 3 - Cooling Zone 2</v>
      </c>
      <c r="B54" t="str">
        <f>LEFT(Compiled!B54,LEN(Compiled!B54)-33)</f>
        <v xml:space="preserve">Ground Source Heat Pump Upgrade from Air Source Heat Pump - With Desuperheater - New House 4000 square feet or greater </v>
      </c>
      <c r="C54" t="str">
        <f>Compiled!C54</f>
        <v>cool</v>
      </c>
      <c r="D54">
        <f>Compiled!D54*VLOOKUP($A54,Weighting!$A$19:$C$27,3,FALSE)</f>
        <v>3.5641189912882059</v>
      </c>
      <c r="E54">
        <f>Compiled!E54</f>
        <v>20</v>
      </c>
      <c r="F54">
        <f>Compiled!F54*VLOOKUP($A54,Weighting!$A$19:$C$27,3,FALSE)</f>
        <v>0</v>
      </c>
      <c r="G54">
        <f>Compiled!G54</f>
        <v>0</v>
      </c>
      <c r="H54" t="str">
        <f>Compiled!H54</f>
        <v>ResCACPNW</v>
      </c>
      <c r="I54">
        <f>Compiled!I54</f>
        <v>0</v>
      </c>
    </row>
    <row r="55" spans="1:9">
      <c r="A55" t="str">
        <f>Compiled!A55</f>
        <v>Heating Zone 3 - Cooling Zone 2</v>
      </c>
      <c r="B55" t="str">
        <f>LEFT(Compiled!B55,LEN(Compiled!B55)-33)</f>
        <v xml:space="preserve">Ground Source Heat Pump Upgrade from Air Source Heat Pump - With Desuperheater - New House 4000 square feet or greater </v>
      </c>
      <c r="C55" t="str">
        <f>Compiled!C55</f>
        <v>dhw</v>
      </c>
      <c r="D55">
        <f>Compiled!D55*VLOOKUP($A55,Weighting!$A$19:$C$27,3,FALSE)</f>
        <v>53.654372863043868</v>
      </c>
      <c r="E55">
        <f>Compiled!E55</f>
        <v>20</v>
      </c>
      <c r="F55">
        <f>Compiled!F55*VLOOKUP($A55,Weighting!$A$19:$C$27,3,FALSE)</f>
        <v>403.29881281402891</v>
      </c>
      <c r="G55">
        <f>Compiled!G55</f>
        <v>0</v>
      </c>
      <c r="H55" t="str">
        <f>Compiled!H55</f>
        <v>ResDHW</v>
      </c>
      <c r="I55">
        <f>Compiled!I55</f>
        <v>0</v>
      </c>
    </row>
    <row r="56" spans="1:9">
      <c r="A56" t="str">
        <f>Compiled!A56</f>
        <v>Heating Zone 3 - Cooling Zone 3</v>
      </c>
      <c r="B56" t="str">
        <f>LEFT(Compiled!B56,LEN(Compiled!B56)-33)</f>
        <v xml:space="preserve">Ground Source Heat Pump Upgrade from Air Source Heat Pump - With Desuperheater - New House 4000 square feet or greater </v>
      </c>
      <c r="C56" t="str">
        <f>Compiled!C56</f>
        <v>heat</v>
      </c>
      <c r="D56">
        <f>Compiled!D56*VLOOKUP($A56,Weighting!$A$19:$C$27,3,FALSE)</f>
        <v>0</v>
      </c>
      <c r="E56">
        <f>Compiled!E56</f>
        <v>20</v>
      </c>
      <c r="F56">
        <f>Compiled!F56*VLOOKUP($A56,Weighting!$A$19:$C$27,3,FALSE)</f>
        <v>0</v>
      </c>
      <c r="G56">
        <f>Compiled!G56</f>
        <v>0</v>
      </c>
      <c r="H56" t="str">
        <f>Compiled!H56</f>
        <v>ResSpHtHPZ3</v>
      </c>
      <c r="I56">
        <f>Compiled!I56</f>
        <v>98.56043676179624</v>
      </c>
    </row>
    <row r="57" spans="1:9">
      <c r="A57" t="str">
        <f>Compiled!A57</f>
        <v>Heating Zone 3 - Cooling Zone 3</v>
      </c>
      <c r="B57" t="str">
        <f>LEFT(Compiled!B57,LEN(Compiled!B57)-33)</f>
        <v xml:space="preserve">Ground Source Heat Pump Upgrade from Air Source Heat Pump - With Desuperheater - New House 4000 square feet or greater </v>
      </c>
      <c r="C57" t="str">
        <f>Compiled!C57</f>
        <v>cool</v>
      </c>
      <c r="D57">
        <f>Compiled!D57*VLOOKUP($A57,Weighting!$A$19:$C$27,3,FALSE)</f>
        <v>0</v>
      </c>
      <c r="E57">
        <f>Compiled!E57</f>
        <v>20</v>
      </c>
      <c r="F57">
        <f>Compiled!F57*VLOOKUP($A57,Weighting!$A$19:$C$27,3,FALSE)</f>
        <v>0</v>
      </c>
      <c r="G57">
        <f>Compiled!G57</f>
        <v>0</v>
      </c>
      <c r="H57" t="str">
        <f>Compiled!H57</f>
        <v>ResCACPNW</v>
      </c>
      <c r="I57">
        <f>Compiled!I57</f>
        <v>0</v>
      </c>
    </row>
    <row r="58" spans="1:9">
      <c r="A58" t="str">
        <f>Compiled!A58</f>
        <v>Heating Zone 3 - Cooling Zone 3</v>
      </c>
      <c r="B58" t="str">
        <f>LEFT(Compiled!B58,LEN(Compiled!B58)-33)</f>
        <v xml:space="preserve">Ground Source Heat Pump Upgrade from Air Source Heat Pump - With Desuperheater - New House 4000 square feet or greater </v>
      </c>
      <c r="C58" t="str">
        <f>Compiled!C58</f>
        <v>dhw</v>
      </c>
      <c r="D58">
        <f>Compiled!D58*VLOOKUP($A58,Weighting!$A$19:$C$27,3,FALSE)</f>
        <v>0</v>
      </c>
      <c r="E58">
        <f>Compiled!E58</f>
        <v>20</v>
      </c>
      <c r="F58">
        <f>Compiled!F58*VLOOKUP($A58,Weighting!$A$19:$C$27,3,FALSE)</f>
        <v>0</v>
      </c>
      <c r="G58">
        <f>Compiled!G58</f>
        <v>0</v>
      </c>
      <c r="H58" t="str">
        <f>Compiled!H58</f>
        <v>ResDHW</v>
      </c>
      <c r="I58">
        <f>Compiled!I58</f>
        <v>0</v>
      </c>
    </row>
    <row r="59" spans="1:9">
      <c r="A59" t="str">
        <f>Compiled!A59</f>
        <v>Heating Zone 1 - Cooling Zone 1</v>
      </c>
      <c r="B59" t="str">
        <f>LEFT(Compiled!B59,LEN(Compiled!B59)-33)</f>
        <v xml:space="preserve">Ground Source Heat Pump Upgrade from Air Source Heat Pump - With Desuperheater - Existing House less than 4000 square feet </v>
      </c>
      <c r="C59" t="str">
        <f>Compiled!C59</f>
        <v>heat</v>
      </c>
      <c r="D59">
        <f>Compiled!D59*VLOOKUP($A59,Weighting!$A$19:$C$27,3,FALSE)</f>
        <v>209.59975914063784</v>
      </c>
      <c r="E59">
        <f>Compiled!E59</f>
        <v>20</v>
      </c>
      <c r="F59">
        <f>Compiled!F59*VLOOKUP($A59,Weighting!$A$19:$C$27,3,FALSE)</f>
        <v>27.429381844553134</v>
      </c>
      <c r="G59">
        <f>Compiled!G59</f>
        <v>0</v>
      </c>
      <c r="H59" t="str">
        <f>Compiled!H59</f>
        <v>ResSpHtHPZ1</v>
      </c>
      <c r="I59">
        <f>Compiled!I59</f>
        <v>51.618289010737456</v>
      </c>
    </row>
    <row r="60" spans="1:9">
      <c r="A60" t="str">
        <f>Compiled!A60</f>
        <v>Heating Zone 1 - Cooling Zone 1</v>
      </c>
      <c r="B60" t="str">
        <f>LEFT(Compiled!B60,LEN(Compiled!B60)-33)</f>
        <v xml:space="preserve">Ground Source Heat Pump Upgrade from Air Source Heat Pump - With Desuperheater - Existing House less than 4000 square feet </v>
      </c>
      <c r="C60" t="str">
        <f>Compiled!C60</f>
        <v>cool</v>
      </c>
      <c r="D60">
        <f>Compiled!D60*VLOOKUP($A60,Weighting!$A$19:$C$27,3,FALSE)</f>
        <v>19.361810447489244</v>
      </c>
      <c r="E60">
        <f>Compiled!E60</f>
        <v>20</v>
      </c>
      <c r="F60">
        <f>Compiled!F60*VLOOKUP($A60,Weighting!$A$19:$C$27,3,FALSE)</f>
        <v>0</v>
      </c>
      <c r="G60">
        <f>Compiled!G60</f>
        <v>0</v>
      </c>
      <c r="H60" t="str">
        <f>Compiled!H60</f>
        <v>ResCACPNW</v>
      </c>
      <c r="I60">
        <f>Compiled!I60</f>
        <v>0</v>
      </c>
    </row>
    <row r="61" spans="1:9">
      <c r="A61" t="str">
        <f>Compiled!A61</f>
        <v>Heating Zone 1 - Cooling Zone 1</v>
      </c>
      <c r="B61" t="str">
        <f>LEFT(Compiled!B61,LEN(Compiled!B61)-33)</f>
        <v xml:space="preserve">Ground Source Heat Pump Upgrade from Air Source Heat Pump - With Desuperheater - Existing House less than 4000 square feet </v>
      </c>
      <c r="C61" t="str">
        <f>Compiled!C61</f>
        <v>dhw</v>
      </c>
      <c r="D61">
        <f>Compiled!D61*VLOOKUP($A61,Weighting!$A$19:$C$27,3,FALSE)</f>
        <v>767.89781041152173</v>
      </c>
      <c r="E61">
        <f>Compiled!E61</f>
        <v>20</v>
      </c>
      <c r="F61">
        <f>Compiled!F61*VLOOKUP($A61,Weighting!$A$19:$C$27,3,FALSE)</f>
        <v>2356.1888152504634</v>
      </c>
      <c r="G61">
        <f>Compiled!G61</f>
        <v>0</v>
      </c>
      <c r="H61" t="str">
        <f>Compiled!H61</f>
        <v>ResDHW</v>
      </c>
      <c r="I61">
        <f>Compiled!I61</f>
        <v>0</v>
      </c>
    </row>
    <row r="62" spans="1:9">
      <c r="A62" t="str">
        <f>Compiled!A62</f>
        <v>Heating Zone 1 - Cooling Zone 2</v>
      </c>
      <c r="B62" t="str">
        <f>LEFT(Compiled!B62,LEN(Compiled!B62)-33)</f>
        <v xml:space="preserve">Ground Source Heat Pump Upgrade from Air Source Heat Pump - With Desuperheater - Existing House less than 4000 square feet </v>
      </c>
      <c r="C62" t="str">
        <f>Compiled!C62</f>
        <v>heat</v>
      </c>
      <c r="D62">
        <f>Compiled!D62*VLOOKUP($A62,Weighting!$A$19:$C$27,3,FALSE)</f>
        <v>48.353890194089871</v>
      </c>
      <c r="E62">
        <f>Compiled!E62</f>
        <v>20</v>
      </c>
      <c r="F62">
        <f>Compiled!F62*VLOOKUP($A62,Weighting!$A$19:$C$27,3,FALSE)</f>
        <v>6.3278570702619383</v>
      </c>
      <c r="G62">
        <f>Compiled!G62</f>
        <v>0</v>
      </c>
      <c r="H62" t="str">
        <f>Compiled!H62</f>
        <v>ResSpHtHPZ1</v>
      </c>
      <c r="I62">
        <f>Compiled!I62</f>
        <v>51.618289010737456</v>
      </c>
    </row>
    <row r="63" spans="1:9">
      <c r="A63" t="str">
        <f>Compiled!A63</f>
        <v>Heating Zone 1 - Cooling Zone 2</v>
      </c>
      <c r="B63" t="str">
        <f>LEFT(Compiled!B63,LEN(Compiled!B63)-33)</f>
        <v xml:space="preserve">Ground Source Heat Pump Upgrade from Air Source Heat Pump - With Desuperheater - Existing House less than 4000 square feet </v>
      </c>
      <c r="C63" t="str">
        <f>Compiled!C63</f>
        <v>cool</v>
      </c>
      <c r="D63">
        <f>Compiled!D63*VLOOKUP($A63,Weighting!$A$19:$C$27,3,FALSE)</f>
        <v>14.184652139446273</v>
      </c>
      <c r="E63">
        <f>Compiled!E63</f>
        <v>20</v>
      </c>
      <c r="F63">
        <f>Compiled!F63*VLOOKUP($A63,Weighting!$A$19:$C$27,3,FALSE)</f>
        <v>0</v>
      </c>
      <c r="G63">
        <f>Compiled!G63</f>
        <v>0</v>
      </c>
      <c r="H63" t="str">
        <f>Compiled!H63</f>
        <v>ResCACPNW</v>
      </c>
      <c r="I63">
        <f>Compiled!I63</f>
        <v>0</v>
      </c>
    </row>
    <row r="64" spans="1:9">
      <c r="A64" t="str">
        <f>Compiled!A64</f>
        <v>Heating Zone 1 - Cooling Zone 2</v>
      </c>
      <c r="B64" t="str">
        <f>LEFT(Compiled!B64,LEN(Compiled!B64)-33)</f>
        <v xml:space="preserve">Ground Source Heat Pump Upgrade from Air Source Heat Pump - With Desuperheater - Existing House less than 4000 square feet </v>
      </c>
      <c r="C64" t="str">
        <f>Compiled!C64</f>
        <v>dhw</v>
      </c>
      <c r="D64">
        <f>Compiled!D64*VLOOKUP($A64,Weighting!$A$19:$C$27,3,FALSE)</f>
        <v>177.15118832749519</v>
      </c>
      <c r="E64">
        <f>Compiled!E64</f>
        <v>20</v>
      </c>
      <c r="F64">
        <f>Compiled!F64*VLOOKUP($A64,Weighting!$A$19:$C$27,3,FALSE)</f>
        <v>543.56405616247832</v>
      </c>
      <c r="G64">
        <f>Compiled!G64</f>
        <v>0</v>
      </c>
      <c r="H64" t="str">
        <f>Compiled!H64</f>
        <v>ResDHW</v>
      </c>
      <c r="I64">
        <f>Compiled!I64</f>
        <v>0</v>
      </c>
    </row>
    <row r="65" spans="1:9">
      <c r="A65" t="str">
        <f>Compiled!A65</f>
        <v>Heating Zone 1 - Cooling Zone 3</v>
      </c>
      <c r="B65" t="str">
        <f>LEFT(Compiled!B65,LEN(Compiled!B65)-33)</f>
        <v xml:space="preserve">Ground Source Heat Pump Upgrade from Air Source Heat Pump - With Desuperheater - Existing House less than 4000 square feet </v>
      </c>
      <c r="C65" t="str">
        <f>Compiled!C65</f>
        <v>heat</v>
      </c>
      <c r="D65">
        <f>Compiled!D65*VLOOKUP($A65,Weighting!$A$19:$C$27,3,FALSE)</f>
        <v>38.240179815739708</v>
      </c>
      <c r="E65">
        <f>Compiled!E65</f>
        <v>20</v>
      </c>
      <c r="F65">
        <f>Compiled!F65*VLOOKUP($A65,Weighting!$A$19:$C$27,3,FALSE)</f>
        <v>5.0043210844841726</v>
      </c>
      <c r="G65">
        <f>Compiled!G65</f>
        <v>0</v>
      </c>
      <c r="H65" t="str">
        <f>Compiled!H65</f>
        <v>ResSpHtHPZ1</v>
      </c>
      <c r="I65">
        <f>Compiled!I65</f>
        <v>51.618289010737456</v>
      </c>
    </row>
    <row r="66" spans="1:9">
      <c r="A66" t="str">
        <f>Compiled!A66</f>
        <v>Heating Zone 1 - Cooling Zone 3</v>
      </c>
      <c r="B66" t="str">
        <f>LEFT(Compiled!B66,LEN(Compiled!B66)-33)</f>
        <v xml:space="preserve">Ground Source Heat Pump Upgrade from Air Source Heat Pump - With Desuperheater - Existing House less than 4000 square feet </v>
      </c>
      <c r="C66" t="str">
        <f>Compiled!C66</f>
        <v>cool</v>
      </c>
      <c r="D66">
        <f>Compiled!D66*VLOOKUP($A66,Weighting!$A$19:$C$27,3,FALSE)</f>
        <v>24.019311677600324</v>
      </c>
      <c r="E66">
        <f>Compiled!E66</f>
        <v>20</v>
      </c>
      <c r="F66">
        <f>Compiled!F66*VLOOKUP($A66,Weighting!$A$19:$C$27,3,FALSE)</f>
        <v>0</v>
      </c>
      <c r="G66">
        <f>Compiled!G66</f>
        <v>0</v>
      </c>
      <c r="H66" t="str">
        <f>Compiled!H66</f>
        <v>ResCACPNW</v>
      </c>
      <c r="I66">
        <f>Compiled!I66</f>
        <v>0</v>
      </c>
    </row>
    <row r="67" spans="1:9">
      <c r="A67" t="str">
        <f>Compiled!A67</f>
        <v>Heating Zone 1 - Cooling Zone 3</v>
      </c>
      <c r="B67" t="str">
        <f>LEFT(Compiled!B67,LEN(Compiled!B67)-33)</f>
        <v xml:space="preserve">Ground Source Heat Pump Upgrade from Air Source Heat Pump - With Desuperheater - Existing House less than 4000 square feet </v>
      </c>
      <c r="C67" t="str">
        <f>Compiled!C67</f>
        <v>dhw</v>
      </c>
      <c r="D67">
        <f>Compiled!D67*VLOOKUP($A67,Weighting!$A$19:$C$27,3,FALSE)</f>
        <v>140.0982065563648</v>
      </c>
      <c r="E67">
        <f>Compiled!E67</f>
        <v>20</v>
      </c>
      <c r="F67">
        <f>Compiled!F67*VLOOKUP($A67,Weighting!$A$19:$C$27,3,FALSE)</f>
        <v>429.87207783266649</v>
      </c>
      <c r="G67">
        <f>Compiled!G67</f>
        <v>0</v>
      </c>
      <c r="H67" t="str">
        <f>Compiled!H67</f>
        <v>ResDHW</v>
      </c>
      <c r="I67">
        <f>Compiled!I67</f>
        <v>0</v>
      </c>
    </row>
    <row r="68" spans="1:9">
      <c r="A68" t="str">
        <f>Compiled!A68</f>
        <v>Heating Zone 2 - Cooling Zone 1</v>
      </c>
      <c r="B68" t="str">
        <f>LEFT(Compiled!B68,LEN(Compiled!B68)-33)</f>
        <v xml:space="preserve">Ground Source Heat Pump Upgrade from Air Source Heat Pump - With Desuperheater - Existing House less than 4000 square feet </v>
      </c>
      <c r="C68" t="str">
        <f>Compiled!C68</f>
        <v>heat</v>
      </c>
      <c r="D68">
        <f>Compiled!D68*VLOOKUP($A68,Weighting!$A$19:$C$27,3,FALSE)</f>
        <v>62.544458409704475</v>
      </c>
      <c r="E68">
        <f>Compiled!E68</f>
        <v>20</v>
      </c>
      <c r="F68">
        <f>Compiled!F68*VLOOKUP($A68,Weighting!$A$19:$C$27,3,FALSE)</f>
        <v>2.441530569552703</v>
      </c>
      <c r="G68">
        <f>Compiled!G68</f>
        <v>0</v>
      </c>
      <c r="H68" t="str">
        <f>Compiled!H68</f>
        <v>ResSpHtHPZ2</v>
      </c>
      <c r="I68">
        <f>Compiled!I68</f>
        <v>50.975261282513401</v>
      </c>
    </row>
    <row r="69" spans="1:9">
      <c r="A69" t="str">
        <f>Compiled!A69</f>
        <v>Heating Zone 2 - Cooling Zone 1</v>
      </c>
      <c r="B69" t="str">
        <f>LEFT(Compiled!B69,LEN(Compiled!B69)-33)</f>
        <v xml:space="preserve">Ground Source Heat Pump Upgrade from Air Source Heat Pump - With Desuperheater - Existing House less than 4000 square feet </v>
      </c>
      <c r="C69" t="str">
        <f>Compiled!C69</f>
        <v>cool</v>
      </c>
      <c r="D69">
        <f>Compiled!D69*VLOOKUP($A69,Weighting!$A$19:$C$27,3,FALSE)</f>
        <v>1.7451640354476723</v>
      </c>
      <c r="E69">
        <f>Compiled!E69</f>
        <v>20</v>
      </c>
      <c r="F69">
        <f>Compiled!F69*VLOOKUP($A69,Weighting!$A$19:$C$27,3,FALSE)</f>
        <v>0</v>
      </c>
      <c r="G69">
        <f>Compiled!G69</f>
        <v>0</v>
      </c>
      <c r="H69" t="str">
        <f>Compiled!H69</f>
        <v>ResCACPNW</v>
      </c>
      <c r="I69">
        <f>Compiled!I69</f>
        <v>0</v>
      </c>
    </row>
    <row r="70" spans="1:9">
      <c r="A70" t="str">
        <f>Compiled!A70</f>
        <v>Heating Zone 2 - Cooling Zone 1</v>
      </c>
      <c r="B70" t="str">
        <f>LEFT(Compiled!B70,LEN(Compiled!B70)-33)</f>
        <v xml:space="preserve">Ground Source Heat Pump Upgrade from Air Source Heat Pump - With Desuperheater - Existing House less than 4000 square feet </v>
      </c>
      <c r="C70" t="str">
        <f>Compiled!C70</f>
        <v>dhw</v>
      </c>
      <c r="D70">
        <f>Compiled!D70*VLOOKUP($A70,Weighting!$A$19:$C$27,3,FALSE)</f>
        <v>96.201050400944538</v>
      </c>
      <c r="E70">
        <f>Compiled!E70</f>
        <v>20</v>
      </c>
      <c r="F70">
        <f>Compiled!F70*VLOOKUP($A70,Weighting!$A$19:$C$27,3,FALSE)</f>
        <v>425.24235482493827</v>
      </c>
      <c r="G70">
        <f>Compiled!G70</f>
        <v>0</v>
      </c>
      <c r="H70" t="str">
        <f>Compiled!H70</f>
        <v>ResDHW</v>
      </c>
      <c r="I70">
        <f>Compiled!I70</f>
        <v>0</v>
      </c>
    </row>
    <row r="71" spans="1:9">
      <c r="A71" t="str">
        <f>Compiled!A71</f>
        <v>Heating Zone 2 - Cooling Zone 2</v>
      </c>
      <c r="B71" t="str">
        <f>LEFT(Compiled!B71,LEN(Compiled!B71)-33)</f>
        <v xml:space="preserve">Ground Source Heat Pump Upgrade from Air Source Heat Pump - With Desuperheater - Existing House less than 4000 square feet </v>
      </c>
      <c r="C71" t="str">
        <f>Compiled!C71</f>
        <v>heat</v>
      </c>
      <c r="D71">
        <f>Compiled!D71*VLOOKUP($A71,Weighting!$A$19:$C$27,3,FALSE)</f>
        <v>143.15046206939869</v>
      </c>
      <c r="E71">
        <f>Compiled!E71</f>
        <v>20</v>
      </c>
      <c r="F71">
        <f>Compiled!F71*VLOOKUP($A71,Weighting!$A$19:$C$27,3,FALSE)</f>
        <v>5.5881246408523015</v>
      </c>
      <c r="G71">
        <f>Compiled!G71</f>
        <v>0</v>
      </c>
      <c r="H71" t="str">
        <f>Compiled!H71</f>
        <v>ResSpHtHPZ2</v>
      </c>
      <c r="I71">
        <f>Compiled!I71</f>
        <v>50.975261282513401</v>
      </c>
    </row>
    <row r="72" spans="1:9">
      <c r="A72" t="str">
        <f>Compiled!A72</f>
        <v>Heating Zone 2 - Cooling Zone 2</v>
      </c>
      <c r="B72" t="str">
        <f>LEFT(Compiled!B72,LEN(Compiled!B72)-33)</f>
        <v xml:space="preserve">Ground Source Heat Pump Upgrade from Air Source Heat Pump - With Desuperheater - Existing House less than 4000 square feet </v>
      </c>
      <c r="C72" t="str">
        <f>Compiled!C72</f>
        <v>cool</v>
      </c>
      <c r="D72">
        <f>Compiled!D72*VLOOKUP($A72,Weighting!$A$19:$C$27,3,FALSE)</f>
        <v>12.684468007565199</v>
      </c>
      <c r="E72">
        <f>Compiled!E72</f>
        <v>20</v>
      </c>
      <c r="F72">
        <f>Compiled!F72*VLOOKUP($A72,Weighting!$A$19:$C$27,3,FALSE)</f>
        <v>0</v>
      </c>
      <c r="G72">
        <f>Compiled!G72</f>
        <v>0</v>
      </c>
      <c r="H72" t="str">
        <f>Compiled!H72</f>
        <v>ResCACPNW</v>
      </c>
      <c r="I72">
        <f>Compiled!I72</f>
        <v>0</v>
      </c>
    </row>
    <row r="73" spans="1:9">
      <c r="A73" t="str">
        <f>Compiled!A73</f>
        <v>Heating Zone 2 - Cooling Zone 2</v>
      </c>
      <c r="B73" t="str">
        <f>LEFT(Compiled!B73,LEN(Compiled!B73)-33)</f>
        <v xml:space="preserve">Ground Source Heat Pump Upgrade from Air Source Heat Pump - With Desuperheater - Existing House less than 4000 square feet </v>
      </c>
      <c r="C73" t="str">
        <f>Compiled!C73</f>
        <v>dhw</v>
      </c>
      <c r="D73">
        <f>Compiled!D73*VLOOKUP($A73,Weighting!$A$19:$C$27,3,FALSE)</f>
        <v>220.18297330591261</v>
      </c>
      <c r="E73">
        <f>Compiled!E73</f>
        <v>20</v>
      </c>
      <c r="F73">
        <f>Compiled!F73*VLOOKUP($A73,Weighting!$A$19:$C$27,3,FALSE)</f>
        <v>973.28590146083786</v>
      </c>
      <c r="G73">
        <f>Compiled!G73</f>
        <v>0</v>
      </c>
      <c r="H73" t="str">
        <f>Compiled!H73</f>
        <v>ResDHW</v>
      </c>
      <c r="I73">
        <f>Compiled!I73</f>
        <v>0</v>
      </c>
    </row>
    <row r="74" spans="1:9">
      <c r="A74" t="str">
        <f>Compiled!A74</f>
        <v>Heating Zone 2 - Cooling Zone 3</v>
      </c>
      <c r="B74" t="str">
        <f>LEFT(Compiled!B74,LEN(Compiled!B74)-33)</f>
        <v xml:space="preserve">Ground Source Heat Pump Upgrade from Air Source Heat Pump - With Desuperheater - Existing House less than 4000 square feet </v>
      </c>
      <c r="C74" t="str">
        <f>Compiled!C74</f>
        <v>heat</v>
      </c>
      <c r="D74">
        <f>Compiled!D74*VLOOKUP($A74,Weighting!$A$19:$C$27,3,FALSE)</f>
        <v>9.8283016649877073</v>
      </c>
      <c r="E74">
        <f>Compiled!E74</f>
        <v>20</v>
      </c>
      <c r="F74">
        <f>Compiled!F74*VLOOKUP($A74,Weighting!$A$19:$C$27,3,FALSE)</f>
        <v>0.38366466945263294</v>
      </c>
      <c r="G74">
        <f>Compiled!G74</f>
        <v>0</v>
      </c>
      <c r="H74" t="str">
        <f>Compiled!H74</f>
        <v>ResSpHtHPZ2</v>
      </c>
      <c r="I74">
        <f>Compiled!I74</f>
        <v>50.975261282513401</v>
      </c>
    </row>
    <row r="75" spans="1:9">
      <c r="A75" t="str">
        <f>Compiled!A75</f>
        <v>Heating Zone 2 - Cooling Zone 3</v>
      </c>
      <c r="B75" t="str">
        <f>LEFT(Compiled!B75,LEN(Compiled!B75)-33)</f>
        <v xml:space="preserve">Ground Source Heat Pump Upgrade from Air Source Heat Pump - With Desuperheater - Existing House less than 4000 square feet </v>
      </c>
      <c r="C75" t="str">
        <f>Compiled!C75</f>
        <v>cool</v>
      </c>
      <c r="D75">
        <f>Compiled!D75*VLOOKUP($A75,Weighting!$A$19:$C$27,3,FALSE)</f>
        <v>1.864710186621626</v>
      </c>
      <c r="E75">
        <f>Compiled!E75</f>
        <v>20</v>
      </c>
      <c r="F75">
        <f>Compiled!F75*VLOOKUP($A75,Weighting!$A$19:$C$27,3,FALSE)</f>
        <v>0</v>
      </c>
      <c r="G75">
        <f>Compiled!G75</f>
        <v>0</v>
      </c>
      <c r="H75" t="str">
        <f>Compiled!H75</f>
        <v>ResCACPNW</v>
      </c>
      <c r="I75">
        <f>Compiled!I75</f>
        <v>0</v>
      </c>
    </row>
    <row r="76" spans="1:9">
      <c r="A76" t="str">
        <f>Compiled!A76</f>
        <v>Heating Zone 2 - Cooling Zone 3</v>
      </c>
      <c r="B76" t="str">
        <f>LEFT(Compiled!B76,LEN(Compiled!B76)-33)</f>
        <v xml:space="preserve">Ground Source Heat Pump Upgrade from Air Source Heat Pump - With Desuperheater - Existing House less than 4000 square feet </v>
      </c>
      <c r="C76" t="str">
        <f>Compiled!C76</f>
        <v>dhw</v>
      </c>
      <c r="D76">
        <f>Compiled!D76*VLOOKUP($A76,Weighting!$A$19:$C$27,3,FALSE)</f>
        <v>15.117133761645393</v>
      </c>
      <c r="E76">
        <f>Compiled!E76</f>
        <v>20</v>
      </c>
      <c r="F76">
        <f>Compiled!F76*VLOOKUP($A76,Weighting!$A$19:$C$27,3,FALSE)</f>
        <v>66.823028773733085</v>
      </c>
      <c r="G76">
        <f>Compiled!G76</f>
        <v>0</v>
      </c>
      <c r="H76" t="str">
        <f>Compiled!H76</f>
        <v>ResDHW</v>
      </c>
      <c r="I76">
        <f>Compiled!I76</f>
        <v>0</v>
      </c>
    </row>
    <row r="77" spans="1:9">
      <c r="A77" t="str">
        <f>Compiled!A77</f>
        <v>Heating Zone 3 - Cooling Zone 1</v>
      </c>
      <c r="B77" t="str">
        <f>LEFT(Compiled!B77,LEN(Compiled!B77)-33)</f>
        <v xml:space="preserve">Ground Source Heat Pump Upgrade from Air Source Heat Pump - With Desuperheater - Existing House less than 4000 square feet </v>
      </c>
      <c r="C77" t="str">
        <f>Compiled!C77</f>
        <v>heat</v>
      </c>
      <c r="D77">
        <f>Compiled!D77*VLOOKUP($A77,Weighting!$A$19:$C$27,3,FALSE)</f>
        <v>128.34076705206033</v>
      </c>
      <c r="E77">
        <f>Compiled!E77</f>
        <v>20</v>
      </c>
      <c r="F77">
        <f>Compiled!F77*VLOOKUP($A77,Weighting!$A$19:$C$27,3,FALSE)</f>
        <v>3.4796290399196792</v>
      </c>
      <c r="G77">
        <f>Compiled!G77</f>
        <v>0</v>
      </c>
      <c r="H77" t="str">
        <f>Compiled!H77</f>
        <v>ResSpHtHPZ3</v>
      </c>
      <c r="I77">
        <f>Compiled!I77</f>
        <v>54.876734813348762</v>
      </c>
    </row>
    <row r="78" spans="1:9">
      <c r="A78" t="str">
        <f>Compiled!A78</f>
        <v>Heating Zone 3 - Cooling Zone 1</v>
      </c>
      <c r="B78" t="str">
        <f>LEFT(Compiled!B78,LEN(Compiled!B78)-33)</f>
        <v xml:space="preserve">Ground Source Heat Pump Upgrade from Air Source Heat Pump - With Desuperheater - Existing House less than 4000 square feet </v>
      </c>
      <c r="C78" t="str">
        <f>Compiled!C78</f>
        <v>cool</v>
      </c>
      <c r="D78">
        <f>Compiled!D78*VLOOKUP($A78,Weighting!$A$19:$C$27,3,FALSE)</f>
        <v>2.3103524226840246</v>
      </c>
      <c r="E78">
        <f>Compiled!E78</f>
        <v>20</v>
      </c>
      <c r="F78">
        <f>Compiled!F78*VLOOKUP($A78,Weighting!$A$19:$C$27,3,FALSE)</f>
        <v>0</v>
      </c>
      <c r="G78">
        <f>Compiled!G78</f>
        <v>0</v>
      </c>
      <c r="H78" t="str">
        <f>Compiled!H78</f>
        <v>ResCACPNW</v>
      </c>
      <c r="I78">
        <f>Compiled!I78</f>
        <v>0</v>
      </c>
    </row>
    <row r="79" spans="1:9">
      <c r="A79" t="str">
        <f>Compiled!A79</f>
        <v>Heating Zone 3 - Cooling Zone 1</v>
      </c>
      <c r="B79" t="str">
        <f>LEFT(Compiled!B79,LEN(Compiled!B79)-33)</f>
        <v xml:space="preserve">Ground Source Heat Pump Upgrade from Air Source Heat Pump - With Desuperheater - Existing House less than 4000 square feet </v>
      </c>
      <c r="C79" t="str">
        <f>Compiled!C79</f>
        <v>dhw</v>
      </c>
      <c r="D79">
        <f>Compiled!D79*VLOOKUP($A79,Weighting!$A$19:$C$27,3,FALSE)</f>
        <v>147.00739747830968</v>
      </c>
      <c r="E79">
        <f>Compiled!E79</f>
        <v>20</v>
      </c>
      <c r="F79">
        <f>Compiled!F79*VLOOKUP($A79,Weighting!$A$19:$C$27,3,FALSE)</f>
        <v>918.03292510862366</v>
      </c>
      <c r="G79">
        <f>Compiled!G79</f>
        <v>0</v>
      </c>
      <c r="H79" t="str">
        <f>Compiled!H79</f>
        <v>ResDHW</v>
      </c>
      <c r="I79">
        <f>Compiled!I79</f>
        <v>0</v>
      </c>
    </row>
    <row r="80" spans="1:9">
      <c r="A80" t="str">
        <f>Compiled!A80</f>
        <v>Heating Zone 3 - Cooling Zone 2</v>
      </c>
      <c r="B80" t="str">
        <f>LEFT(Compiled!B80,LEN(Compiled!B80)-33)</f>
        <v xml:space="preserve">Ground Source Heat Pump Upgrade from Air Source Heat Pump - With Desuperheater - Existing House less than 4000 square feet </v>
      </c>
      <c r="C80" t="str">
        <f>Compiled!C80</f>
        <v>heat</v>
      </c>
      <c r="D80">
        <f>Compiled!D80*VLOOKUP($A80,Weighting!$A$19:$C$27,3,FALSE)</f>
        <v>41.731588657322952</v>
      </c>
      <c r="E80">
        <f>Compiled!E80</f>
        <v>20</v>
      </c>
      <c r="F80">
        <f>Compiled!F80*VLOOKUP($A80,Weighting!$A$19:$C$27,3,FALSE)</f>
        <v>1.1314444436435405</v>
      </c>
      <c r="G80">
        <f>Compiled!G80</f>
        <v>0</v>
      </c>
      <c r="H80" t="str">
        <f>Compiled!H80</f>
        <v>ResSpHtHPZ3</v>
      </c>
      <c r="I80">
        <f>Compiled!I80</f>
        <v>54.876734813348762</v>
      </c>
    </row>
    <row r="81" spans="1:9">
      <c r="A81" t="str">
        <f>Compiled!A81</f>
        <v>Heating Zone 3 - Cooling Zone 2</v>
      </c>
      <c r="B81" t="str">
        <f>LEFT(Compiled!B81,LEN(Compiled!B81)-33)</f>
        <v xml:space="preserve">Ground Source Heat Pump Upgrade from Air Source Heat Pump - With Desuperheater - Existing House less than 4000 square feet </v>
      </c>
      <c r="C81" t="str">
        <f>Compiled!C81</f>
        <v>cool</v>
      </c>
      <c r="D81">
        <f>Compiled!D81*VLOOKUP($A81,Weighting!$A$19:$C$27,3,FALSE)</f>
        <v>2.3856712939805154</v>
      </c>
      <c r="E81">
        <f>Compiled!E81</f>
        <v>20</v>
      </c>
      <c r="F81">
        <f>Compiled!F81*VLOOKUP($A81,Weighting!$A$19:$C$27,3,FALSE)</f>
        <v>0</v>
      </c>
      <c r="G81">
        <f>Compiled!G81</f>
        <v>0</v>
      </c>
      <c r="H81" t="str">
        <f>Compiled!H81</f>
        <v>ResCACPNW</v>
      </c>
      <c r="I81">
        <f>Compiled!I81</f>
        <v>0</v>
      </c>
    </row>
    <row r="82" spans="1:9">
      <c r="A82" t="str">
        <f>Compiled!A82</f>
        <v>Heating Zone 3 - Cooling Zone 2</v>
      </c>
      <c r="B82" t="str">
        <f>LEFT(Compiled!B82,LEN(Compiled!B82)-33)</f>
        <v xml:space="preserve">Ground Source Heat Pump Upgrade from Air Source Heat Pump - With Desuperheater - Existing House less than 4000 square feet </v>
      </c>
      <c r="C82" t="str">
        <f>Compiled!C82</f>
        <v>dhw</v>
      </c>
      <c r="D82">
        <f>Compiled!D82*VLOOKUP($A82,Weighting!$A$19:$C$27,3,FALSE)</f>
        <v>47.801274544820544</v>
      </c>
      <c r="E82">
        <f>Compiled!E82</f>
        <v>20</v>
      </c>
      <c r="F82">
        <f>Compiled!F82*VLOOKUP($A82,Weighting!$A$19:$C$27,3,FALSE)</f>
        <v>298.50976649509607</v>
      </c>
      <c r="G82">
        <f>Compiled!G82</f>
        <v>0</v>
      </c>
      <c r="H82" t="str">
        <f>Compiled!H82</f>
        <v>ResDHW</v>
      </c>
      <c r="I82">
        <f>Compiled!I82</f>
        <v>0</v>
      </c>
    </row>
    <row r="83" spans="1:9">
      <c r="A83" t="str">
        <f>Compiled!A83</f>
        <v>Heating Zone 3 - Cooling Zone 3</v>
      </c>
      <c r="B83" t="str">
        <f>LEFT(Compiled!B83,LEN(Compiled!B83)-33)</f>
        <v xml:space="preserve">Ground Source Heat Pump Upgrade from Air Source Heat Pump - With Desuperheater - Existing House less than 4000 square feet </v>
      </c>
      <c r="C83" t="str">
        <f>Compiled!C83</f>
        <v>heat</v>
      </c>
      <c r="D83">
        <f>Compiled!D83*VLOOKUP($A83,Weighting!$A$19:$C$27,3,FALSE)</f>
        <v>0</v>
      </c>
      <c r="E83">
        <f>Compiled!E83</f>
        <v>20</v>
      </c>
      <c r="F83">
        <f>Compiled!F83*VLOOKUP($A83,Weighting!$A$19:$C$27,3,FALSE)</f>
        <v>0</v>
      </c>
      <c r="G83">
        <f>Compiled!G83</f>
        <v>0</v>
      </c>
      <c r="H83" t="str">
        <f>Compiled!H83</f>
        <v>ResSpHtHPZ3</v>
      </c>
      <c r="I83">
        <f>Compiled!I83</f>
        <v>54.876734813348762</v>
      </c>
    </row>
    <row r="84" spans="1:9">
      <c r="A84" t="str">
        <f>Compiled!A84</f>
        <v>Heating Zone 3 - Cooling Zone 3</v>
      </c>
      <c r="B84" t="str">
        <f>LEFT(Compiled!B84,LEN(Compiled!B84)-33)</f>
        <v xml:space="preserve">Ground Source Heat Pump Upgrade from Air Source Heat Pump - With Desuperheater - Existing House less than 4000 square feet </v>
      </c>
      <c r="C84" t="str">
        <f>Compiled!C84</f>
        <v>cool</v>
      </c>
      <c r="D84">
        <f>Compiled!D84*VLOOKUP($A84,Weighting!$A$19:$C$27,3,FALSE)</f>
        <v>0</v>
      </c>
      <c r="E84">
        <f>Compiled!E84</f>
        <v>20</v>
      </c>
      <c r="F84">
        <f>Compiled!F84*VLOOKUP($A84,Weighting!$A$19:$C$27,3,FALSE)</f>
        <v>0</v>
      </c>
      <c r="G84">
        <f>Compiled!G84</f>
        <v>0</v>
      </c>
      <c r="H84" t="str">
        <f>Compiled!H84</f>
        <v>ResCACPNW</v>
      </c>
      <c r="I84">
        <f>Compiled!I84</f>
        <v>0</v>
      </c>
    </row>
    <row r="85" spans="1:9">
      <c r="A85" t="str">
        <f>Compiled!A85</f>
        <v>Heating Zone 3 - Cooling Zone 3</v>
      </c>
      <c r="B85" t="str">
        <f>LEFT(Compiled!B85,LEN(Compiled!B85)-33)</f>
        <v xml:space="preserve">Ground Source Heat Pump Upgrade from Air Source Heat Pump - With Desuperheater - Existing House less than 4000 square feet </v>
      </c>
      <c r="C85" t="str">
        <f>Compiled!C85</f>
        <v>dhw</v>
      </c>
      <c r="D85">
        <f>Compiled!D85*VLOOKUP($A85,Weighting!$A$19:$C$27,3,FALSE)</f>
        <v>0</v>
      </c>
      <c r="E85">
        <f>Compiled!E85</f>
        <v>20</v>
      </c>
      <c r="F85">
        <f>Compiled!F85*VLOOKUP($A85,Weighting!$A$19:$C$27,3,FALSE)</f>
        <v>0</v>
      </c>
      <c r="G85">
        <f>Compiled!G85</f>
        <v>0</v>
      </c>
      <c r="H85" t="str">
        <f>Compiled!H85</f>
        <v>ResDHW</v>
      </c>
      <c r="I85">
        <f>Compiled!I85</f>
        <v>0</v>
      </c>
    </row>
    <row r="86" spans="1:9">
      <c r="A86" t="str">
        <f>Compiled!A86</f>
        <v>Heating Zone 1 - Cooling Zone 1</v>
      </c>
      <c r="B86" t="str">
        <f>LEFT(Compiled!B86,LEN(Compiled!B86)-33)</f>
        <v xml:space="preserve">Ground Source Heat Pump Upgrade from Air Source Heat Pump - With Desuperheater - Existing House 4000 square feet or greater </v>
      </c>
      <c r="C86" t="str">
        <f>Compiled!C86</f>
        <v>heat</v>
      </c>
      <c r="D86">
        <f>Compiled!D86*VLOOKUP($A86,Weighting!$A$19:$C$27,3,FALSE)</f>
        <v>601.75713854738217</v>
      </c>
      <c r="E86">
        <f>Compiled!E86</f>
        <v>20</v>
      </c>
      <c r="F86">
        <f>Compiled!F86*VLOOKUP($A86,Weighting!$A$19:$C$27,3,FALSE)</f>
        <v>49.095513888118255</v>
      </c>
      <c r="G86">
        <f>Compiled!G86</f>
        <v>0</v>
      </c>
      <c r="H86" t="str">
        <f>Compiled!H86</f>
        <v>ResSpHtHPZ1</v>
      </c>
      <c r="I86">
        <f>Compiled!I86</f>
        <v>92.390941923862698</v>
      </c>
    </row>
    <row r="87" spans="1:9">
      <c r="A87" t="str">
        <f>Compiled!A87</f>
        <v>Heating Zone 1 - Cooling Zone 1</v>
      </c>
      <c r="B87" t="str">
        <f>LEFT(Compiled!B87,LEN(Compiled!B87)-33)</f>
        <v xml:space="preserve">Ground Source Heat Pump Upgrade from Air Source Heat Pump - With Desuperheater - Existing House 4000 square feet or greater </v>
      </c>
      <c r="C87" t="str">
        <f>Compiled!C87</f>
        <v>cool</v>
      </c>
      <c r="D87">
        <f>Compiled!D87*VLOOKUP($A87,Weighting!$A$19:$C$27,3,FALSE)</f>
        <v>32.616903548687908</v>
      </c>
      <c r="E87">
        <f>Compiled!E87</f>
        <v>20</v>
      </c>
      <c r="F87">
        <f>Compiled!F87*VLOOKUP($A87,Weighting!$A$19:$C$27,3,FALSE)</f>
        <v>0</v>
      </c>
      <c r="G87">
        <f>Compiled!G87</f>
        <v>0</v>
      </c>
      <c r="H87" t="str">
        <f>Compiled!H87</f>
        <v>ResCACPNW</v>
      </c>
      <c r="I87">
        <f>Compiled!I87</f>
        <v>0</v>
      </c>
    </row>
    <row r="88" spans="1:9">
      <c r="A88" t="str">
        <f>Compiled!A88</f>
        <v>Heating Zone 1 - Cooling Zone 1</v>
      </c>
      <c r="B88" t="str">
        <f>LEFT(Compiled!B88,LEN(Compiled!B88)-33)</f>
        <v xml:space="preserve">Ground Source Heat Pump Upgrade from Air Source Heat Pump - With Desuperheater - Existing House 4000 square feet or greater </v>
      </c>
      <c r="C88" t="str">
        <f>Compiled!C88</f>
        <v>dhw</v>
      </c>
      <c r="D88">
        <f>Compiled!D88*VLOOKUP($A88,Weighting!$A$19:$C$27,3,FALSE)</f>
        <v>859.25166929717136</v>
      </c>
      <c r="E88">
        <f>Compiled!E88</f>
        <v>20</v>
      </c>
      <c r="F88">
        <f>Compiled!F88*VLOOKUP($A88,Weighting!$A$19:$C$27,3,FALSE)</f>
        <v>3692.2872190970065</v>
      </c>
      <c r="G88">
        <f>Compiled!G88</f>
        <v>0</v>
      </c>
      <c r="H88" t="str">
        <f>Compiled!H88</f>
        <v>ResDHW</v>
      </c>
      <c r="I88">
        <f>Compiled!I88</f>
        <v>0</v>
      </c>
    </row>
    <row r="89" spans="1:9">
      <c r="A89" t="str">
        <f>Compiled!A89</f>
        <v>Heating Zone 1 - Cooling Zone 2</v>
      </c>
      <c r="B89" t="str">
        <f>LEFT(Compiled!B89,LEN(Compiled!B89)-33)</f>
        <v xml:space="preserve">Ground Source Heat Pump Upgrade from Air Source Heat Pump - With Desuperheater - Existing House 4000 square feet or greater </v>
      </c>
      <c r="C89" t="str">
        <f>Compiled!C89</f>
        <v>heat</v>
      </c>
      <c r="D89">
        <f>Compiled!D89*VLOOKUP($A89,Weighting!$A$19:$C$27,3,FALSE)</f>
        <v>138.82314903475654</v>
      </c>
      <c r="E89">
        <f>Compiled!E89</f>
        <v>20</v>
      </c>
      <c r="F89">
        <f>Compiled!F89*VLOOKUP($A89,Weighting!$A$19:$C$27,3,FALSE)</f>
        <v>11.326153700279772</v>
      </c>
      <c r="G89">
        <f>Compiled!G89</f>
        <v>0</v>
      </c>
      <c r="H89" t="str">
        <f>Compiled!H89</f>
        <v>ResSpHtHPZ1</v>
      </c>
      <c r="I89">
        <f>Compiled!I89</f>
        <v>92.390941923862698</v>
      </c>
    </row>
    <row r="90" spans="1:9">
      <c r="A90" t="str">
        <f>Compiled!A90</f>
        <v>Heating Zone 1 - Cooling Zone 2</v>
      </c>
      <c r="B90" t="str">
        <f>LEFT(Compiled!B90,LEN(Compiled!B90)-33)</f>
        <v xml:space="preserve">Ground Source Heat Pump Upgrade from Air Source Heat Pump - With Desuperheater - Existing House 4000 square feet or greater </v>
      </c>
      <c r="C90" t="str">
        <f>Compiled!C90</f>
        <v>cool</v>
      </c>
      <c r="D90">
        <f>Compiled!D90*VLOOKUP($A90,Weighting!$A$19:$C$27,3,FALSE)</f>
        <v>22.286599591150061</v>
      </c>
      <c r="E90">
        <f>Compiled!E90</f>
        <v>20</v>
      </c>
      <c r="F90">
        <f>Compiled!F90*VLOOKUP($A90,Weighting!$A$19:$C$27,3,FALSE)</f>
        <v>0</v>
      </c>
      <c r="G90">
        <f>Compiled!G90</f>
        <v>0</v>
      </c>
      <c r="H90" t="str">
        <f>Compiled!H90</f>
        <v>ResCACPNW</v>
      </c>
      <c r="I90">
        <f>Compiled!I90</f>
        <v>0</v>
      </c>
    </row>
    <row r="91" spans="1:9">
      <c r="A91" t="str">
        <f>Compiled!A91</f>
        <v>Heating Zone 1 - Cooling Zone 2</v>
      </c>
      <c r="B91" t="str">
        <f>LEFT(Compiled!B91,LEN(Compiled!B91)-33)</f>
        <v xml:space="preserve">Ground Source Heat Pump Upgrade from Air Source Heat Pump - With Desuperheater - Existing House 4000 square feet or greater </v>
      </c>
      <c r="C91" t="str">
        <f>Compiled!C91</f>
        <v>dhw</v>
      </c>
      <c r="D91">
        <f>Compiled!D91*VLOOKUP($A91,Weighting!$A$19:$C$27,3,FALSE)</f>
        <v>198.22618612078529</v>
      </c>
      <c r="E91">
        <f>Compiled!E91</f>
        <v>20</v>
      </c>
      <c r="F91">
        <f>Compiled!F91*VLOOKUP($A91,Weighting!$A$19:$C$27,3,FALSE)</f>
        <v>851.79702252168715</v>
      </c>
      <c r="G91">
        <f>Compiled!G91</f>
        <v>0</v>
      </c>
      <c r="H91" t="str">
        <f>Compiled!H91</f>
        <v>ResDHW</v>
      </c>
      <c r="I91">
        <f>Compiled!I91</f>
        <v>0</v>
      </c>
    </row>
    <row r="92" spans="1:9">
      <c r="A92" t="str">
        <f>Compiled!A92</f>
        <v>Heating Zone 1 - Cooling Zone 3</v>
      </c>
      <c r="B92" t="str">
        <f>LEFT(Compiled!B92,LEN(Compiled!B92)-33)</f>
        <v xml:space="preserve">Ground Source Heat Pump Upgrade from Air Source Heat Pump - With Desuperheater - Existing House 4000 square feet or greater </v>
      </c>
      <c r="C92" t="str">
        <f>Compiled!C92</f>
        <v>heat</v>
      </c>
      <c r="D92">
        <f>Compiled!D92*VLOOKUP($A92,Weighting!$A$19:$C$27,3,FALSE)</f>
        <v>109.78686844776716</v>
      </c>
      <c r="E92">
        <f>Compiled!E92</f>
        <v>20</v>
      </c>
      <c r="F92">
        <f>Compiled!F92*VLOOKUP($A92,Weighting!$A$19:$C$27,3,FALSE)</f>
        <v>8.9571728847649617</v>
      </c>
      <c r="G92">
        <f>Compiled!G92</f>
        <v>0</v>
      </c>
      <c r="H92" t="str">
        <f>Compiled!H92</f>
        <v>ResSpHtHPZ1</v>
      </c>
      <c r="I92">
        <f>Compiled!I92</f>
        <v>92.390941923862698</v>
      </c>
    </row>
    <row r="93" spans="1:9">
      <c r="A93" t="str">
        <f>Compiled!A93</f>
        <v>Heating Zone 1 - Cooling Zone 3</v>
      </c>
      <c r="B93" t="str">
        <f>LEFT(Compiled!B93,LEN(Compiled!B93)-33)</f>
        <v xml:space="preserve">Ground Source Heat Pump Upgrade from Air Source Heat Pump - With Desuperheater - Existing House 4000 square feet or greater </v>
      </c>
      <c r="C93" t="str">
        <f>Compiled!C93</f>
        <v>cool</v>
      </c>
      <c r="D93">
        <f>Compiled!D93*VLOOKUP($A93,Weighting!$A$19:$C$27,3,FALSE)</f>
        <v>37.002665086078181</v>
      </c>
      <c r="E93">
        <f>Compiled!E93</f>
        <v>20</v>
      </c>
      <c r="F93">
        <f>Compiled!F93*VLOOKUP($A93,Weighting!$A$19:$C$27,3,FALSE)</f>
        <v>0</v>
      </c>
      <c r="G93">
        <f>Compiled!G93</f>
        <v>0</v>
      </c>
      <c r="H93" t="str">
        <f>Compiled!H93</f>
        <v>ResCACPNW</v>
      </c>
      <c r="I93">
        <f>Compiled!I93</f>
        <v>0</v>
      </c>
    </row>
    <row r="94" spans="1:9">
      <c r="A94" t="str">
        <f>Compiled!A94</f>
        <v>Heating Zone 1 - Cooling Zone 3</v>
      </c>
      <c r="B94" t="str">
        <f>LEFT(Compiled!B94,LEN(Compiled!B94)-33)</f>
        <v xml:space="preserve">Ground Source Heat Pump Upgrade from Air Source Heat Pump - With Desuperheater - Existing House 4000 square feet or greater </v>
      </c>
      <c r="C94" t="str">
        <f>Compiled!C94</f>
        <v>dhw</v>
      </c>
      <c r="D94">
        <f>Compiled!D94*VLOOKUP($A94,Weighting!$A$19:$C$27,3,FALSE)</f>
        <v>156.76515314529169</v>
      </c>
      <c r="E94">
        <f>Compiled!E94</f>
        <v>20</v>
      </c>
      <c r="F94">
        <f>Compiled!F94*VLOOKUP($A94,Weighting!$A$19:$C$27,3,FALSE)</f>
        <v>673.63496870665995</v>
      </c>
      <c r="G94">
        <f>Compiled!G94</f>
        <v>0</v>
      </c>
      <c r="H94" t="str">
        <f>Compiled!H94</f>
        <v>ResDHW</v>
      </c>
      <c r="I94">
        <f>Compiled!I94</f>
        <v>0</v>
      </c>
    </row>
    <row r="95" spans="1:9">
      <c r="A95" t="str">
        <f>Compiled!A95</f>
        <v>Heating Zone 2 - Cooling Zone 1</v>
      </c>
      <c r="B95" t="str">
        <f>LEFT(Compiled!B95,LEN(Compiled!B95)-33)</f>
        <v xml:space="preserve">Ground Source Heat Pump Upgrade from Air Source Heat Pump - With Desuperheater - Existing House 4000 square feet or greater </v>
      </c>
      <c r="C95" t="str">
        <f>Compiled!C95</f>
        <v>heat</v>
      </c>
      <c r="D95">
        <f>Compiled!D95*VLOOKUP($A95,Weighting!$A$19:$C$27,3,FALSE)</f>
        <v>137.4418844414555</v>
      </c>
      <c r="E95">
        <f>Compiled!E95</f>
        <v>20</v>
      </c>
      <c r="F95">
        <f>Compiled!F95*VLOOKUP($A95,Weighting!$A$19:$C$27,3,FALSE)</f>
        <v>4.3680849386175709</v>
      </c>
      <c r="G95">
        <f>Compiled!G95</f>
        <v>0</v>
      </c>
      <c r="H95" t="str">
        <f>Compiled!H95</f>
        <v>ResSpHtHPZ2</v>
      </c>
      <c r="I95">
        <f>Compiled!I95</f>
        <v>91.198641469819933</v>
      </c>
    </row>
    <row r="96" spans="1:9">
      <c r="A96" t="str">
        <f>Compiled!A96</f>
        <v>Heating Zone 2 - Cooling Zone 1</v>
      </c>
      <c r="B96" t="str">
        <f>LEFT(Compiled!B96,LEN(Compiled!B96)-33)</f>
        <v xml:space="preserve">Ground Source Heat Pump Upgrade from Air Source Heat Pump - With Desuperheater - Existing House 4000 square feet or greater </v>
      </c>
      <c r="C96" t="str">
        <f>Compiled!C96</f>
        <v>cool</v>
      </c>
      <c r="D96">
        <f>Compiled!D96*VLOOKUP($A96,Weighting!$A$19:$C$27,3,FALSE)</f>
        <v>2.9399031239982558</v>
      </c>
      <c r="E96">
        <f>Compiled!E96</f>
        <v>20</v>
      </c>
      <c r="F96">
        <f>Compiled!F96*VLOOKUP($A96,Weighting!$A$19:$C$27,3,FALSE)</f>
        <v>0</v>
      </c>
      <c r="G96">
        <f>Compiled!G96</f>
        <v>0</v>
      </c>
      <c r="H96" t="str">
        <f>Compiled!H96</f>
        <v>ResCACPNW</v>
      </c>
      <c r="I96">
        <f>Compiled!I96</f>
        <v>0</v>
      </c>
    </row>
    <row r="97" spans="1:9">
      <c r="A97" t="str">
        <f>Compiled!A97</f>
        <v>Heating Zone 2 - Cooling Zone 1</v>
      </c>
      <c r="B97" t="str">
        <f>LEFT(Compiled!B97,LEN(Compiled!B97)-33)</f>
        <v xml:space="preserve">Ground Source Heat Pump Upgrade from Air Source Heat Pump - With Desuperheater - Existing House 4000 square feet or greater </v>
      </c>
      <c r="C97" t="str">
        <f>Compiled!C97</f>
        <v>dhw</v>
      </c>
      <c r="D97">
        <f>Compiled!D97*VLOOKUP($A97,Weighting!$A$19:$C$27,3,FALSE)</f>
        <v>106.12496378850341</v>
      </c>
      <c r="E97">
        <f>Compiled!E97</f>
        <v>20</v>
      </c>
      <c r="F97">
        <f>Compiled!F97*VLOOKUP($A97,Weighting!$A$19:$C$27,3,FALSE)</f>
        <v>656.82051597230543</v>
      </c>
      <c r="G97">
        <f>Compiled!G97</f>
        <v>0</v>
      </c>
      <c r="H97" t="str">
        <f>Compiled!H97</f>
        <v>ResDHW</v>
      </c>
      <c r="I97">
        <f>Compiled!I97</f>
        <v>0</v>
      </c>
    </row>
    <row r="98" spans="1:9">
      <c r="A98" t="str">
        <f>Compiled!A98</f>
        <v>Heating Zone 2 - Cooling Zone 2</v>
      </c>
      <c r="B98" t="str">
        <f>LEFT(Compiled!B98,LEN(Compiled!B98)-33)</f>
        <v xml:space="preserve">Ground Source Heat Pump Upgrade from Air Source Heat Pump - With Desuperheater - Existing House 4000 square feet or greater </v>
      </c>
      <c r="C98" t="str">
        <f>Compiled!C98</f>
        <v>heat</v>
      </c>
      <c r="D98">
        <f>Compiled!D98*VLOOKUP($A98,Weighting!$A$19:$C$27,3,FALSE)</f>
        <v>314.57414079119241</v>
      </c>
      <c r="E98">
        <f>Compiled!E98</f>
        <v>20</v>
      </c>
      <c r="F98">
        <f>Compiled!F98*VLOOKUP($A98,Weighting!$A$19:$C$27,3,FALSE)</f>
        <v>9.9975824113054443</v>
      </c>
      <c r="G98">
        <f>Compiled!G98</f>
        <v>0</v>
      </c>
      <c r="H98" t="str">
        <f>Compiled!H98</f>
        <v>ResSpHtHPZ2</v>
      </c>
      <c r="I98">
        <f>Compiled!I98</f>
        <v>91.198641469819933</v>
      </c>
    </row>
    <row r="99" spans="1:9">
      <c r="A99" t="str">
        <f>Compiled!A99</f>
        <v>Heating Zone 2 - Cooling Zone 2</v>
      </c>
      <c r="B99" t="str">
        <f>LEFT(Compiled!B99,LEN(Compiled!B99)-33)</f>
        <v xml:space="preserve">Ground Source Heat Pump Upgrade from Air Source Heat Pump - With Desuperheater - Existing House 4000 square feet or greater </v>
      </c>
      <c r="C99" t="str">
        <f>Compiled!C99</f>
        <v>cool</v>
      </c>
      <c r="D99">
        <f>Compiled!D99*VLOOKUP($A99,Weighting!$A$19:$C$27,3,FALSE)</f>
        <v>19.929544745423282</v>
      </c>
      <c r="E99">
        <f>Compiled!E99</f>
        <v>20</v>
      </c>
      <c r="F99">
        <f>Compiled!F99*VLOOKUP($A99,Weighting!$A$19:$C$27,3,FALSE)</f>
        <v>0</v>
      </c>
      <c r="G99">
        <f>Compiled!G99</f>
        <v>0</v>
      </c>
      <c r="H99" t="str">
        <f>Compiled!H99</f>
        <v>ResCACPNW</v>
      </c>
      <c r="I99">
        <f>Compiled!I99</f>
        <v>0</v>
      </c>
    </row>
    <row r="100" spans="1:9">
      <c r="A100" t="str">
        <f>Compiled!A100</f>
        <v>Heating Zone 2 - Cooling Zone 2</v>
      </c>
      <c r="B100" t="str">
        <f>LEFT(Compiled!B100,LEN(Compiled!B100)-33)</f>
        <v xml:space="preserve">Ground Source Heat Pump Upgrade from Air Source Heat Pump - With Desuperheater - Existing House 4000 square feet or greater </v>
      </c>
      <c r="C100" t="str">
        <f>Compiled!C100</f>
        <v>dhw</v>
      </c>
      <c r="D100">
        <f>Compiled!D100*VLOOKUP($A100,Weighting!$A$19:$C$27,3,FALSE)</f>
        <v>242.89662089495815</v>
      </c>
      <c r="E100">
        <f>Compiled!E100</f>
        <v>20</v>
      </c>
      <c r="F100">
        <f>Compiled!F100*VLOOKUP($A100,Weighting!$A$19:$C$27,3,FALSE)</f>
        <v>1503.3172042546216</v>
      </c>
      <c r="G100">
        <f>Compiled!G100</f>
        <v>0</v>
      </c>
      <c r="H100" t="str">
        <f>Compiled!H100</f>
        <v>ResDHW</v>
      </c>
      <c r="I100">
        <f>Compiled!I100</f>
        <v>0</v>
      </c>
    </row>
    <row r="101" spans="1:9">
      <c r="A101" t="str">
        <f>Compiled!A101</f>
        <v>Heating Zone 2 - Cooling Zone 3</v>
      </c>
      <c r="B101" t="str">
        <f>LEFT(Compiled!B101,LEN(Compiled!B101)-33)</f>
        <v xml:space="preserve">Ground Source Heat Pump Upgrade from Air Source Heat Pump - With Desuperheater - Existing House 4000 square feet or greater </v>
      </c>
      <c r="C101" t="str">
        <f>Compiled!C101</f>
        <v>heat</v>
      </c>
      <c r="D101">
        <f>Compiled!D101*VLOOKUP($A101,Weighting!$A$19:$C$27,3,FALSE)</f>
        <v>21.597761592982479</v>
      </c>
      <c r="E101">
        <f>Compiled!E101</f>
        <v>20</v>
      </c>
      <c r="F101">
        <f>Compiled!F101*VLOOKUP($A101,Weighting!$A$19:$C$27,3,FALSE)</f>
        <v>0.68640543969218548</v>
      </c>
      <c r="G101">
        <f>Compiled!G101</f>
        <v>0</v>
      </c>
      <c r="H101" t="str">
        <f>Compiled!H101</f>
        <v>ResSpHtHPZ2</v>
      </c>
      <c r="I101">
        <f>Compiled!I101</f>
        <v>91.198641469819933</v>
      </c>
    </row>
    <row r="102" spans="1:9">
      <c r="A102" t="str">
        <f>Compiled!A102</f>
        <v>Heating Zone 2 - Cooling Zone 3</v>
      </c>
      <c r="B102" t="str">
        <f>LEFT(Compiled!B102,LEN(Compiled!B102)-33)</f>
        <v xml:space="preserve">Ground Source Heat Pump Upgrade from Air Source Heat Pump - With Desuperheater - Existing House 4000 square feet or greater </v>
      </c>
      <c r="C102" t="str">
        <f>Compiled!C102</f>
        <v>cool</v>
      </c>
      <c r="D102">
        <f>Compiled!D102*VLOOKUP($A102,Weighting!$A$19:$C$27,3,FALSE)</f>
        <v>2.8726571120897257</v>
      </c>
      <c r="E102">
        <f>Compiled!E102</f>
        <v>20</v>
      </c>
      <c r="F102">
        <f>Compiled!F102*VLOOKUP($A102,Weighting!$A$19:$C$27,3,FALSE)</f>
        <v>0</v>
      </c>
      <c r="G102">
        <f>Compiled!G102</f>
        <v>0</v>
      </c>
      <c r="H102" t="str">
        <f>Compiled!H102</f>
        <v>ResCACPNW</v>
      </c>
      <c r="I102">
        <f>Compiled!I102</f>
        <v>0</v>
      </c>
    </row>
    <row r="103" spans="1:9">
      <c r="A103" t="str">
        <f>Compiled!A103</f>
        <v>Heating Zone 2 - Cooling Zone 3</v>
      </c>
      <c r="B103" t="str">
        <f>LEFT(Compiled!B103,LEN(Compiled!B103)-33)</f>
        <v xml:space="preserve">Ground Source Heat Pump Upgrade from Air Source Heat Pump - With Desuperheater - Existing House 4000 square feet or greater </v>
      </c>
      <c r="C103" t="str">
        <f>Compiled!C103</f>
        <v>dhw</v>
      </c>
      <c r="D103">
        <f>Compiled!D103*VLOOKUP($A103,Weighting!$A$19:$C$27,3,FALSE)</f>
        <v>16.676587899551954</v>
      </c>
      <c r="E103">
        <f>Compiled!E103</f>
        <v>20</v>
      </c>
      <c r="F103">
        <f>Compiled!F103*VLOOKUP($A103,Weighting!$A$19:$C$27,3,FALSE)</f>
        <v>103.21346342855314</v>
      </c>
      <c r="G103">
        <f>Compiled!G103</f>
        <v>0</v>
      </c>
      <c r="H103" t="str">
        <f>Compiled!H103</f>
        <v>ResDHW</v>
      </c>
      <c r="I103">
        <f>Compiled!I103</f>
        <v>0</v>
      </c>
    </row>
    <row r="104" spans="1:9">
      <c r="A104" t="str">
        <f>Compiled!A104</f>
        <v>Heating Zone 3 - Cooling Zone 1</v>
      </c>
      <c r="B104" t="str">
        <f>LEFT(Compiled!B104,LEN(Compiled!B104)-33)</f>
        <v xml:space="preserve">Ground Source Heat Pump Upgrade from Air Source Heat Pump - With Desuperheater - Existing House 4000 square feet or greater </v>
      </c>
      <c r="C104" t="str">
        <f>Compiled!C104</f>
        <v>heat</v>
      </c>
      <c r="D104">
        <f>Compiled!D104*VLOOKUP($A104,Weighting!$A$19:$C$27,3,FALSE)</f>
        <v>263.04116296151614</v>
      </c>
      <c r="E104">
        <f>Compiled!E104</f>
        <v>20</v>
      </c>
      <c r="F104">
        <f>Compiled!F104*VLOOKUP($A104,Weighting!$A$19:$C$27,3,FALSE)</f>
        <v>6.3146666635092163</v>
      </c>
      <c r="G104">
        <f>Compiled!G104</f>
        <v>0</v>
      </c>
      <c r="H104" t="str">
        <f>Compiled!H104</f>
        <v>ResSpHtHPZ3</v>
      </c>
      <c r="I104">
        <f>Compiled!I104</f>
        <v>99.587710055462708</v>
      </c>
    </row>
    <row r="105" spans="1:9">
      <c r="A105" t="str">
        <f>Compiled!A105</f>
        <v>Heating Zone 3 - Cooling Zone 1</v>
      </c>
      <c r="B105" t="str">
        <f>LEFT(Compiled!B105,LEN(Compiled!B105)-33)</f>
        <v xml:space="preserve">Ground Source Heat Pump Upgrade from Air Source Heat Pump - With Desuperheater - Existing House 4000 square feet or greater </v>
      </c>
      <c r="C105" t="str">
        <f>Compiled!C105</f>
        <v>cool</v>
      </c>
      <c r="D105">
        <f>Compiled!D105*VLOOKUP($A105,Weighting!$A$19:$C$27,3,FALSE)</f>
        <v>3.8920194130882098</v>
      </c>
      <c r="E105">
        <f>Compiled!E105</f>
        <v>20</v>
      </c>
      <c r="F105">
        <f>Compiled!F105*VLOOKUP($A105,Weighting!$A$19:$C$27,3,FALSE)</f>
        <v>0</v>
      </c>
      <c r="G105">
        <f>Compiled!G105</f>
        <v>0</v>
      </c>
      <c r="H105" t="str">
        <f>Compiled!H105</f>
        <v>ResCACPNW</v>
      </c>
      <c r="I105">
        <f>Compiled!I105</f>
        <v>0</v>
      </c>
    </row>
    <row r="106" spans="1:9">
      <c r="A106" t="str">
        <f>Compiled!A106</f>
        <v>Heating Zone 3 - Cooling Zone 1</v>
      </c>
      <c r="B106" t="str">
        <f>LEFT(Compiled!B106,LEN(Compiled!B106)-33)</f>
        <v xml:space="preserve">Ground Source Heat Pump Upgrade from Air Source Heat Pump - With Desuperheater - Existing House 4000 square feet or greater </v>
      </c>
      <c r="C106" t="str">
        <f>Compiled!C106</f>
        <v>dhw</v>
      </c>
      <c r="D106">
        <f>Compiled!D106*VLOOKUP($A106,Weighting!$A$19:$C$27,3,FALSE)</f>
        <v>160.65611725673372</v>
      </c>
      <c r="E106">
        <f>Compiled!E106</f>
        <v>20</v>
      </c>
      <c r="F106">
        <f>Compiled!F106*VLOOKUP($A106,Weighting!$A$19:$C$27,3,FALSE)</f>
        <v>1419.8501611348313</v>
      </c>
      <c r="G106">
        <f>Compiled!G106</f>
        <v>0</v>
      </c>
      <c r="H106" t="str">
        <f>Compiled!H106</f>
        <v>ResDHW</v>
      </c>
      <c r="I106">
        <f>Compiled!I106</f>
        <v>0</v>
      </c>
    </row>
    <row r="107" spans="1:9">
      <c r="A107" t="str">
        <f>Compiled!A107</f>
        <v>Heating Zone 3 - Cooling Zone 2</v>
      </c>
      <c r="B107" t="str">
        <f>LEFT(Compiled!B107,LEN(Compiled!B107)-33)</f>
        <v xml:space="preserve">Ground Source Heat Pump Upgrade from Air Source Heat Pump - With Desuperheater - Existing House 4000 square feet or greater </v>
      </c>
      <c r="C107" t="str">
        <f>Compiled!C107</f>
        <v>heat</v>
      </c>
      <c r="D107">
        <f>Compiled!D107*VLOOKUP($A107,Weighting!$A$19:$C$27,3,FALSE)</f>
        <v>85.53108933968791</v>
      </c>
      <c r="E107">
        <f>Compiled!E107</f>
        <v>20</v>
      </c>
      <c r="F107">
        <f>Compiled!F107*VLOOKUP($A107,Weighting!$A$19:$C$27,3,FALSE)</f>
        <v>2.0532920112810413</v>
      </c>
      <c r="G107">
        <f>Compiled!G107</f>
        <v>0</v>
      </c>
      <c r="H107" t="str">
        <f>Compiled!H107</f>
        <v>ResSpHtHPZ3</v>
      </c>
      <c r="I107">
        <f>Compiled!I107</f>
        <v>99.587710055462708</v>
      </c>
    </row>
    <row r="108" spans="1:9">
      <c r="A108" t="str">
        <f>Compiled!A108</f>
        <v>Heating Zone 3 - Cooling Zone 2</v>
      </c>
      <c r="B108" t="str">
        <f>LEFT(Compiled!B108,LEN(Compiled!B108)-33)</f>
        <v xml:space="preserve">Ground Source Heat Pump Upgrade from Air Source Heat Pump - With Desuperheater - Existing House 4000 square feet or greater </v>
      </c>
      <c r="C108" t="str">
        <f>Compiled!C108</f>
        <v>cool</v>
      </c>
      <c r="D108">
        <f>Compiled!D108*VLOOKUP($A108,Weighting!$A$19:$C$27,3,FALSE)</f>
        <v>3.7483119333739352</v>
      </c>
      <c r="E108">
        <f>Compiled!E108</f>
        <v>20</v>
      </c>
      <c r="F108">
        <f>Compiled!F108*VLOOKUP($A108,Weighting!$A$19:$C$27,3,FALSE)</f>
        <v>0</v>
      </c>
      <c r="G108">
        <f>Compiled!G108</f>
        <v>0</v>
      </c>
      <c r="H108" t="str">
        <f>Compiled!H108</f>
        <v>ResCACPNW</v>
      </c>
      <c r="I108">
        <f>Compiled!I108</f>
        <v>0</v>
      </c>
    </row>
    <row r="109" spans="1:9">
      <c r="A109" t="str">
        <f>Compiled!A109</f>
        <v>Heating Zone 3 - Cooling Zone 2</v>
      </c>
      <c r="B109" t="str">
        <f>LEFT(Compiled!B109,LEN(Compiled!B109)-33)</f>
        <v xml:space="preserve">Ground Source Heat Pump Upgrade from Air Source Heat Pump - With Desuperheater - Existing House 4000 square feet or greater </v>
      </c>
      <c r="C109" t="str">
        <f>Compiled!C109</f>
        <v>dhw</v>
      </c>
      <c r="D109">
        <f>Compiled!D109*VLOOKUP($A109,Weighting!$A$19:$C$27,3,FALSE)</f>
        <v>52.239324687229413</v>
      </c>
      <c r="E109">
        <f>Compiled!E109</f>
        <v>20</v>
      </c>
      <c r="F109">
        <f>Compiled!F109*VLOOKUP($A109,Weighting!$A$19:$C$27,3,FALSE)</f>
        <v>461.6818509077259</v>
      </c>
      <c r="G109">
        <f>Compiled!G109</f>
        <v>0</v>
      </c>
      <c r="H109" t="str">
        <f>Compiled!H109</f>
        <v>ResDHW</v>
      </c>
      <c r="I109">
        <f>Compiled!I109</f>
        <v>0</v>
      </c>
    </row>
    <row r="110" spans="1:9">
      <c r="A110" t="str">
        <f>Compiled!A110</f>
        <v>Heating Zone 3 - Cooling Zone 3</v>
      </c>
      <c r="B110" t="str">
        <f>LEFT(Compiled!B110,LEN(Compiled!B110)-33)</f>
        <v xml:space="preserve">Ground Source Heat Pump Upgrade from Air Source Heat Pump - With Desuperheater - Existing House 4000 square feet or greater </v>
      </c>
      <c r="C110" t="str">
        <f>Compiled!C110</f>
        <v>heat</v>
      </c>
      <c r="D110">
        <f>Compiled!D110*VLOOKUP($A110,Weighting!$A$19:$C$27,3,FALSE)</f>
        <v>0</v>
      </c>
      <c r="E110">
        <f>Compiled!E110</f>
        <v>20</v>
      </c>
      <c r="F110">
        <f>Compiled!F110*VLOOKUP($A110,Weighting!$A$19:$C$27,3,FALSE)</f>
        <v>0</v>
      </c>
      <c r="G110">
        <f>Compiled!G110</f>
        <v>0</v>
      </c>
      <c r="H110" t="str">
        <f>Compiled!H110</f>
        <v>ResSpHtHPZ3</v>
      </c>
      <c r="I110">
        <f>Compiled!I110</f>
        <v>99.587710055462708</v>
      </c>
    </row>
    <row r="111" spans="1:9">
      <c r="A111" t="str">
        <f>Compiled!A111</f>
        <v>Heating Zone 3 - Cooling Zone 3</v>
      </c>
      <c r="B111" t="str">
        <f>LEFT(Compiled!B111,LEN(Compiled!B111)-33)</f>
        <v xml:space="preserve">Ground Source Heat Pump Upgrade from Air Source Heat Pump - With Desuperheater - Existing House 4000 square feet or greater </v>
      </c>
      <c r="C111" t="str">
        <f>Compiled!C111</f>
        <v>cool</v>
      </c>
      <c r="D111">
        <f>Compiled!D111*VLOOKUP($A111,Weighting!$A$19:$C$27,3,FALSE)</f>
        <v>0</v>
      </c>
      <c r="E111">
        <f>Compiled!E111</f>
        <v>20</v>
      </c>
      <c r="F111">
        <f>Compiled!F111*VLOOKUP($A111,Weighting!$A$19:$C$27,3,FALSE)</f>
        <v>0</v>
      </c>
      <c r="G111">
        <f>Compiled!G111</f>
        <v>0</v>
      </c>
      <c r="H111" t="str">
        <f>Compiled!H111</f>
        <v>ResCACPNW</v>
      </c>
      <c r="I111">
        <f>Compiled!I111</f>
        <v>0</v>
      </c>
    </row>
    <row r="112" spans="1:9">
      <c r="A112" t="str">
        <f>Compiled!A112</f>
        <v>Heating Zone 3 - Cooling Zone 3</v>
      </c>
      <c r="B112" t="str">
        <f>LEFT(Compiled!B112,LEN(Compiled!B112)-33)</f>
        <v xml:space="preserve">Ground Source Heat Pump Upgrade from Air Source Heat Pump - With Desuperheater - Existing House 4000 square feet or greater </v>
      </c>
      <c r="C112" t="str">
        <f>Compiled!C112</f>
        <v>dhw</v>
      </c>
      <c r="D112">
        <f>Compiled!D112*VLOOKUP($A112,Weighting!$A$19:$C$27,3,FALSE)</f>
        <v>0</v>
      </c>
      <c r="E112">
        <f>Compiled!E112</f>
        <v>20</v>
      </c>
      <c r="F112">
        <f>Compiled!F112*VLOOKUP($A112,Weighting!$A$19:$C$27,3,FALSE)</f>
        <v>0</v>
      </c>
      <c r="G112">
        <f>Compiled!G112</f>
        <v>0</v>
      </c>
      <c r="H112" t="str">
        <f>Compiled!H112</f>
        <v>ResDHW</v>
      </c>
      <c r="I112">
        <f>Compiled!I112</f>
        <v>0</v>
      </c>
    </row>
    <row r="116" spans="2:106" s="9" customFormat="1">
      <c r="B116" s="14" t="s">
        <v>3</v>
      </c>
      <c r="C116" s="15"/>
      <c r="D116" s="15"/>
      <c r="E116" s="15"/>
      <c r="F116" s="15"/>
      <c r="G116" s="15"/>
      <c r="H116" s="16"/>
      <c r="I116" s="17"/>
      <c r="J116" s="613" t="s">
        <v>4</v>
      </c>
      <c r="K116" s="614"/>
      <c r="L116" s="614"/>
      <c r="M116" s="614"/>
      <c r="N116" s="614"/>
      <c r="O116" s="615"/>
      <c r="P116" s="616" t="s">
        <v>5</v>
      </c>
      <c r="Q116" s="617"/>
      <c r="R116" s="18"/>
      <c r="S116" s="19"/>
      <c r="T116" s="19"/>
      <c r="U116" s="19"/>
      <c r="V116" s="19"/>
      <c r="W116" s="19"/>
      <c r="X116" s="19"/>
      <c r="Y116" s="20"/>
      <c r="Z116" s="21"/>
      <c r="AA116" s="19"/>
      <c r="AB116" s="19"/>
      <c r="AC116" s="19"/>
      <c r="AD116" s="19"/>
      <c r="AE116" s="19"/>
      <c r="AF116" s="22"/>
      <c r="AG116" s="22"/>
      <c r="AH116" s="22"/>
      <c r="AI116" s="22"/>
      <c r="AJ116" s="22"/>
      <c r="AK116" s="22"/>
      <c r="AL116" s="22"/>
      <c r="AM116" s="22"/>
      <c r="AN116" s="22"/>
      <c r="AO116" s="22"/>
      <c r="AP116" s="22"/>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c r="BP116" s="3"/>
      <c r="BQ116" s="3"/>
      <c r="BR116" s="3"/>
      <c r="BS116" s="3"/>
      <c r="BT116" s="3"/>
      <c r="BU116" s="3"/>
      <c r="BV116" s="3"/>
      <c r="BW116" s="3"/>
      <c r="BX116" s="3"/>
      <c r="BY116" s="3"/>
      <c r="BZ116" s="3"/>
      <c r="CA116" s="3"/>
      <c r="CB116" s="3"/>
      <c r="CC116" s="3"/>
      <c r="CD116" s="3"/>
      <c r="CE116" s="3"/>
      <c r="CF116" s="3"/>
      <c r="CG116" s="3"/>
      <c r="CH116" s="3"/>
      <c r="CI116" s="3"/>
      <c r="CJ116" s="3"/>
      <c r="CK116" s="3"/>
      <c r="CL116" s="3"/>
      <c r="CM116" s="3"/>
      <c r="CN116" s="3"/>
      <c r="CO116" s="3"/>
      <c r="CP116" s="3"/>
      <c r="CQ116" s="3"/>
      <c r="CR116" s="3"/>
      <c r="CS116" s="3"/>
      <c r="CT116" s="3"/>
      <c r="CU116" s="3"/>
      <c r="CV116" s="3"/>
      <c r="CW116" s="3"/>
      <c r="CX116" s="3"/>
      <c r="CY116" s="3"/>
      <c r="CZ116" s="3"/>
      <c r="DA116" s="3"/>
      <c r="DB116" s="3"/>
    </row>
    <row r="117" spans="2:106" s="9" customFormat="1" ht="38.25">
      <c r="B117" s="23" t="s">
        <v>6</v>
      </c>
      <c r="C117" s="23" t="s">
        <v>7</v>
      </c>
      <c r="D117" s="23" t="s">
        <v>8</v>
      </c>
      <c r="E117" s="23" t="s">
        <v>9</v>
      </c>
      <c r="F117" s="23" t="s">
        <v>10</v>
      </c>
      <c r="G117" s="23" t="s">
        <v>11</v>
      </c>
      <c r="H117" s="23" t="s">
        <v>12</v>
      </c>
      <c r="I117" s="23" t="s">
        <v>13</v>
      </c>
      <c r="J117" s="23" t="s">
        <v>14</v>
      </c>
      <c r="K117" s="23" t="s">
        <v>15</v>
      </c>
      <c r="L117" s="23" t="s">
        <v>16</v>
      </c>
      <c r="M117" s="23" t="s">
        <v>17</v>
      </c>
      <c r="N117" s="23" t="s">
        <v>18</v>
      </c>
      <c r="O117" s="23" t="s">
        <v>19</v>
      </c>
      <c r="P117" s="24" t="s">
        <v>20</v>
      </c>
      <c r="Q117" s="23" t="s">
        <v>12</v>
      </c>
      <c r="R117" s="25"/>
      <c r="S117" s="25"/>
      <c r="T117" s="25"/>
      <c r="U117" s="25"/>
      <c r="V117" s="25"/>
      <c r="W117" s="25"/>
      <c r="X117" s="25"/>
      <c r="Y117" s="25"/>
      <c r="Z117" s="25"/>
      <c r="AA117" s="25"/>
      <c r="AB117" s="25"/>
      <c r="AC117" s="25"/>
      <c r="AD117" s="25"/>
      <c r="AE117" s="25"/>
      <c r="AF117" s="22"/>
      <c r="AG117" s="22"/>
      <c r="AH117" s="22"/>
      <c r="AI117" s="22"/>
      <c r="AJ117" s="22"/>
      <c r="AK117" s="22"/>
      <c r="AL117" s="22"/>
      <c r="AM117" s="22"/>
      <c r="AN117" s="22"/>
      <c r="AO117" s="22"/>
      <c r="AP117" s="22"/>
      <c r="AQ117" s="3"/>
      <c r="AR117" s="3"/>
      <c r="AS117" s="3"/>
      <c r="AT117" s="3"/>
      <c r="AU117" s="3"/>
      <c r="AV117" s="3"/>
      <c r="AW117" s="3"/>
      <c r="AX117" s="3"/>
      <c r="AY117" s="3"/>
      <c r="AZ117" s="3"/>
      <c r="BA117" s="3"/>
      <c r="BB117" s="3"/>
      <c r="BC117" s="3"/>
      <c r="BD117" s="3"/>
      <c r="BE117" s="3"/>
      <c r="BF117" s="3"/>
      <c r="BG117" s="3"/>
      <c r="BH117" s="3"/>
      <c r="BI117" s="3"/>
      <c r="BJ117" s="3"/>
      <c r="BK117" s="3"/>
      <c r="BL117" s="3"/>
      <c r="BM117" s="3"/>
      <c r="BN117" s="3"/>
      <c r="BO117" s="3"/>
      <c r="BP117" s="3"/>
      <c r="BQ117" s="3"/>
      <c r="BR117" s="3"/>
      <c r="BS117" s="3"/>
      <c r="BT117" s="3"/>
      <c r="BU117" s="3"/>
      <c r="BV117" s="3"/>
      <c r="BW117" s="3"/>
      <c r="BX117" s="3"/>
      <c r="BY117" s="3"/>
      <c r="BZ117" s="3"/>
      <c r="CA117" s="3"/>
      <c r="CB117" s="3"/>
      <c r="CC117" s="3"/>
      <c r="CD117" s="3"/>
      <c r="CE117" s="3"/>
      <c r="CF117" s="3"/>
      <c r="CG117" s="3"/>
      <c r="CH117" s="3"/>
      <c r="CI117" s="3"/>
      <c r="CJ117" s="3"/>
      <c r="CK117" s="3"/>
      <c r="CL117" s="3"/>
      <c r="CM117" s="3"/>
      <c r="CN117" s="3"/>
      <c r="CO117" s="3"/>
      <c r="CP117" s="3"/>
      <c r="CQ117" s="3"/>
      <c r="CR117" s="3"/>
      <c r="CS117" s="3"/>
      <c r="CT117" s="3"/>
      <c r="CU117" s="3"/>
      <c r="CV117" s="3"/>
      <c r="CW117" s="3"/>
      <c r="CX117" s="3"/>
      <c r="CY117" s="3"/>
      <c r="CZ117" s="3"/>
      <c r="DA117" s="3"/>
      <c r="DB117" s="3"/>
    </row>
    <row r="118" spans="2:106">
      <c r="B118" t="s">
        <v>1006</v>
      </c>
      <c r="C118" t="str">
        <f>C5</f>
        <v>heat</v>
      </c>
      <c r="D118">
        <f>SUMIFS(D$5:D$112,$B$5:$B$112,$B118,$C$5:$C$112,$C118)</f>
        <v>569.66842729033488</v>
      </c>
      <c r="E118">
        <v>20</v>
      </c>
      <c r="F118">
        <f>SUMIFS(F$5:F$112,$B$5:$B$112,$B118,$C$5:$C$112,$C118)</f>
        <v>46.141192690137672</v>
      </c>
      <c r="G118">
        <v>0</v>
      </c>
      <c r="H118" t="s">
        <v>967</v>
      </c>
      <c r="I118">
        <v>0</v>
      </c>
    </row>
    <row r="119" spans="2:106">
      <c r="B119" t="str">
        <f>B118</f>
        <v xml:space="preserve">Ground Source Heat Pump Upgrade from Air Source Heat Pump - With Desuperheater - New House less than 4000 square feet </v>
      </c>
      <c r="C119" t="str">
        <f t="shared" ref="C119:C120" si="0">C6</f>
        <v>cool</v>
      </c>
      <c r="D119">
        <f>SUMIFS(D$5:D$112,$B$5:$B$112,$B119,$C$5:$C$112,$C119)</f>
        <v>74.529988350894186</v>
      </c>
      <c r="E119">
        <v>20</v>
      </c>
      <c r="F119">
        <f>SUMIFS(F$5:F$112,$B$5:$B$112,$B119,$C$5:$C$112,$C119)</f>
        <v>0</v>
      </c>
      <c r="G119">
        <v>0</v>
      </c>
      <c r="H119" t="s">
        <v>965</v>
      </c>
      <c r="I119">
        <v>0</v>
      </c>
    </row>
    <row r="120" spans="2:106">
      <c r="B120" t="str">
        <f>B118</f>
        <v xml:space="preserve">Ground Source Heat Pump Upgrade from Air Source Heat Pump - With Desuperheater - New House less than 4000 square feet </v>
      </c>
      <c r="C120" t="str">
        <f t="shared" si="0"/>
        <v>dhw</v>
      </c>
      <c r="D120">
        <f>SUMIFS(D$5:D$112,$B$5:$B$112,$B120,$C$5:$C$112,$C120)</f>
        <v>1522.7604340357743</v>
      </c>
      <c r="E120">
        <v>20</v>
      </c>
      <c r="F120">
        <f>SUMIFS(F$5:F$112,$B$5:$B$112,$B120,$C$5:$C$112,$C120)</f>
        <v>5522.810139946755</v>
      </c>
      <c r="G120">
        <v>0</v>
      </c>
      <c r="H120" t="s">
        <v>966</v>
      </c>
      <c r="I120">
        <v>0</v>
      </c>
    </row>
    <row r="121" spans="2:106">
      <c r="B121" t="s">
        <v>1007</v>
      </c>
      <c r="C121" t="str">
        <f t="shared" ref="C121:C129" si="1">C32</f>
        <v>heat</v>
      </c>
      <c r="D121">
        <f t="shared" ref="D121:D129" si="2">SUMIFS(D$5:D$112,$B$5:$B$112,$B121,$C$5:$C$112,$C121)</f>
        <v>1577.5789753112574</v>
      </c>
      <c r="E121">
        <v>20</v>
      </c>
      <c r="F121">
        <f t="shared" ref="F121:F129" si="3">SUMIFS(F$5:F$112,$B$5:$B$112,$B121,$C$5:$C$112,$C121)</f>
        <v>88.829797572187445</v>
      </c>
      <c r="G121">
        <v>0</v>
      </c>
      <c r="H121" t="s">
        <v>967</v>
      </c>
      <c r="I121">
        <v>0</v>
      </c>
    </row>
    <row r="122" spans="2:106">
      <c r="B122" t="str">
        <f>B121</f>
        <v xml:space="preserve">Ground Source Heat Pump Upgrade from Air Source Heat Pump - With Desuperheater - New House 4000 square feet or greater </v>
      </c>
      <c r="C122" t="str">
        <f t="shared" si="1"/>
        <v>cool</v>
      </c>
      <c r="D122">
        <f t="shared" si="2"/>
        <v>119.25836456936337</v>
      </c>
      <c r="E122">
        <v>20</v>
      </c>
      <c r="F122">
        <f t="shared" si="3"/>
        <v>0</v>
      </c>
      <c r="G122">
        <v>0</v>
      </c>
      <c r="H122" t="s">
        <v>965</v>
      </c>
      <c r="I122">
        <v>0</v>
      </c>
    </row>
    <row r="123" spans="2:106">
      <c r="B123" t="str">
        <f>B121</f>
        <v xml:space="preserve">Ground Source Heat Pump Upgrade from Air Source Heat Pump - With Desuperheater - New House 4000 square feet or greater </v>
      </c>
      <c r="C123" t="str">
        <f t="shared" si="1"/>
        <v>dhw</v>
      </c>
      <c r="D123">
        <f t="shared" si="2"/>
        <v>1851.7793502717759</v>
      </c>
      <c r="E123">
        <v>20</v>
      </c>
      <c r="F123">
        <f t="shared" si="3"/>
        <v>8127.1091959740215</v>
      </c>
      <c r="G123">
        <v>0</v>
      </c>
      <c r="H123" t="s">
        <v>966</v>
      </c>
      <c r="I123">
        <v>0</v>
      </c>
    </row>
    <row r="124" spans="2:106">
      <c r="B124" t="s">
        <v>1008</v>
      </c>
      <c r="C124" t="str">
        <f t="shared" si="1"/>
        <v>heat</v>
      </c>
      <c r="D124">
        <f t="shared" si="2"/>
        <v>681.78940700394162</v>
      </c>
      <c r="E124">
        <v>20</v>
      </c>
      <c r="F124">
        <f t="shared" si="3"/>
        <v>51.785953362720107</v>
      </c>
      <c r="G124">
        <v>0</v>
      </c>
      <c r="H124" t="s">
        <v>967</v>
      </c>
      <c r="I124">
        <v>0</v>
      </c>
    </row>
    <row r="125" spans="2:106">
      <c r="B125" t="str">
        <f>B124</f>
        <v xml:space="preserve">Ground Source Heat Pump Upgrade from Air Source Heat Pump - With Desuperheater - Existing House less than 4000 square feet </v>
      </c>
      <c r="C125" t="str">
        <f t="shared" si="1"/>
        <v>cool</v>
      </c>
      <c r="D125">
        <f t="shared" si="2"/>
        <v>78.556140210834883</v>
      </c>
      <c r="E125">
        <v>20</v>
      </c>
      <c r="F125">
        <f t="shared" si="3"/>
        <v>0</v>
      </c>
      <c r="G125">
        <v>0</v>
      </c>
      <c r="H125" t="s">
        <v>965</v>
      </c>
      <c r="I125">
        <v>0</v>
      </c>
    </row>
    <row r="126" spans="2:106">
      <c r="B126" t="str">
        <f>B124</f>
        <v xml:space="preserve">Ground Source Heat Pump Upgrade from Air Source Heat Pump - With Desuperheater - Existing House less than 4000 square feet </v>
      </c>
      <c r="C126" t="str">
        <f t="shared" si="1"/>
        <v>dhw</v>
      </c>
      <c r="D126">
        <f t="shared" si="2"/>
        <v>1611.4570347870144</v>
      </c>
      <c r="E126">
        <v>20</v>
      </c>
      <c r="F126">
        <f t="shared" si="3"/>
        <v>6011.5189259088374</v>
      </c>
      <c r="G126">
        <v>0</v>
      </c>
      <c r="H126" t="s">
        <v>966</v>
      </c>
      <c r="I126">
        <v>0</v>
      </c>
    </row>
    <row r="127" spans="2:106">
      <c r="B127" t="s">
        <v>1009</v>
      </c>
      <c r="C127" t="str">
        <f t="shared" si="1"/>
        <v>heat</v>
      </c>
      <c r="D127">
        <f t="shared" si="2"/>
        <v>1672.5531951567405</v>
      </c>
      <c r="E127">
        <v>20</v>
      </c>
      <c r="F127">
        <f t="shared" si="3"/>
        <v>92.798871937568435</v>
      </c>
      <c r="G127">
        <v>0</v>
      </c>
      <c r="H127" t="s">
        <v>967</v>
      </c>
      <c r="I127">
        <v>0</v>
      </c>
    </row>
    <row r="128" spans="2:106">
      <c r="B128" t="str">
        <f>B127</f>
        <v xml:space="preserve">Ground Source Heat Pump Upgrade from Air Source Heat Pump - With Desuperheater - Existing House 4000 square feet or greater </v>
      </c>
      <c r="C128" t="str">
        <f t="shared" si="1"/>
        <v>cool</v>
      </c>
      <c r="D128">
        <f t="shared" si="2"/>
        <v>125.28860455388956</v>
      </c>
      <c r="E128">
        <v>20</v>
      </c>
      <c r="F128">
        <f t="shared" si="3"/>
        <v>0</v>
      </c>
      <c r="G128">
        <v>0</v>
      </c>
      <c r="H128" t="s">
        <v>965</v>
      </c>
      <c r="I128">
        <v>0</v>
      </c>
    </row>
    <row r="129" spans="2:9">
      <c r="B129" t="str">
        <f>B127</f>
        <v xml:space="preserve">Ground Source Heat Pump Upgrade from Air Source Heat Pump - With Desuperheater - Existing House 4000 square feet or greater </v>
      </c>
      <c r="C129" t="str">
        <f t="shared" si="1"/>
        <v>dhw</v>
      </c>
      <c r="D129">
        <f t="shared" si="2"/>
        <v>1792.836623090225</v>
      </c>
      <c r="E129">
        <v>20</v>
      </c>
      <c r="F129">
        <f t="shared" si="3"/>
        <v>9362.6024060233904</v>
      </c>
      <c r="G129">
        <v>0</v>
      </c>
      <c r="H129" t="s">
        <v>966</v>
      </c>
      <c r="I129">
        <v>0</v>
      </c>
    </row>
  </sheetData>
  <mergeCells count="4">
    <mergeCell ref="J3:O3"/>
    <mergeCell ref="P3:Q3"/>
    <mergeCell ref="J116:O116"/>
    <mergeCell ref="P116:Q116"/>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sheetPr codeName="Sheet10"/>
  <dimension ref="A1:C27"/>
  <sheetViews>
    <sheetView workbookViewId="0">
      <selection activeCell="B15" sqref="B15"/>
    </sheetView>
  </sheetViews>
  <sheetFormatPr defaultRowHeight="12.75"/>
  <cols>
    <col min="1" max="1" width="28" bestFit="1" customWidth="1"/>
  </cols>
  <sheetData>
    <row r="1" spans="1:3">
      <c r="A1" t="s">
        <v>972</v>
      </c>
    </row>
    <row r="2" spans="1:3">
      <c r="A2" t="s">
        <v>969</v>
      </c>
      <c r="B2" t="s">
        <v>989</v>
      </c>
      <c r="C2" t="s">
        <v>990</v>
      </c>
    </row>
    <row r="3" spans="1:3" ht="15">
      <c r="A3" t="s">
        <v>208</v>
      </c>
      <c r="B3" s="271">
        <f>'[3]Pct urban by state'!$E$14+'[3]Pct urban by state'!$J$14</f>
        <v>1898213</v>
      </c>
      <c r="C3" s="271">
        <f>'[3]Pct urban by state'!$T$14</f>
        <v>461212</v>
      </c>
    </row>
    <row r="4" spans="1:3">
      <c r="A4" t="s">
        <v>970</v>
      </c>
      <c r="B4">
        <f>'[3]Pct urban by state'!$E$28+'[3]Pct urban by state'!$J$28</f>
        <v>815151</v>
      </c>
      <c r="C4">
        <f>'[3]Pct urban by state'!$T$28</f>
        <v>436401</v>
      </c>
    </row>
    <row r="5" spans="1:3">
      <c r="A5" t="s">
        <v>207</v>
      </c>
      <c r="B5">
        <f>'[3]Pct urban by state'!$E$49+'[3]Pct urban by state'!$J$49</f>
        <v>10693344</v>
      </c>
      <c r="C5">
        <f>'[3]Pct urban by state'!$T$49</f>
        <v>1072671</v>
      </c>
    </row>
    <row r="6" spans="1:3">
      <c r="A6" t="s">
        <v>971</v>
      </c>
      <c r="B6">
        <f>'[3]Pct urban by state'!$E$39+'[3]Pct urban by state'!$J$39</f>
        <v>5497775</v>
      </c>
      <c r="C6">
        <f>'[3]Pct urban by state'!$T$39</f>
        <v>726692</v>
      </c>
    </row>
    <row r="7" spans="1:3">
      <c r="A7" t="s">
        <v>973</v>
      </c>
      <c r="B7">
        <f>SUM(B3:B6)</f>
        <v>18904483</v>
      </c>
      <c r="C7">
        <f>SUM(C3:C6)</f>
        <v>2696976</v>
      </c>
    </row>
    <row r="9" spans="1:3">
      <c r="A9" t="s">
        <v>974</v>
      </c>
      <c r="B9" s="69">
        <f>B7/SUM(B7:C7)</f>
        <v>0.87514843326092007</v>
      </c>
      <c r="C9" s="69">
        <f>C7/SUM(B7:C7)</f>
        <v>0.12485156673907999</v>
      </c>
    </row>
    <row r="13" spans="1:3">
      <c r="A13" t="s">
        <v>991</v>
      </c>
      <c r="C13" t="s">
        <v>994</v>
      </c>
    </row>
    <row r="14" spans="1:3">
      <c r="A14" t="s">
        <v>992</v>
      </c>
      <c r="B14" t="s">
        <v>1361</v>
      </c>
      <c r="C14" s="69">
        <v>0.9829627167983801</v>
      </c>
    </row>
    <row r="15" spans="1:3">
      <c r="A15" t="s">
        <v>993</v>
      </c>
      <c r="B15" t="s">
        <v>1360</v>
      </c>
      <c r="C15" s="69">
        <v>1.7037283201619683E-2</v>
      </c>
    </row>
    <row r="18" spans="1:3">
      <c r="C18" s="272" t="s">
        <v>48</v>
      </c>
    </row>
    <row r="19" spans="1:3">
      <c r="A19" s="273" t="s">
        <v>995</v>
      </c>
      <c r="B19" t="s">
        <v>950</v>
      </c>
      <c r="C19" s="274">
        <v>0.53138882303610202</v>
      </c>
    </row>
    <row r="20" spans="1:3">
      <c r="A20" s="273" t="s">
        <v>996</v>
      </c>
      <c r="B20" t="s">
        <v>951</v>
      </c>
      <c r="C20" s="274">
        <v>0.1225894385795244</v>
      </c>
    </row>
    <row r="21" spans="1:3">
      <c r="A21" s="273" t="s">
        <v>997</v>
      </c>
      <c r="B21" t="s">
        <v>952</v>
      </c>
      <c r="C21" s="274">
        <v>9.6948604465428731E-2</v>
      </c>
    </row>
    <row r="22" spans="1:3">
      <c r="A22" s="273" t="s">
        <v>998</v>
      </c>
      <c r="B22" t="s">
        <v>953</v>
      </c>
      <c r="C22" s="274">
        <v>4.7896381658964593E-2</v>
      </c>
    </row>
    <row r="23" spans="1:3">
      <c r="A23" s="273" t="s">
        <v>999</v>
      </c>
      <c r="B23" t="s">
        <v>954</v>
      </c>
      <c r="C23" s="275">
        <v>0.10962424713984266</v>
      </c>
    </row>
    <row r="24" spans="1:3">
      <c r="A24" s="273" t="s">
        <v>1000</v>
      </c>
      <c r="B24" t="s">
        <v>955</v>
      </c>
      <c r="C24" s="275">
        <v>7.5264875510161556E-3</v>
      </c>
    </row>
    <row r="25" spans="1:3">
      <c r="A25" t="s">
        <v>1001</v>
      </c>
      <c r="B25" t="s">
        <v>956</v>
      </c>
      <c r="C25" s="274">
        <v>6.3408091821695989E-2</v>
      </c>
    </row>
    <row r="26" spans="1:3">
      <c r="A26" t="s">
        <v>1002</v>
      </c>
      <c r="B26" t="s">
        <v>957</v>
      </c>
      <c r="C26" s="274">
        <v>2.0617925747439272E-2</v>
      </c>
    </row>
    <row r="27" spans="1:3">
      <c r="A27" t="s">
        <v>1003</v>
      </c>
      <c r="B27" t="s">
        <v>958</v>
      </c>
      <c r="C27" s="274">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sheetPr codeName="Sheet11"/>
  <dimension ref="A1:DB112"/>
  <sheetViews>
    <sheetView workbookViewId="0">
      <selection activeCell="A5" sqref="A5"/>
    </sheetView>
  </sheetViews>
  <sheetFormatPr defaultRowHeight="12.75"/>
  <cols>
    <col min="1" max="1" width="17.28515625" customWidth="1"/>
    <col min="2" max="2" width="138.5703125" bestFit="1" customWidth="1"/>
  </cols>
  <sheetData>
    <row r="1" spans="1:106">
      <c r="B1" t="s">
        <v>975</v>
      </c>
    </row>
    <row r="3" spans="1:106" s="9" customFormat="1">
      <c r="B3" s="14" t="s">
        <v>3</v>
      </c>
      <c r="C3" s="15"/>
      <c r="D3" s="15"/>
      <c r="E3" s="15"/>
      <c r="F3" s="15"/>
      <c r="G3" s="15"/>
      <c r="H3" s="16"/>
      <c r="I3" s="17"/>
      <c r="J3" s="613" t="s">
        <v>4</v>
      </c>
      <c r="K3" s="614"/>
      <c r="L3" s="614"/>
      <c r="M3" s="614"/>
      <c r="N3" s="614"/>
      <c r="O3" s="615"/>
      <c r="P3" s="616" t="s">
        <v>5</v>
      </c>
      <c r="Q3" s="617"/>
      <c r="R3" s="18"/>
      <c r="S3" s="19"/>
      <c r="T3" s="19"/>
      <c r="U3" s="19"/>
      <c r="V3" s="19"/>
      <c r="W3" s="19"/>
      <c r="X3" s="19"/>
      <c r="Y3" s="20"/>
      <c r="Z3" s="21"/>
      <c r="AA3" s="19"/>
      <c r="AB3" s="19"/>
      <c r="AC3" s="19"/>
      <c r="AD3" s="19"/>
      <c r="AE3" s="19"/>
      <c r="AF3" s="22"/>
      <c r="AG3" s="22"/>
      <c r="AH3" s="22"/>
      <c r="AI3" s="22"/>
      <c r="AJ3" s="22"/>
      <c r="AK3" s="22"/>
      <c r="AL3" s="22"/>
      <c r="AM3" s="22"/>
      <c r="AN3" s="22"/>
      <c r="AO3" s="22"/>
      <c r="AP3" s="22"/>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row>
    <row r="4" spans="1:106" s="9" customFormat="1" ht="38.25">
      <c r="A4" s="9" t="s">
        <v>1005</v>
      </c>
      <c r="B4" s="23" t="s">
        <v>6</v>
      </c>
      <c r="C4" s="23" t="s">
        <v>7</v>
      </c>
      <c r="D4" s="23" t="s">
        <v>8</v>
      </c>
      <c r="E4" s="23" t="s">
        <v>9</v>
      </c>
      <c r="F4" s="23" t="s">
        <v>10</v>
      </c>
      <c r="G4" s="23" t="s">
        <v>11</v>
      </c>
      <c r="H4" s="23" t="s">
        <v>12</v>
      </c>
      <c r="I4" s="23" t="s">
        <v>13</v>
      </c>
      <c r="J4" s="23" t="s">
        <v>14</v>
      </c>
      <c r="K4" s="23" t="s">
        <v>15</v>
      </c>
      <c r="L4" s="23" t="s">
        <v>16</v>
      </c>
      <c r="M4" s="23" t="s">
        <v>17</v>
      </c>
      <c r="N4" s="23" t="s">
        <v>18</v>
      </c>
      <c r="O4" s="23" t="s">
        <v>19</v>
      </c>
      <c r="P4" s="24" t="s">
        <v>20</v>
      </c>
      <c r="Q4" s="23" t="s">
        <v>12</v>
      </c>
      <c r="R4" s="25"/>
      <c r="S4" s="25"/>
      <c r="T4" s="25"/>
      <c r="U4" s="25"/>
      <c r="V4" s="25"/>
      <c r="W4" s="25"/>
      <c r="X4" s="25"/>
      <c r="Y4" s="25"/>
      <c r="Z4" s="25"/>
      <c r="AA4" s="25"/>
      <c r="AB4" s="25"/>
      <c r="AC4" s="25"/>
      <c r="AD4" s="25"/>
      <c r="AE4" s="25"/>
      <c r="AF4" s="22"/>
      <c r="AG4" s="22"/>
      <c r="AH4" s="22"/>
      <c r="AI4" s="22"/>
      <c r="AJ4" s="22"/>
      <c r="AK4" s="22"/>
      <c r="AL4" s="22"/>
      <c r="AM4" s="22"/>
      <c r="AN4" s="22"/>
      <c r="AO4" s="22"/>
      <c r="AP4" s="22"/>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row>
    <row r="5" spans="1:106">
      <c r="A5" t="str">
        <f>RIGHT(B5,31)</f>
        <v>Heating Zone 1 - Cooling Zone 1</v>
      </c>
      <c r="B5" t="str">
        <f>Raw!A62</f>
        <v>Ground Source Heat Pump Upgrade from Air Source Heat Pump - With Desuperheater - New House less than 4000 square feet - Heating Zone 1 - Cooling Zone 1</v>
      </c>
      <c r="C5" t="str">
        <f>Raw!B62</f>
        <v>heat</v>
      </c>
      <c r="D5">
        <f>Raw!C62</f>
        <v>318.22593693910511</v>
      </c>
      <c r="E5">
        <f>Raw!D62</f>
        <v>20</v>
      </c>
      <c r="F5">
        <f>Raw!E62</f>
        <v>45.720399079587551</v>
      </c>
      <c r="G5">
        <f>Raw!F62</f>
        <v>0</v>
      </c>
      <c r="H5" t="str">
        <f>Raw!G62</f>
        <v>ResSpHtHPZ1</v>
      </c>
      <c r="I5">
        <f>Raw!H62</f>
        <v>45.720399079587551</v>
      </c>
    </row>
    <row r="6" spans="1:106">
      <c r="A6" t="str">
        <f t="shared" ref="A6:A69" si="0">RIGHT(B6,31)</f>
        <v>Heating Zone 1 - Cooling Zone 1</v>
      </c>
      <c r="B6" t="str">
        <f>Raw!A63</f>
        <v>Ground Source Heat Pump Upgrade from Air Source Heat Pump - With Desuperheater - New House less than 4000 square feet - Heating Zone 1 - Cooling Zone 1</v>
      </c>
      <c r="C6" t="str">
        <f>Raw!B63</f>
        <v>cool</v>
      </c>
      <c r="D6">
        <f>Raw!C63</f>
        <v>34.928832212499998</v>
      </c>
      <c r="E6">
        <f>Raw!D63</f>
        <v>20</v>
      </c>
      <c r="F6">
        <f>Raw!E63</f>
        <v>0</v>
      </c>
      <c r="G6">
        <f>Raw!F63</f>
        <v>0</v>
      </c>
      <c r="H6" t="str">
        <f>Raw!G63</f>
        <v>ResCACPNW</v>
      </c>
      <c r="I6">
        <f>Raw!H63</f>
        <v>0</v>
      </c>
    </row>
    <row r="7" spans="1:106">
      <c r="A7" t="str">
        <f t="shared" si="0"/>
        <v>Heating Zone 1 - Cooling Zone 1</v>
      </c>
      <c r="B7" t="str">
        <f>Raw!A64</f>
        <v>Ground Source Heat Pump Upgrade from Air Source Heat Pump - With Desuperheater - New House less than 4000 square feet - Heating Zone 1 - Cooling Zone 1</v>
      </c>
      <c r="C7" t="str">
        <f>Raw!B64</f>
        <v>dhw</v>
      </c>
      <c r="D7">
        <f>Raw!C64</f>
        <v>1362.5296059375</v>
      </c>
      <c r="E7">
        <f>Raw!D64</f>
        <v>20</v>
      </c>
      <c r="F7">
        <f>Raw!E64</f>
        <v>4097.9850750000005</v>
      </c>
      <c r="G7">
        <f>Raw!F64</f>
        <v>0</v>
      </c>
      <c r="H7" t="str">
        <f>Raw!G64</f>
        <v>ResDHW</v>
      </c>
      <c r="I7">
        <f>Raw!H64</f>
        <v>0</v>
      </c>
    </row>
    <row r="8" spans="1:106">
      <c r="A8" t="str">
        <f t="shared" si="0"/>
        <v>Heating Zone 1 - Cooling Zone 2</v>
      </c>
      <c r="B8" t="str">
        <f>Raw!A65</f>
        <v>Ground Source Heat Pump Upgrade from Air Source Heat Pump - With Desuperheater - New House less than 4000 square feet - Heating Zone 1 - Cooling Zone 2</v>
      </c>
      <c r="C8" t="str">
        <f>Raw!B65</f>
        <v>heat</v>
      </c>
      <c r="D8">
        <f>Raw!C65</f>
        <v>318.22593693910511</v>
      </c>
      <c r="E8">
        <f>Raw!D65</f>
        <v>20</v>
      </c>
      <c r="F8">
        <f>Raw!E65</f>
        <v>45.720399079587551</v>
      </c>
      <c r="G8">
        <f>Raw!F65</f>
        <v>0</v>
      </c>
      <c r="H8" t="str">
        <f>Raw!G65</f>
        <v>ResSpHtHPZ1</v>
      </c>
      <c r="I8">
        <f>Raw!H65</f>
        <v>45.720399079587551</v>
      </c>
    </row>
    <row r="9" spans="1:106">
      <c r="A9" t="str">
        <f t="shared" si="0"/>
        <v>Heating Zone 1 - Cooling Zone 2</v>
      </c>
      <c r="B9" t="str">
        <f>Raw!A66</f>
        <v>Ground Source Heat Pump Upgrade from Air Source Heat Pump - With Desuperheater - New House less than 4000 square feet - Heating Zone 1 - Cooling Zone 2</v>
      </c>
      <c r="C9" t="str">
        <f>Raw!B66</f>
        <v>cool</v>
      </c>
      <c r="D9">
        <f>Raw!C66</f>
        <v>109.77748595535709</v>
      </c>
      <c r="E9">
        <f>Raw!D66</f>
        <v>20</v>
      </c>
      <c r="F9">
        <f>Raw!E66</f>
        <v>0</v>
      </c>
      <c r="G9">
        <f>Raw!F66</f>
        <v>0</v>
      </c>
      <c r="H9" t="str">
        <f>Raw!G66</f>
        <v>ResCACPNW</v>
      </c>
      <c r="I9">
        <f>Raw!H66</f>
        <v>0</v>
      </c>
    </row>
    <row r="10" spans="1:106">
      <c r="A10" t="str">
        <f t="shared" si="0"/>
        <v>Heating Zone 1 - Cooling Zone 2</v>
      </c>
      <c r="B10" t="str">
        <f>Raw!A67</f>
        <v>Ground Source Heat Pump Upgrade from Air Source Heat Pump - With Desuperheater - New House less than 4000 square feet - Heating Zone 1 - Cooling Zone 2</v>
      </c>
      <c r="C10" t="str">
        <f>Raw!B67</f>
        <v>dhw</v>
      </c>
      <c r="D10">
        <f>Raw!C67</f>
        <v>1362.5296059375</v>
      </c>
      <c r="E10">
        <f>Raw!D67</f>
        <v>20</v>
      </c>
      <c r="F10">
        <f>Raw!E67</f>
        <v>4097.9850750000005</v>
      </c>
      <c r="G10">
        <f>Raw!F67</f>
        <v>0</v>
      </c>
      <c r="H10" t="str">
        <f>Raw!G67</f>
        <v>ResDHW</v>
      </c>
      <c r="I10">
        <f>Raw!H67</f>
        <v>0</v>
      </c>
    </row>
    <row r="11" spans="1:106">
      <c r="A11" t="str">
        <f t="shared" si="0"/>
        <v>Heating Zone 1 - Cooling Zone 3</v>
      </c>
      <c r="B11" t="str">
        <f>Raw!A68</f>
        <v>Ground Source Heat Pump Upgrade from Air Source Heat Pump - With Desuperheater - New House less than 4000 square feet - Heating Zone 1 - Cooling Zone 3</v>
      </c>
      <c r="C11" t="str">
        <f>Raw!B68</f>
        <v>heat</v>
      </c>
      <c r="D11">
        <f>Raw!C68</f>
        <v>318.22593693910511</v>
      </c>
      <c r="E11">
        <f>Raw!D68</f>
        <v>20</v>
      </c>
      <c r="F11">
        <f>Raw!E68</f>
        <v>45.720399079587551</v>
      </c>
      <c r="G11">
        <f>Raw!F68</f>
        <v>0</v>
      </c>
      <c r="H11" t="str">
        <f>Raw!G68</f>
        <v>ResSpHtHPZ1</v>
      </c>
      <c r="I11">
        <f>Raw!H68</f>
        <v>45.720399079587551</v>
      </c>
    </row>
    <row r="12" spans="1:106">
      <c r="A12" t="str">
        <f t="shared" si="0"/>
        <v>Heating Zone 1 - Cooling Zone 3</v>
      </c>
      <c r="B12" t="str">
        <f>Raw!A69</f>
        <v>Ground Source Heat Pump Upgrade from Air Source Heat Pump - With Desuperheater - New House less than 4000 square feet - Heating Zone 1 - Cooling Zone 3</v>
      </c>
      <c r="C12" t="str">
        <f>Raw!B69</f>
        <v>cool</v>
      </c>
      <c r="D12">
        <f>Raw!C69</f>
        <v>232.84251668392858</v>
      </c>
      <c r="E12">
        <f>Raw!D69</f>
        <v>20</v>
      </c>
      <c r="F12">
        <f>Raw!E69</f>
        <v>0</v>
      </c>
      <c r="G12">
        <f>Raw!F69</f>
        <v>0</v>
      </c>
      <c r="H12" t="str">
        <f>Raw!G69</f>
        <v>ResCACPNW</v>
      </c>
      <c r="I12">
        <f>Raw!H69</f>
        <v>0</v>
      </c>
    </row>
    <row r="13" spans="1:106">
      <c r="A13" t="str">
        <f t="shared" si="0"/>
        <v>Heating Zone 1 - Cooling Zone 3</v>
      </c>
      <c r="B13" t="str">
        <f>Raw!A70</f>
        <v>Ground Source Heat Pump Upgrade from Air Source Heat Pump - With Desuperheater - New House less than 4000 square feet - Heating Zone 1 - Cooling Zone 3</v>
      </c>
      <c r="C13" t="str">
        <f>Raw!B70</f>
        <v>dhw</v>
      </c>
      <c r="D13">
        <f>Raw!C70</f>
        <v>1362.5296059375</v>
      </c>
      <c r="E13">
        <f>Raw!D70</f>
        <v>20</v>
      </c>
      <c r="F13">
        <f>Raw!E70</f>
        <v>4097.9850750000005</v>
      </c>
      <c r="G13">
        <f>Raw!F70</f>
        <v>0</v>
      </c>
      <c r="H13" t="str">
        <f>Raw!G70</f>
        <v>ResDHW</v>
      </c>
      <c r="I13">
        <f>Raw!H70</f>
        <v>0</v>
      </c>
    </row>
    <row r="14" spans="1:106">
      <c r="A14" t="str">
        <f t="shared" si="0"/>
        <v>Heating Zone 2 - Cooling Zone 1</v>
      </c>
      <c r="B14" t="str">
        <f>Raw!A71</f>
        <v>Ground Source Heat Pump Upgrade from Air Source Heat Pump - With Desuperheater - New House less than 4000 square feet - Heating Zone 2 - Cooling Zone 1</v>
      </c>
      <c r="C14" t="str">
        <f>Raw!B71</f>
        <v>heat</v>
      </c>
      <c r="D14">
        <f>Raw!C71</f>
        <v>1114.0280433216483</v>
      </c>
      <c r="E14">
        <f>Raw!D71</f>
        <v>20</v>
      </c>
      <c r="F14">
        <f>Raw!E71</f>
        <v>46.119765184035444</v>
      </c>
      <c r="G14">
        <f>Raw!F71</f>
        <v>0</v>
      </c>
      <c r="H14" t="str">
        <f>Raw!G71</f>
        <v>ResSpHtHPZ2</v>
      </c>
      <c r="I14">
        <f>Raw!H71</f>
        <v>46.119765184035444</v>
      </c>
    </row>
    <row r="15" spans="1:106">
      <c r="A15" t="str">
        <f t="shared" si="0"/>
        <v>Heating Zone 2 - Cooling Zone 1</v>
      </c>
      <c r="B15" t="str">
        <f>Raw!A72</f>
        <v>Ground Source Heat Pump Upgrade from Air Source Heat Pump - With Desuperheater - New House less than 4000 square feet - Heating Zone 2 - Cooling Zone 1</v>
      </c>
      <c r="C15" t="str">
        <f>Raw!B72</f>
        <v>cool</v>
      </c>
      <c r="D15">
        <f>Raw!C72</f>
        <v>34.928832212499998</v>
      </c>
      <c r="E15">
        <f>Raw!D72</f>
        <v>20</v>
      </c>
      <c r="F15">
        <f>Raw!E72</f>
        <v>0</v>
      </c>
      <c r="G15">
        <f>Raw!F72</f>
        <v>0</v>
      </c>
      <c r="H15" t="str">
        <f>Raw!G72</f>
        <v>ResCACPNW</v>
      </c>
      <c r="I15">
        <f>Raw!H72</f>
        <v>0</v>
      </c>
    </row>
    <row r="16" spans="1:106">
      <c r="A16" t="str">
        <f t="shared" si="0"/>
        <v>Heating Zone 2 - Cooling Zone 1</v>
      </c>
      <c r="B16" t="str">
        <f>Raw!A73</f>
        <v>Ground Source Heat Pump Upgrade from Air Source Heat Pump - With Desuperheater - New House less than 4000 square feet - Heating Zone 2 - Cooling Zone 1</v>
      </c>
      <c r="C16" t="str">
        <f>Raw!B73</f>
        <v>dhw</v>
      </c>
      <c r="D16">
        <f>Raw!C73</f>
        <v>1907.05213155</v>
      </c>
      <c r="E16">
        <f>Raw!D73</f>
        <v>20</v>
      </c>
      <c r="F16">
        <f>Raw!E73</f>
        <v>8135.5023250000022</v>
      </c>
      <c r="G16">
        <f>Raw!F73</f>
        <v>0</v>
      </c>
      <c r="H16" t="str">
        <f>Raw!G73</f>
        <v>ResDHW</v>
      </c>
      <c r="I16">
        <f>Raw!H73</f>
        <v>0</v>
      </c>
    </row>
    <row r="17" spans="1:9">
      <c r="A17" t="str">
        <f t="shared" si="0"/>
        <v>Heating Zone 2 - Cooling Zone 2</v>
      </c>
      <c r="B17" t="str">
        <f>Raw!A74</f>
        <v>Ground Source Heat Pump Upgrade from Air Source Heat Pump - With Desuperheater - New House less than 4000 square feet - Heating Zone 2 - Cooling Zone 2</v>
      </c>
      <c r="C17" t="str">
        <f>Raw!B74</f>
        <v>heat</v>
      </c>
      <c r="D17">
        <f>Raw!C74</f>
        <v>1114.0280433216483</v>
      </c>
      <c r="E17">
        <f>Raw!D74</f>
        <v>20</v>
      </c>
      <c r="F17">
        <f>Raw!E74</f>
        <v>46.119765184035444</v>
      </c>
      <c r="G17">
        <f>Raw!F74</f>
        <v>0</v>
      </c>
      <c r="H17" t="str">
        <f>Raw!G74</f>
        <v>ResSpHtHPZ2</v>
      </c>
      <c r="I17">
        <f>Raw!H74</f>
        <v>46.119765184035444</v>
      </c>
    </row>
    <row r="18" spans="1:9">
      <c r="A18" t="str">
        <f t="shared" si="0"/>
        <v>Heating Zone 2 - Cooling Zone 2</v>
      </c>
      <c r="B18" t="str">
        <f>Raw!A75</f>
        <v>Ground Source Heat Pump Upgrade from Air Source Heat Pump - With Desuperheater - New House less than 4000 square feet - Heating Zone 2 - Cooling Zone 2</v>
      </c>
      <c r="C18" t="str">
        <f>Raw!B75</f>
        <v>cool</v>
      </c>
      <c r="D18">
        <f>Raw!C75</f>
        <v>109.77748595535709</v>
      </c>
      <c r="E18">
        <f>Raw!D75</f>
        <v>20</v>
      </c>
      <c r="F18">
        <f>Raw!E75</f>
        <v>0</v>
      </c>
      <c r="G18">
        <f>Raw!F75</f>
        <v>0</v>
      </c>
      <c r="H18" t="str">
        <f>Raw!G75</f>
        <v>ResCACPNW</v>
      </c>
      <c r="I18">
        <f>Raw!H75</f>
        <v>0</v>
      </c>
    </row>
    <row r="19" spans="1:9">
      <c r="A19" t="str">
        <f t="shared" si="0"/>
        <v>Heating Zone 2 - Cooling Zone 2</v>
      </c>
      <c r="B19" t="str">
        <f>Raw!A76</f>
        <v>Ground Source Heat Pump Upgrade from Air Source Heat Pump - With Desuperheater - New House less than 4000 square feet - Heating Zone 2 - Cooling Zone 2</v>
      </c>
      <c r="C19" t="str">
        <f>Raw!B76</f>
        <v>dhw</v>
      </c>
      <c r="D19">
        <f>Raw!C76</f>
        <v>1907.05213155</v>
      </c>
      <c r="E19">
        <f>Raw!D76</f>
        <v>20</v>
      </c>
      <c r="F19">
        <f>Raw!E76</f>
        <v>8135.5023250000022</v>
      </c>
      <c r="G19">
        <f>Raw!F76</f>
        <v>0</v>
      </c>
      <c r="H19" t="str">
        <f>Raw!G76</f>
        <v>ResDHW</v>
      </c>
      <c r="I19">
        <f>Raw!H76</f>
        <v>0</v>
      </c>
    </row>
    <row r="20" spans="1:9">
      <c r="A20" t="str">
        <f t="shared" si="0"/>
        <v>Heating Zone 2 - Cooling Zone 3</v>
      </c>
      <c r="B20" t="str">
        <f>Raw!A77</f>
        <v>Ground Source Heat Pump Upgrade from Air Source Heat Pump - With Desuperheater - New House less than 4000 square feet - Heating Zone 2 - Cooling Zone 3</v>
      </c>
      <c r="C20" t="str">
        <f>Raw!B77</f>
        <v>heat</v>
      </c>
      <c r="D20">
        <f>Raw!C77</f>
        <v>1114.0280433216483</v>
      </c>
      <c r="E20">
        <f>Raw!D77</f>
        <v>20</v>
      </c>
      <c r="F20">
        <f>Raw!E77</f>
        <v>46.119765184035444</v>
      </c>
      <c r="G20">
        <f>Raw!F77</f>
        <v>0</v>
      </c>
      <c r="H20" t="str">
        <f>Raw!G77</f>
        <v>ResSpHtHPZ2</v>
      </c>
      <c r="I20">
        <f>Raw!H77</f>
        <v>46.119765184035444</v>
      </c>
    </row>
    <row r="21" spans="1:9">
      <c r="A21" t="str">
        <f t="shared" si="0"/>
        <v>Heating Zone 2 - Cooling Zone 3</v>
      </c>
      <c r="B21" t="str">
        <f>Raw!A78</f>
        <v>Ground Source Heat Pump Upgrade from Air Source Heat Pump - With Desuperheater - New House less than 4000 square feet - Heating Zone 2 - Cooling Zone 3</v>
      </c>
      <c r="C21" t="str">
        <f>Raw!B78</f>
        <v>cool</v>
      </c>
      <c r="D21">
        <f>Raw!C78</f>
        <v>232.84251668392858</v>
      </c>
      <c r="E21">
        <f>Raw!D78</f>
        <v>20</v>
      </c>
      <c r="F21">
        <f>Raw!E78</f>
        <v>0</v>
      </c>
      <c r="G21">
        <f>Raw!F78</f>
        <v>0</v>
      </c>
      <c r="H21" t="str">
        <f>Raw!G78</f>
        <v>ResCACPNW</v>
      </c>
      <c r="I21">
        <f>Raw!H78</f>
        <v>0</v>
      </c>
    </row>
    <row r="22" spans="1:9">
      <c r="A22" t="str">
        <f t="shared" si="0"/>
        <v>Heating Zone 2 - Cooling Zone 3</v>
      </c>
      <c r="B22" t="str">
        <f>Raw!A79</f>
        <v>Ground Source Heat Pump Upgrade from Air Source Heat Pump - With Desuperheater - New House less than 4000 square feet - Heating Zone 2 - Cooling Zone 3</v>
      </c>
      <c r="C22" t="str">
        <f>Raw!B79</f>
        <v>dhw</v>
      </c>
      <c r="D22">
        <f>Raw!C79</f>
        <v>1907.05213155</v>
      </c>
      <c r="E22">
        <f>Raw!D79</f>
        <v>20</v>
      </c>
      <c r="F22">
        <f>Raw!E79</f>
        <v>8135.5023250000022</v>
      </c>
      <c r="G22">
        <f>Raw!F79</f>
        <v>0</v>
      </c>
      <c r="H22" t="str">
        <f>Raw!G79</f>
        <v>ResDHW</v>
      </c>
      <c r="I22">
        <f>Raw!H79</f>
        <v>0</v>
      </c>
    </row>
    <row r="23" spans="1:9">
      <c r="A23" t="str">
        <f t="shared" si="0"/>
        <v>Heating Zone 3 - Cooling Zone 1</v>
      </c>
      <c r="B23" t="str">
        <f>Raw!A80</f>
        <v>Ground Source Heat Pump Upgrade from Air Source Heat Pump - With Desuperheater - New House less than 4000 square feet - Heating Zone 3 - Cooling Zone 1</v>
      </c>
      <c r="C23" t="str">
        <f>Raw!B80</f>
        <v>heat</v>
      </c>
      <c r="D23">
        <f>Raw!C80</f>
        <v>1747.517137237355</v>
      </c>
      <c r="E23">
        <f>Raw!D80</f>
        <v>20</v>
      </c>
      <c r="F23">
        <f>Raw!E80</f>
        <v>49.943845541875454</v>
      </c>
      <c r="G23">
        <f>Raw!F80</f>
        <v>0</v>
      </c>
      <c r="H23" t="str">
        <f>Raw!G80</f>
        <v>ResSpHtHPZ3</v>
      </c>
      <c r="I23">
        <f>Raw!H80</f>
        <v>49.943845541875454</v>
      </c>
    </row>
    <row r="24" spans="1:9">
      <c r="A24" t="str">
        <f t="shared" si="0"/>
        <v>Heating Zone 3 - Cooling Zone 1</v>
      </c>
      <c r="B24" t="str">
        <f>Raw!A81</f>
        <v>Ground Source Heat Pump Upgrade from Air Source Heat Pump - With Desuperheater - New House less than 4000 square feet - Heating Zone 3 - Cooling Zone 1</v>
      </c>
      <c r="C24" t="str">
        <f>Raw!B81</f>
        <v>cool</v>
      </c>
      <c r="D24">
        <f>Raw!C81</f>
        <v>34.928832212499998</v>
      </c>
      <c r="E24">
        <f>Raw!D81</f>
        <v>20</v>
      </c>
      <c r="F24">
        <f>Raw!E81</f>
        <v>0</v>
      </c>
      <c r="G24">
        <f>Raw!F81</f>
        <v>0</v>
      </c>
      <c r="H24" t="str">
        <f>Raw!G81</f>
        <v>ResCACPNW</v>
      </c>
      <c r="I24">
        <f>Raw!H81</f>
        <v>0</v>
      </c>
    </row>
    <row r="25" spans="1:9">
      <c r="A25" t="str">
        <f t="shared" si="0"/>
        <v>Heating Zone 3 - Cooling Zone 1</v>
      </c>
      <c r="B25" t="str">
        <f>Raw!A82</f>
        <v>Ground Source Heat Pump Upgrade from Air Source Heat Pump - With Desuperheater - New House less than 4000 square feet - Heating Zone 3 - Cooling Zone 1</v>
      </c>
      <c r="C25" t="str">
        <f>Raw!B82</f>
        <v>dhw</v>
      </c>
      <c r="D25">
        <f>Raw!C82</f>
        <v>2199.8768644874999</v>
      </c>
      <c r="E25">
        <f>Raw!D82</f>
        <v>20</v>
      </c>
      <c r="F25">
        <f>Raw!E82</f>
        <v>13124.290349999999</v>
      </c>
      <c r="G25">
        <f>Raw!F82</f>
        <v>0</v>
      </c>
      <c r="H25" t="str">
        <f>Raw!G82</f>
        <v>ResDHW</v>
      </c>
      <c r="I25">
        <f>Raw!H82</f>
        <v>0</v>
      </c>
    </row>
    <row r="26" spans="1:9">
      <c r="A26" t="str">
        <f t="shared" si="0"/>
        <v>Heating Zone 3 - Cooling Zone 2</v>
      </c>
      <c r="B26" t="str">
        <f>Raw!A83</f>
        <v>Ground Source Heat Pump Upgrade from Air Source Heat Pump - With Desuperheater - New House less than 4000 square feet - Heating Zone 3 - Cooling Zone 2</v>
      </c>
      <c r="C26" t="str">
        <f>Raw!B83</f>
        <v>heat</v>
      </c>
      <c r="D26">
        <f>Raw!C83</f>
        <v>1747.517137237355</v>
      </c>
      <c r="E26">
        <f>Raw!D83</f>
        <v>20</v>
      </c>
      <c r="F26">
        <f>Raw!E83</f>
        <v>49.943845541875454</v>
      </c>
      <c r="G26">
        <f>Raw!F83</f>
        <v>0</v>
      </c>
      <c r="H26" t="str">
        <f>Raw!G83</f>
        <v>ResSpHtHPZ3</v>
      </c>
      <c r="I26">
        <f>Raw!H83</f>
        <v>49.943845541875454</v>
      </c>
    </row>
    <row r="27" spans="1:9">
      <c r="A27" t="str">
        <f t="shared" si="0"/>
        <v>Heating Zone 3 - Cooling Zone 2</v>
      </c>
      <c r="B27" t="str">
        <f>Raw!A84</f>
        <v>Ground Source Heat Pump Upgrade from Air Source Heat Pump - With Desuperheater - New House less than 4000 square feet - Heating Zone 3 - Cooling Zone 2</v>
      </c>
      <c r="C27" t="str">
        <f>Raw!B84</f>
        <v>cool</v>
      </c>
      <c r="D27">
        <f>Raw!C84</f>
        <v>109.77748595535709</v>
      </c>
      <c r="E27">
        <f>Raw!D84</f>
        <v>20</v>
      </c>
      <c r="F27">
        <f>Raw!E84</f>
        <v>0</v>
      </c>
      <c r="G27">
        <f>Raw!F84</f>
        <v>0</v>
      </c>
      <c r="H27" t="str">
        <f>Raw!G84</f>
        <v>ResCACPNW</v>
      </c>
      <c r="I27">
        <f>Raw!H84</f>
        <v>0</v>
      </c>
    </row>
    <row r="28" spans="1:9">
      <c r="A28" t="str">
        <f t="shared" si="0"/>
        <v>Heating Zone 3 - Cooling Zone 2</v>
      </c>
      <c r="B28" t="str">
        <f>Raw!A85</f>
        <v>Ground Source Heat Pump Upgrade from Air Source Heat Pump - With Desuperheater - New House less than 4000 square feet - Heating Zone 3 - Cooling Zone 2</v>
      </c>
      <c r="C28" t="str">
        <f>Raw!B85</f>
        <v>dhw</v>
      </c>
      <c r="D28">
        <f>Raw!C85</f>
        <v>2199.8768644874999</v>
      </c>
      <c r="E28">
        <f>Raw!D85</f>
        <v>20</v>
      </c>
      <c r="F28">
        <f>Raw!E85</f>
        <v>13124.290349999999</v>
      </c>
      <c r="G28">
        <f>Raw!F85</f>
        <v>0</v>
      </c>
      <c r="H28" t="str">
        <f>Raw!G85</f>
        <v>ResDHW</v>
      </c>
      <c r="I28">
        <f>Raw!H85</f>
        <v>0</v>
      </c>
    </row>
    <row r="29" spans="1:9">
      <c r="A29" t="str">
        <f t="shared" si="0"/>
        <v>Heating Zone 3 - Cooling Zone 3</v>
      </c>
      <c r="B29" t="str">
        <f>Raw!A86</f>
        <v>Ground Source Heat Pump Upgrade from Air Source Heat Pump - With Desuperheater - New House less than 4000 square feet - Heating Zone 3 - Cooling Zone 3</v>
      </c>
      <c r="C29" t="str">
        <f>Raw!B86</f>
        <v>heat</v>
      </c>
      <c r="D29">
        <f>Raw!C86</f>
        <v>1747.517137237355</v>
      </c>
      <c r="E29">
        <f>Raw!D86</f>
        <v>20</v>
      </c>
      <c r="F29">
        <f>Raw!E86</f>
        <v>49.943845541875454</v>
      </c>
      <c r="G29">
        <f>Raw!F86</f>
        <v>0</v>
      </c>
      <c r="H29" t="str">
        <f>Raw!G86</f>
        <v>ResSpHtHPZ3</v>
      </c>
      <c r="I29">
        <f>Raw!H86</f>
        <v>49.943845541875454</v>
      </c>
    </row>
    <row r="30" spans="1:9">
      <c r="A30" t="str">
        <f t="shared" si="0"/>
        <v>Heating Zone 3 - Cooling Zone 3</v>
      </c>
      <c r="B30" t="str">
        <f>Raw!A87</f>
        <v>Ground Source Heat Pump Upgrade from Air Source Heat Pump - With Desuperheater - New House less than 4000 square feet - Heating Zone 3 - Cooling Zone 3</v>
      </c>
      <c r="C30" t="str">
        <f>Raw!B87</f>
        <v>cool</v>
      </c>
      <c r="D30">
        <f>Raw!C87</f>
        <v>232.84251668392858</v>
      </c>
      <c r="E30">
        <f>Raw!D87</f>
        <v>20</v>
      </c>
      <c r="F30">
        <f>Raw!E87</f>
        <v>0</v>
      </c>
      <c r="G30">
        <f>Raw!F87</f>
        <v>0</v>
      </c>
      <c r="H30" t="str">
        <f>Raw!G87</f>
        <v>ResCACPNW</v>
      </c>
      <c r="I30">
        <f>Raw!H87</f>
        <v>0</v>
      </c>
    </row>
    <row r="31" spans="1:9">
      <c r="A31" t="str">
        <f t="shared" si="0"/>
        <v>Heating Zone 3 - Cooling Zone 3</v>
      </c>
      <c r="B31" t="str">
        <f>Raw!A88</f>
        <v>Ground Source Heat Pump Upgrade from Air Source Heat Pump - With Desuperheater - New House less than 4000 square feet - Heating Zone 3 - Cooling Zone 3</v>
      </c>
      <c r="C31" t="str">
        <f>Raw!B88</f>
        <v>dhw</v>
      </c>
      <c r="D31">
        <f>Raw!C88</f>
        <v>2199.8768644874999</v>
      </c>
      <c r="E31">
        <f>Raw!D88</f>
        <v>20</v>
      </c>
      <c r="F31">
        <f>Raw!E88</f>
        <v>13124.290349999999</v>
      </c>
      <c r="G31">
        <f>Raw!F88</f>
        <v>0</v>
      </c>
      <c r="H31" t="str">
        <f>Raw!G88</f>
        <v>ResDHW</v>
      </c>
      <c r="I31">
        <f>Raw!H88</f>
        <v>0</v>
      </c>
    </row>
    <row r="32" spans="1:9">
      <c r="A32" t="str">
        <f t="shared" si="0"/>
        <v>Heating Zone 1 - Cooling Zone 1</v>
      </c>
      <c r="B32" t="str">
        <f>Raw!A89</f>
        <v>Ground Source Heat Pump Upgrade from Air Source Heat Pump - With Desuperheater - New House 4000 square feet or greater - Heating Zone 1 - Cooling Zone 1</v>
      </c>
      <c r="C32" t="str">
        <f>Raw!B89</f>
        <v>heat</v>
      </c>
      <c r="D32">
        <f>Raw!C89</f>
        <v>1068.7551114280368</v>
      </c>
      <c r="E32">
        <f>Raw!D89</f>
        <v>20</v>
      </c>
      <c r="F32">
        <f>Raw!E89</f>
        <v>87.708871445872504</v>
      </c>
      <c r="G32">
        <f>Raw!F89</f>
        <v>0</v>
      </c>
      <c r="H32" t="str">
        <f>Raw!G89</f>
        <v>ResSpHtHPZ1</v>
      </c>
      <c r="I32">
        <f>Raw!H89</f>
        <v>87.708871445872504</v>
      </c>
    </row>
    <row r="33" spans="1:9">
      <c r="A33" t="str">
        <f t="shared" si="0"/>
        <v>Heating Zone 1 - Cooling Zone 1</v>
      </c>
      <c r="B33" t="str">
        <f>Raw!A90</f>
        <v>Ground Source Heat Pump Upgrade from Air Source Heat Pump - With Desuperheater - New House 4000 square feet or greater - Heating Zone 1 - Cooling Zone 1</v>
      </c>
      <c r="C33" t="str">
        <f>Raw!B90</f>
        <v>cool</v>
      </c>
      <c r="D33">
        <f>Raw!C90</f>
        <v>58.760069142857105</v>
      </c>
      <c r="E33">
        <f>Raw!D90</f>
        <v>20</v>
      </c>
      <c r="F33">
        <f>Raw!E90</f>
        <v>0</v>
      </c>
      <c r="G33">
        <f>Raw!F90</f>
        <v>0</v>
      </c>
      <c r="H33" t="str">
        <f>Raw!G90</f>
        <v>ResCACPNW</v>
      </c>
      <c r="I33">
        <f>Raw!H90</f>
        <v>0</v>
      </c>
    </row>
    <row r="34" spans="1:9">
      <c r="A34" t="str">
        <f t="shared" si="0"/>
        <v>Heating Zone 1 - Cooling Zone 1</v>
      </c>
      <c r="B34" t="str">
        <f>Raw!A91</f>
        <v>Ground Source Heat Pump Upgrade from Air Source Heat Pump - With Desuperheater - New House 4000 square feet or greater - Heating Zone 1 - Cooling Zone 1</v>
      </c>
      <c r="C34" t="str">
        <f>Raw!B91</f>
        <v>dhw</v>
      </c>
      <c r="D34">
        <f>Raw!C91</f>
        <v>1671.5937367499998</v>
      </c>
      <c r="E34">
        <f>Raw!D91</f>
        <v>20</v>
      </c>
      <c r="F34">
        <f>Raw!E91</f>
        <v>6009.2415000000001</v>
      </c>
      <c r="G34">
        <f>Raw!F91</f>
        <v>0</v>
      </c>
      <c r="H34" t="str">
        <f>Raw!G91</f>
        <v>ResDHW</v>
      </c>
      <c r="I34">
        <f>Raw!H91</f>
        <v>0</v>
      </c>
    </row>
    <row r="35" spans="1:9">
      <c r="A35" t="str">
        <f t="shared" si="0"/>
        <v>Heating Zone 1 - Cooling Zone 2</v>
      </c>
      <c r="B35" t="str">
        <f>Raw!A92</f>
        <v>Ground Source Heat Pump Upgrade from Air Source Heat Pump - With Desuperheater - New House 4000 square feet or greater - Heating Zone 1 - Cooling Zone 2</v>
      </c>
      <c r="C35" t="str">
        <f>Raw!B92</f>
        <v>heat</v>
      </c>
      <c r="D35">
        <f>Raw!C92</f>
        <v>1068.7551114280368</v>
      </c>
      <c r="E35">
        <f>Raw!D92</f>
        <v>20</v>
      </c>
      <c r="F35">
        <f>Raw!E92</f>
        <v>87.708871445872504</v>
      </c>
      <c r="G35">
        <f>Raw!F92</f>
        <v>0</v>
      </c>
      <c r="H35" t="str">
        <f>Raw!G92</f>
        <v>ResSpHtHPZ1</v>
      </c>
      <c r="I35">
        <f>Raw!H92</f>
        <v>87.708871445872504</v>
      </c>
    </row>
    <row r="36" spans="1:9">
      <c r="A36" t="str">
        <f t="shared" si="0"/>
        <v>Heating Zone 1 - Cooling Zone 2</v>
      </c>
      <c r="B36" t="str">
        <f>Raw!A93</f>
        <v>Ground Source Heat Pump Upgrade from Air Source Heat Pump - With Desuperheater - New House 4000 square feet or greater - Heating Zone 1 - Cooling Zone 2</v>
      </c>
      <c r="C36" t="str">
        <f>Raw!B93</f>
        <v>cool</v>
      </c>
      <c r="D36">
        <f>Raw!C93</f>
        <v>172.8650609642857</v>
      </c>
      <c r="E36">
        <f>Raw!D93</f>
        <v>20</v>
      </c>
      <c r="F36">
        <f>Raw!E93</f>
        <v>0</v>
      </c>
      <c r="G36">
        <f>Raw!F93</f>
        <v>0</v>
      </c>
      <c r="H36" t="str">
        <f>Raw!G93</f>
        <v>ResCACPNW</v>
      </c>
      <c r="I36">
        <f>Raw!H93</f>
        <v>0</v>
      </c>
    </row>
    <row r="37" spans="1:9">
      <c r="A37" t="str">
        <f t="shared" si="0"/>
        <v>Heating Zone 1 - Cooling Zone 2</v>
      </c>
      <c r="B37" t="str">
        <f>Raw!A94</f>
        <v>Ground Source Heat Pump Upgrade from Air Source Heat Pump - With Desuperheater - New House 4000 square feet or greater - Heating Zone 1 - Cooling Zone 2</v>
      </c>
      <c r="C37" t="str">
        <f>Raw!B94</f>
        <v>dhw</v>
      </c>
      <c r="D37">
        <f>Raw!C94</f>
        <v>1671.5937367499998</v>
      </c>
      <c r="E37">
        <f>Raw!D94</f>
        <v>20</v>
      </c>
      <c r="F37">
        <f>Raw!E94</f>
        <v>6009.2415000000001</v>
      </c>
      <c r="G37">
        <f>Raw!F94</f>
        <v>0</v>
      </c>
      <c r="H37" t="str">
        <f>Raw!G94</f>
        <v>ResDHW</v>
      </c>
      <c r="I37">
        <f>Raw!H94</f>
        <v>0</v>
      </c>
    </row>
    <row r="38" spans="1:9">
      <c r="A38" t="str">
        <f t="shared" si="0"/>
        <v>Heating Zone 1 - Cooling Zone 3</v>
      </c>
      <c r="B38" t="str">
        <f>Raw!A95</f>
        <v>Ground Source Heat Pump Upgrade from Air Source Heat Pump - With Desuperheater - New House 4000 square feet or greater - Heating Zone 1 - Cooling Zone 3</v>
      </c>
      <c r="C38" t="str">
        <f>Raw!B95</f>
        <v>heat</v>
      </c>
      <c r="D38">
        <f>Raw!C95</f>
        <v>1068.7551114280368</v>
      </c>
      <c r="E38">
        <f>Raw!D95</f>
        <v>20</v>
      </c>
      <c r="F38">
        <f>Raw!E95</f>
        <v>87.708871445872504</v>
      </c>
      <c r="G38">
        <f>Raw!F95</f>
        <v>0</v>
      </c>
      <c r="H38" t="str">
        <f>Raw!G95</f>
        <v>ResSpHtHPZ1</v>
      </c>
      <c r="I38">
        <f>Raw!H95</f>
        <v>87.708871445872504</v>
      </c>
    </row>
    <row r="39" spans="1:9">
      <c r="A39" t="str">
        <f t="shared" si="0"/>
        <v>Heating Zone 1 - Cooling Zone 3</v>
      </c>
      <c r="B39" t="str">
        <f>Raw!A96</f>
        <v>Ground Source Heat Pump Upgrade from Air Source Heat Pump - With Desuperheater - New House 4000 square feet or greater - Heating Zone 1 - Cooling Zone 3</v>
      </c>
      <c r="C39" t="str">
        <f>Raw!B96</f>
        <v>cool</v>
      </c>
      <c r="D39">
        <f>Raw!C96</f>
        <v>361.69300614285726</v>
      </c>
      <c r="E39">
        <f>Raw!D96</f>
        <v>20</v>
      </c>
      <c r="F39">
        <f>Raw!E96</f>
        <v>0</v>
      </c>
      <c r="G39">
        <f>Raw!F96</f>
        <v>0</v>
      </c>
      <c r="H39" t="str">
        <f>Raw!G96</f>
        <v>ResCACPNW</v>
      </c>
      <c r="I39">
        <f>Raw!H96</f>
        <v>0</v>
      </c>
    </row>
    <row r="40" spans="1:9">
      <c r="A40" t="str">
        <f t="shared" si="0"/>
        <v>Heating Zone 1 - Cooling Zone 3</v>
      </c>
      <c r="B40" t="str">
        <f>Raw!A97</f>
        <v>Ground Source Heat Pump Upgrade from Air Source Heat Pump - With Desuperheater - New House 4000 square feet or greater - Heating Zone 1 - Cooling Zone 3</v>
      </c>
      <c r="C40" t="str">
        <f>Raw!B97</f>
        <v>dhw</v>
      </c>
      <c r="D40">
        <f>Raw!C97</f>
        <v>1671.5937367499998</v>
      </c>
      <c r="E40">
        <f>Raw!D97</f>
        <v>20</v>
      </c>
      <c r="F40">
        <f>Raw!E97</f>
        <v>6009.2415000000001</v>
      </c>
      <c r="G40">
        <f>Raw!F97</f>
        <v>0</v>
      </c>
      <c r="H40" t="str">
        <f>Raw!G97</f>
        <v>ResDHW</v>
      </c>
      <c r="I40">
        <f>Raw!H97</f>
        <v>0</v>
      </c>
    </row>
    <row r="41" spans="1:9">
      <c r="A41" t="str">
        <f t="shared" si="0"/>
        <v>Heating Zone 2 - Cooling Zone 1</v>
      </c>
      <c r="B41" t="str">
        <f>Raw!A98</f>
        <v>Ground Source Heat Pump Upgrade from Air Source Heat Pump - With Desuperheater - New House 4000 square feet or greater - Heating Zone 2 - Cooling Zone 1</v>
      </c>
      <c r="C41" t="str">
        <f>Raw!B98</f>
        <v>heat</v>
      </c>
      <c r="D41">
        <f>Raw!C98</f>
        <v>2715.5016994170273</v>
      </c>
      <c r="E41">
        <f>Raw!D98</f>
        <v>20</v>
      </c>
      <c r="F41">
        <f>Raw!E98</f>
        <v>88.975856977337997</v>
      </c>
      <c r="G41">
        <f>Raw!F98</f>
        <v>0</v>
      </c>
      <c r="H41" t="str">
        <f>Raw!G98</f>
        <v>ResSpHtHPZ2</v>
      </c>
      <c r="I41">
        <f>Raw!H98</f>
        <v>88.975856977337997</v>
      </c>
    </row>
    <row r="42" spans="1:9">
      <c r="A42" t="str">
        <f t="shared" si="0"/>
        <v>Heating Zone 2 - Cooling Zone 1</v>
      </c>
      <c r="B42" t="str">
        <f>Raw!A99</f>
        <v>Ground Source Heat Pump Upgrade from Air Source Heat Pump - With Desuperheater - New House 4000 square feet or greater - Heating Zone 2 - Cooling Zone 1</v>
      </c>
      <c r="C42" t="str">
        <f>Raw!B99</f>
        <v>cool</v>
      </c>
      <c r="D42">
        <f>Raw!C99</f>
        <v>58.760069142857105</v>
      </c>
      <c r="E42">
        <f>Raw!D99</f>
        <v>20</v>
      </c>
      <c r="F42">
        <f>Raw!E99</f>
        <v>0</v>
      </c>
      <c r="G42">
        <f>Raw!F99</f>
        <v>0</v>
      </c>
      <c r="H42" t="str">
        <f>Raw!G99</f>
        <v>ResCACPNW</v>
      </c>
      <c r="I42">
        <f>Raw!H99</f>
        <v>0</v>
      </c>
    </row>
    <row r="43" spans="1:9">
      <c r="A43" t="str">
        <f t="shared" si="0"/>
        <v>Heating Zone 2 - Cooling Zone 1</v>
      </c>
      <c r="B43" t="str">
        <f>Raw!A100</f>
        <v>Ground Source Heat Pump Upgrade from Air Source Heat Pump - With Desuperheater - New House 4000 square feet or greater - Heating Zone 2 - Cooling Zone 1</v>
      </c>
      <c r="C43" t="str">
        <f>Raw!B100</f>
        <v>dhw</v>
      </c>
      <c r="D43">
        <f>Raw!C100</f>
        <v>2289.4819507500001</v>
      </c>
      <c r="E43">
        <f>Raw!D100</f>
        <v>20</v>
      </c>
      <c r="F43">
        <f>Raw!E100</f>
        <v>11942.103499999997</v>
      </c>
      <c r="G43">
        <f>Raw!F100</f>
        <v>0</v>
      </c>
      <c r="H43" t="str">
        <f>Raw!G100</f>
        <v>ResDHW</v>
      </c>
      <c r="I43">
        <f>Raw!H100</f>
        <v>0</v>
      </c>
    </row>
    <row r="44" spans="1:9">
      <c r="A44" t="str">
        <f t="shared" si="0"/>
        <v>Heating Zone 2 - Cooling Zone 2</v>
      </c>
      <c r="B44" t="str">
        <f>Raw!A101</f>
        <v>Ground Source Heat Pump Upgrade from Air Source Heat Pump - With Desuperheater - New House 4000 square feet or greater - Heating Zone 2 - Cooling Zone 2</v>
      </c>
      <c r="C44" t="str">
        <f>Raw!B101</f>
        <v>heat</v>
      </c>
      <c r="D44">
        <f>Raw!C101</f>
        <v>2715.5016994170273</v>
      </c>
      <c r="E44">
        <f>Raw!D101</f>
        <v>20</v>
      </c>
      <c r="F44">
        <f>Raw!E101</f>
        <v>88.975856977337997</v>
      </c>
      <c r="G44">
        <f>Raw!F101</f>
        <v>0</v>
      </c>
      <c r="H44" t="str">
        <f>Raw!G101</f>
        <v>ResSpHtHPZ2</v>
      </c>
      <c r="I44">
        <f>Raw!H101</f>
        <v>88.975856977337997</v>
      </c>
    </row>
    <row r="45" spans="1:9">
      <c r="A45" t="str">
        <f t="shared" si="0"/>
        <v>Heating Zone 2 - Cooling Zone 2</v>
      </c>
      <c r="B45" t="str">
        <f>Raw!A102</f>
        <v>Ground Source Heat Pump Upgrade from Air Source Heat Pump - With Desuperheater - New House 4000 square feet or greater - Heating Zone 2 - Cooling Zone 2</v>
      </c>
      <c r="C45" t="str">
        <f>Raw!B102</f>
        <v>cool</v>
      </c>
      <c r="D45">
        <f>Raw!C102</f>
        <v>172.8650609642857</v>
      </c>
      <c r="E45">
        <f>Raw!D102</f>
        <v>20</v>
      </c>
      <c r="F45">
        <f>Raw!E102</f>
        <v>0</v>
      </c>
      <c r="G45">
        <f>Raw!F102</f>
        <v>0</v>
      </c>
      <c r="H45" t="str">
        <f>Raw!G102</f>
        <v>ResCACPNW</v>
      </c>
      <c r="I45">
        <f>Raw!H102</f>
        <v>0</v>
      </c>
    </row>
    <row r="46" spans="1:9">
      <c r="A46" t="str">
        <f t="shared" si="0"/>
        <v>Heating Zone 2 - Cooling Zone 2</v>
      </c>
      <c r="B46" t="str">
        <f>Raw!A103</f>
        <v>Ground Source Heat Pump Upgrade from Air Source Heat Pump - With Desuperheater - New House 4000 square feet or greater - Heating Zone 2 - Cooling Zone 2</v>
      </c>
      <c r="C46" t="str">
        <f>Raw!B103</f>
        <v>dhw</v>
      </c>
      <c r="D46">
        <f>Raw!C103</f>
        <v>2289.4819507500001</v>
      </c>
      <c r="E46">
        <f>Raw!D103</f>
        <v>20</v>
      </c>
      <c r="F46">
        <f>Raw!E103</f>
        <v>11942.103499999997</v>
      </c>
      <c r="G46">
        <f>Raw!F103</f>
        <v>0</v>
      </c>
      <c r="H46" t="str">
        <f>Raw!G103</f>
        <v>ResDHW</v>
      </c>
      <c r="I46">
        <f>Raw!H103</f>
        <v>0</v>
      </c>
    </row>
    <row r="47" spans="1:9">
      <c r="A47" t="str">
        <f t="shared" si="0"/>
        <v>Heating Zone 2 - Cooling Zone 3</v>
      </c>
      <c r="B47" t="str">
        <f>Raw!A104</f>
        <v>Ground Source Heat Pump Upgrade from Air Source Heat Pump - With Desuperheater - New House 4000 square feet or greater - Heating Zone 2 - Cooling Zone 3</v>
      </c>
      <c r="C47" t="str">
        <f>Raw!B104</f>
        <v>heat</v>
      </c>
      <c r="D47">
        <f>Raw!C104</f>
        <v>2715.5016994170273</v>
      </c>
      <c r="E47">
        <f>Raw!D104</f>
        <v>20</v>
      </c>
      <c r="F47">
        <f>Raw!E104</f>
        <v>88.975856977337997</v>
      </c>
      <c r="G47">
        <f>Raw!F104</f>
        <v>0</v>
      </c>
      <c r="H47" t="str">
        <f>Raw!G104</f>
        <v>ResSpHtHPZ2</v>
      </c>
      <c r="I47">
        <f>Raw!H104</f>
        <v>88.975856977337997</v>
      </c>
    </row>
    <row r="48" spans="1:9">
      <c r="A48" t="str">
        <f t="shared" si="0"/>
        <v>Heating Zone 2 - Cooling Zone 3</v>
      </c>
      <c r="B48" t="str">
        <f>Raw!A105</f>
        <v>Ground Source Heat Pump Upgrade from Air Source Heat Pump - With Desuperheater - New House 4000 square feet or greater - Heating Zone 2 - Cooling Zone 3</v>
      </c>
      <c r="C48" t="str">
        <f>Raw!B105</f>
        <v>cool</v>
      </c>
      <c r="D48">
        <f>Raw!C105</f>
        <v>361.69300614285726</v>
      </c>
      <c r="E48">
        <f>Raw!D105</f>
        <v>20</v>
      </c>
      <c r="F48">
        <f>Raw!E105</f>
        <v>0</v>
      </c>
      <c r="G48">
        <f>Raw!F105</f>
        <v>0</v>
      </c>
      <c r="H48" t="str">
        <f>Raw!G105</f>
        <v>ResCACPNW</v>
      </c>
      <c r="I48">
        <f>Raw!H105</f>
        <v>0</v>
      </c>
    </row>
    <row r="49" spans="1:9">
      <c r="A49" t="str">
        <f t="shared" si="0"/>
        <v>Heating Zone 2 - Cooling Zone 3</v>
      </c>
      <c r="B49" t="str">
        <f>Raw!A106</f>
        <v>Ground Source Heat Pump Upgrade from Air Source Heat Pump - With Desuperheater - New House 4000 square feet or greater - Heating Zone 2 - Cooling Zone 3</v>
      </c>
      <c r="C49" t="str">
        <f>Raw!B106</f>
        <v>dhw</v>
      </c>
      <c r="D49">
        <f>Raw!C106</f>
        <v>2289.4819507500001</v>
      </c>
      <c r="E49">
        <f>Raw!D106</f>
        <v>20</v>
      </c>
      <c r="F49">
        <f>Raw!E106</f>
        <v>11942.103499999997</v>
      </c>
      <c r="G49">
        <f>Raw!F106</f>
        <v>0</v>
      </c>
      <c r="H49" t="str">
        <f>Raw!G106</f>
        <v>ResDHW</v>
      </c>
      <c r="I49">
        <f>Raw!H106</f>
        <v>0</v>
      </c>
    </row>
    <row r="50" spans="1:9">
      <c r="A50" t="str">
        <f t="shared" si="0"/>
        <v>Heating Zone 3 - Cooling Zone 1</v>
      </c>
      <c r="B50" t="str">
        <f>Raw!A107</f>
        <v>Ground Source Heat Pump Upgrade from Air Source Heat Pump - With Desuperheater - New House 4000 square feet or greater - Heating Zone 3 - Cooling Zone 1</v>
      </c>
      <c r="C50" t="str">
        <f>Raw!B107</f>
        <v>heat</v>
      </c>
      <c r="D50">
        <f>Raw!C107</f>
        <v>3889.7038489031274</v>
      </c>
      <c r="E50">
        <f>Raw!D107</f>
        <v>20</v>
      </c>
      <c r="F50">
        <f>Raw!E107</f>
        <v>98.56043676179624</v>
      </c>
      <c r="G50">
        <f>Raw!F107</f>
        <v>0</v>
      </c>
      <c r="H50" t="str">
        <f>Raw!G107</f>
        <v>ResSpHtHPZ3</v>
      </c>
      <c r="I50">
        <f>Raw!H107</f>
        <v>98.56043676179624</v>
      </c>
    </row>
    <row r="51" spans="1:9">
      <c r="A51" t="str">
        <f t="shared" si="0"/>
        <v>Heating Zone 3 - Cooling Zone 1</v>
      </c>
      <c r="B51" t="str">
        <f>Raw!A108</f>
        <v>Ground Source Heat Pump Upgrade from Air Source Heat Pump - With Desuperheater - New House 4000 square feet or greater - Heating Zone 3 - Cooling Zone 1</v>
      </c>
      <c r="C51" t="str">
        <f>Raw!B108</f>
        <v>cool</v>
      </c>
      <c r="D51">
        <f>Raw!C108</f>
        <v>58.760069142857105</v>
      </c>
      <c r="E51">
        <f>Raw!D108</f>
        <v>20</v>
      </c>
      <c r="F51">
        <f>Raw!E108</f>
        <v>0</v>
      </c>
      <c r="G51">
        <f>Raw!F108</f>
        <v>0</v>
      </c>
      <c r="H51" t="str">
        <f>Raw!G108</f>
        <v>ResCACPNW</v>
      </c>
      <c r="I51">
        <f>Raw!H108</f>
        <v>0</v>
      </c>
    </row>
    <row r="52" spans="1:9">
      <c r="A52" t="str">
        <f t="shared" si="0"/>
        <v>Heating Zone 3 - Cooling Zone 1</v>
      </c>
      <c r="B52" t="str">
        <f>Raw!A109</f>
        <v>Ground Source Heat Pump Upgrade from Air Source Heat Pump - With Desuperheater - New House 4000 square feet or greater - Heating Zone 3 - Cooling Zone 1</v>
      </c>
      <c r="C52" t="str">
        <f>Raw!B109</f>
        <v>dhw</v>
      </c>
      <c r="D52">
        <f>Raw!C109</f>
        <v>2602.316718</v>
      </c>
      <c r="E52">
        <f>Raw!D109</f>
        <v>20</v>
      </c>
      <c r="F52">
        <f>Raw!E109</f>
        <v>19560.591</v>
      </c>
      <c r="G52">
        <f>Raw!F109</f>
        <v>0</v>
      </c>
      <c r="H52" t="str">
        <f>Raw!G109</f>
        <v>ResDHW</v>
      </c>
      <c r="I52">
        <f>Raw!H109</f>
        <v>0</v>
      </c>
    </row>
    <row r="53" spans="1:9">
      <c r="A53" t="str">
        <f t="shared" si="0"/>
        <v>Heating Zone 3 - Cooling Zone 2</v>
      </c>
      <c r="B53" t="str">
        <f>Raw!A110</f>
        <v>Ground Source Heat Pump Upgrade from Air Source Heat Pump - With Desuperheater - New House 4000 square feet or greater - Heating Zone 3 - Cooling Zone 2</v>
      </c>
      <c r="C53" t="str">
        <f>Raw!B110</f>
        <v>heat</v>
      </c>
      <c r="D53">
        <f>Raw!C110</f>
        <v>3889.7038489031274</v>
      </c>
      <c r="E53">
        <f>Raw!D110</f>
        <v>20</v>
      </c>
      <c r="F53">
        <f>Raw!E110</f>
        <v>98.56043676179624</v>
      </c>
      <c r="G53">
        <f>Raw!F110</f>
        <v>0</v>
      </c>
      <c r="H53" t="str">
        <f>Raw!G110</f>
        <v>ResSpHtHPZ3</v>
      </c>
      <c r="I53">
        <f>Raw!H110</f>
        <v>98.56043676179624</v>
      </c>
    </row>
    <row r="54" spans="1:9">
      <c r="A54" t="str">
        <f t="shared" si="0"/>
        <v>Heating Zone 3 - Cooling Zone 2</v>
      </c>
      <c r="B54" t="str">
        <f>Raw!A111</f>
        <v>Ground Source Heat Pump Upgrade from Air Source Heat Pump - With Desuperheater - New House 4000 square feet or greater - Heating Zone 3 - Cooling Zone 2</v>
      </c>
      <c r="C54" t="str">
        <f>Raw!B111</f>
        <v>cool</v>
      </c>
      <c r="D54">
        <f>Raw!C111</f>
        <v>172.8650609642857</v>
      </c>
      <c r="E54">
        <f>Raw!D111</f>
        <v>20</v>
      </c>
      <c r="F54">
        <f>Raw!E111</f>
        <v>0</v>
      </c>
      <c r="G54">
        <f>Raw!F111</f>
        <v>0</v>
      </c>
      <c r="H54" t="str">
        <f>Raw!G111</f>
        <v>ResCACPNW</v>
      </c>
      <c r="I54">
        <f>Raw!H111</f>
        <v>0</v>
      </c>
    </row>
    <row r="55" spans="1:9">
      <c r="A55" t="str">
        <f t="shared" si="0"/>
        <v>Heating Zone 3 - Cooling Zone 2</v>
      </c>
      <c r="B55" t="str">
        <f>Raw!A112</f>
        <v>Ground Source Heat Pump Upgrade from Air Source Heat Pump - With Desuperheater - New House 4000 square feet or greater - Heating Zone 3 - Cooling Zone 2</v>
      </c>
      <c r="C55" t="str">
        <f>Raw!B112</f>
        <v>dhw</v>
      </c>
      <c r="D55">
        <f>Raw!C112</f>
        <v>2602.316718</v>
      </c>
      <c r="E55">
        <f>Raw!D112</f>
        <v>20</v>
      </c>
      <c r="F55">
        <f>Raw!E112</f>
        <v>19560.591</v>
      </c>
      <c r="G55">
        <f>Raw!F112</f>
        <v>0</v>
      </c>
      <c r="H55" t="str">
        <f>Raw!G112</f>
        <v>ResDHW</v>
      </c>
      <c r="I55">
        <f>Raw!H112</f>
        <v>0</v>
      </c>
    </row>
    <row r="56" spans="1:9">
      <c r="A56" t="str">
        <f t="shared" si="0"/>
        <v>Heating Zone 3 - Cooling Zone 3</v>
      </c>
      <c r="B56" t="str">
        <f>Raw!A113</f>
        <v>Ground Source Heat Pump Upgrade from Air Source Heat Pump - With Desuperheater - New House 4000 square feet or greater - Heating Zone 3 - Cooling Zone 3</v>
      </c>
      <c r="C56" t="str">
        <f>Raw!B113</f>
        <v>heat</v>
      </c>
      <c r="D56">
        <f>Raw!C113</f>
        <v>3889.7038489031274</v>
      </c>
      <c r="E56">
        <f>Raw!D113</f>
        <v>20</v>
      </c>
      <c r="F56">
        <f>Raw!E113</f>
        <v>98.56043676179624</v>
      </c>
      <c r="G56">
        <f>Raw!F113</f>
        <v>0</v>
      </c>
      <c r="H56" t="str">
        <f>Raw!G113</f>
        <v>ResSpHtHPZ3</v>
      </c>
      <c r="I56">
        <f>Raw!H113</f>
        <v>98.56043676179624</v>
      </c>
    </row>
    <row r="57" spans="1:9">
      <c r="A57" t="str">
        <f t="shared" si="0"/>
        <v>Heating Zone 3 - Cooling Zone 3</v>
      </c>
      <c r="B57" t="str">
        <f>Raw!A114</f>
        <v>Ground Source Heat Pump Upgrade from Air Source Heat Pump - With Desuperheater - New House 4000 square feet or greater - Heating Zone 3 - Cooling Zone 3</v>
      </c>
      <c r="C57" t="str">
        <f>Raw!B114</f>
        <v>cool</v>
      </c>
      <c r="D57">
        <f>Raw!C114</f>
        <v>361.69300614285726</v>
      </c>
      <c r="E57">
        <f>Raw!D114</f>
        <v>20</v>
      </c>
      <c r="F57">
        <f>Raw!E114</f>
        <v>0</v>
      </c>
      <c r="G57">
        <f>Raw!F114</f>
        <v>0</v>
      </c>
      <c r="H57" t="str">
        <f>Raw!G114</f>
        <v>ResCACPNW</v>
      </c>
      <c r="I57">
        <f>Raw!H114</f>
        <v>0</v>
      </c>
    </row>
    <row r="58" spans="1:9">
      <c r="A58" t="str">
        <f t="shared" si="0"/>
        <v>Heating Zone 3 - Cooling Zone 3</v>
      </c>
      <c r="B58" t="str">
        <f>Raw!A115</f>
        <v>Ground Source Heat Pump Upgrade from Air Source Heat Pump - With Desuperheater - New House 4000 square feet or greater - Heating Zone 3 - Cooling Zone 3</v>
      </c>
      <c r="C58" t="str">
        <f>Raw!B115</f>
        <v>dhw</v>
      </c>
      <c r="D58">
        <f>Raw!C115</f>
        <v>2602.316718</v>
      </c>
      <c r="E58">
        <f>Raw!D115</f>
        <v>20</v>
      </c>
      <c r="F58">
        <f>Raw!E115</f>
        <v>19560.591</v>
      </c>
      <c r="G58">
        <f>Raw!F115</f>
        <v>0</v>
      </c>
      <c r="H58" t="str">
        <f>Raw!G115</f>
        <v>ResDHW</v>
      </c>
      <c r="I58">
        <f>Raw!H115</f>
        <v>0</v>
      </c>
    </row>
    <row r="59" spans="1:9">
      <c r="A59" t="str">
        <f t="shared" si="0"/>
        <v>Heating Zone 1 - Cooling Zone 1</v>
      </c>
      <c r="B59" t="str">
        <f>Raw!A170</f>
        <v>Ground Source Heat Pump Upgrade from Air Source Heat Pump - With Desuperheater - Existing House less than 4000 square feet - Heating Zone 1 - Cooling Zone 1</v>
      </c>
      <c r="C59" t="str">
        <f>Raw!B170</f>
        <v>heat</v>
      </c>
      <c r="D59">
        <f>Raw!C170</f>
        <v>394.4376510275186</v>
      </c>
      <c r="E59">
        <f>Raw!D170</f>
        <v>20</v>
      </c>
      <c r="F59">
        <f>Raw!E170</f>
        <v>51.618289010737456</v>
      </c>
      <c r="G59">
        <f>Raw!F170</f>
        <v>0</v>
      </c>
      <c r="H59" t="str">
        <f>Raw!G170</f>
        <v>ResSpHtHPZ1</v>
      </c>
      <c r="I59">
        <f>Raw!H170</f>
        <v>51.618289010737456</v>
      </c>
    </row>
    <row r="60" spans="1:9">
      <c r="A60" t="str">
        <f t="shared" si="0"/>
        <v>Heating Zone 1 - Cooling Zone 1</v>
      </c>
      <c r="B60" t="str">
        <f>Raw!A171</f>
        <v>Ground Source Heat Pump Upgrade from Air Source Heat Pump - With Desuperheater - Existing House less than 4000 square feet - Heating Zone 1 - Cooling Zone 1</v>
      </c>
      <c r="C60" t="str">
        <f>Raw!B171</f>
        <v>cool</v>
      </c>
      <c r="D60">
        <f>Raw!C171</f>
        <v>36.436239544642852</v>
      </c>
      <c r="E60">
        <f>Raw!D171</f>
        <v>20</v>
      </c>
      <c r="F60">
        <f>Raw!E171</f>
        <v>0</v>
      </c>
      <c r="G60">
        <f>Raw!F171</f>
        <v>0</v>
      </c>
      <c r="H60" t="str">
        <f>Raw!G171</f>
        <v>ResCACPNW</v>
      </c>
      <c r="I60">
        <f>Raw!H171</f>
        <v>0</v>
      </c>
    </row>
    <row r="61" spans="1:9">
      <c r="A61" t="str">
        <f t="shared" si="0"/>
        <v>Heating Zone 1 - Cooling Zone 1</v>
      </c>
      <c r="B61" t="str">
        <f>Raw!A172</f>
        <v>Ground Source Heat Pump Upgrade from Air Source Heat Pump - With Desuperheater - Existing House less than 4000 square feet - Heating Zone 1 - Cooling Zone 1</v>
      </c>
      <c r="C61" t="str">
        <f>Raw!B172</f>
        <v>dhw</v>
      </c>
      <c r="D61">
        <f>Raw!C172</f>
        <v>1445.0770831499999</v>
      </c>
      <c r="E61">
        <f>Raw!D172</f>
        <v>20</v>
      </c>
      <c r="F61">
        <f>Raw!E172</f>
        <v>4434.0202749999999</v>
      </c>
      <c r="G61">
        <f>Raw!F172</f>
        <v>0</v>
      </c>
      <c r="H61" t="str">
        <f>Raw!G172</f>
        <v>ResDHW</v>
      </c>
      <c r="I61">
        <f>Raw!H172</f>
        <v>0</v>
      </c>
    </row>
    <row r="62" spans="1:9">
      <c r="A62" t="str">
        <f t="shared" si="0"/>
        <v>Heating Zone 1 - Cooling Zone 2</v>
      </c>
      <c r="B62" t="str">
        <f>Raw!A173</f>
        <v>Ground Source Heat Pump Upgrade from Air Source Heat Pump - With Desuperheater - Existing House less than 4000 square feet - Heating Zone 1 - Cooling Zone 2</v>
      </c>
      <c r="C62" t="str">
        <f>Raw!B173</f>
        <v>heat</v>
      </c>
      <c r="D62">
        <f>Raw!C173</f>
        <v>394.4376510275186</v>
      </c>
      <c r="E62">
        <f>Raw!D173</f>
        <v>20</v>
      </c>
      <c r="F62">
        <f>Raw!E173</f>
        <v>51.618289010737456</v>
      </c>
      <c r="G62">
        <f>Raw!F173</f>
        <v>0</v>
      </c>
      <c r="H62" t="str">
        <f>Raw!G173</f>
        <v>ResSpHtHPZ1</v>
      </c>
      <c r="I62">
        <f>Raw!H173</f>
        <v>51.618289010737456</v>
      </c>
    </row>
    <row r="63" spans="1:9">
      <c r="A63" t="str">
        <f t="shared" si="0"/>
        <v>Heating Zone 1 - Cooling Zone 2</v>
      </c>
      <c r="B63" t="str">
        <f>Raw!A174</f>
        <v>Ground Source Heat Pump Upgrade from Air Source Heat Pump - With Desuperheater - Existing House less than 4000 square feet - Heating Zone 1 - Cooling Zone 2</v>
      </c>
      <c r="C63" t="str">
        <f>Raw!B174</f>
        <v>cool</v>
      </c>
      <c r="D63">
        <f>Raw!C174</f>
        <v>115.70859858571436</v>
      </c>
      <c r="E63">
        <f>Raw!D174</f>
        <v>20</v>
      </c>
      <c r="F63">
        <f>Raw!E174</f>
        <v>0</v>
      </c>
      <c r="G63">
        <f>Raw!F174</f>
        <v>0</v>
      </c>
      <c r="H63" t="str">
        <f>Raw!G174</f>
        <v>ResCACPNW</v>
      </c>
      <c r="I63">
        <f>Raw!H174</f>
        <v>0</v>
      </c>
    </row>
    <row r="64" spans="1:9">
      <c r="A64" t="str">
        <f t="shared" si="0"/>
        <v>Heating Zone 1 - Cooling Zone 2</v>
      </c>
      <c r="B64" t="str">
        <f>Raw!A175</f>
        <v>Ground Source Heat Pump Upgrade from Air Source Heat Pump - With Desuperheater - Existing House less than 4000 square feet - Heating Zone 1 - Cooling Zone 2</v>
      </c>
      <c r="C64" t="str">
        <f>Raw!B175</f>
        <v>dhw</v>
      </c>
      <c r="D64">
        <f>Raw!C175</f>
        <v>1445.0770831499999</v>
      </c>
      <c r="E64">
        <f>Raw!D175</f>
        <v>20</v>
      </c>
      <c r="F64">
        <f>Raw!E175</f>
        <v>4434.0202749999999</v>
      </c>
      <c r="G64">
        <f>Raw!F175</f>
        <v>0</v>
      </c>
      <c r="H64" t="str">
        <f>Raw!G175</f>
        <v>ResDHW</v>
      </c>
      <c r="I64">
        <f>Raw!H175</f>
        <v>0</v>
      </c>
    </row>
    <row r="65" spans="1:9">
      <c r="A65" t="str">
        <f t="shared" si="0"/>
        <v>Heating Zone 1 - Cooling Zone 3</v>
      </c>
      <c r="B65" t="str">
        <f>Raw!A176</f>
        <v>Ground Source Heat Pump Upgrade from Air Source Heat Pump - With Desuperheater - Existing House less than 4000 square feet - Heating Zone 1 - Cooling Zone 3</v>
      </c>
      <c r="C65" t="str">
        <f>Raw!B176</f>
        <v>heat</v>
      </c>
      <c r="D65">
        <f>Raw!C176</f>
        <v>394.4376510275186</v>
      </c>
      <c r="E65">
        <f>Raw!D176</f>
        <v>20</v>
      </c>
      <c r="F65">
        <f>Raw!E176</f>
        <v>51.618289010737456</v>
      </c>
      <c r="G65">
        <f>Raw!F176</f>
        <v>0</v>
      </c>
      <c r="H65" t="str">
        <f>Raw!G176</f>
        <v>ResSpHtHPZ1</v>
      </c>
      <c r="I65">
        <f>Raw!H176</f>
        <v>51.618289010737456</v>
      </c>
    </row>
    <row r="66" spans="1:9">
      <c r="A66" t="str">
        <f t="shared" si="0"/>
        <v>Heating Zone 1 - Cooling Zone 3</v>
      </c>
      <c r="B66" t="str">
        <f>Raw!A177</f>
        <v>Ground Source Heat Pump Upgrade from Air Source Heat Pump - With Desuperheater - Existing House less than 4000 square feet - Heating Zone 1 - Cooling Zone 3</v>
      </c>
      <c r="C66" t="str">
        <f>Raw!B177</f>
        <v>cool</v>
      </c>
      <c r="D66">
        <f>Raw!C177</f>
        <v>247.75304203749999</v>
      </c>
      <c r="E66">
        <f>Raw!D177</f>
        <v>20</v>
      </c>
      <c r="F66">
        <f>Raw!E177</f>
        <v>0</v>
      </c>
      <c r="G66">
        <f>Raw!F177</f>
        <v>0</v>
      </c>
      <c r="H66" t="str">
        <f>Raw!G177</f>
        <v>ResCACPNW</v>
      </c>
      <c r="I66">
        <f>Raw!H177</f>
        <v>0</v>
      </c>
    </row>
    <row r="67" spans="1:9">
      <c r="A67" t="str">
        <f t="shared" si="0"/>
        <v>Heating Zone 1 - Cooling Zone 3</v>
      </c>
      <c r="B67" t="str">
        <f>Raw!A178</f>
        <v>Ground Source Heat Pump Upgrade from Air Source Heat Pump - With Desuperheater - Existing House less than 4000 square feet - Heating Zone 1 - Cooling Zone 3</v>
      </c>
      <c r="C67" t="str">
        <f>Raw!B178</f>
        <v>dhw</v>
      </c>
      <c r="D67">
        <f>Raw!C178</f>
        <v>1445.0770831499999</v>
      </c>
      <c r="E67">
        <f>Raw!D178</f>
        <v>20</v>
      </c>
      <c r="F67">
        <f>Raw!E178</f>
        <v>4434.0202749999999</v>
      </c>
      <c r="G67">
        <f>Raw!F178</f>
        <v>0</v>
      </c>
      <c r="H67" t="str">
        <f>Raw!G178</f>
        <v>ResDHW</v>
      </c>
      <c r="I67">
        <f>Raw!H178</f>
        <v>0</v>
      </c>
    </row>
    <row r="68" spans="1:9">
      <c r="A68" t="str">
        <f t="shared" si="0"/>
        <v>Heating Zone 2 - Cooling Zone 1</v>
      </c>
      <c r="B68" t="str">
        <f>Raw!A179</f>
        <v>Ground Source Heat Pump Upgrade from Air Source Heat Pump - With Desuperheater - Existing House less than 4000 square feet - Heating Zone 2 - Cooling Zone 1</v>
      </c>
      <c r="C68" t="str">
        <f>Raw!B179</f>
        <v>heat</v>
      </c>
      <c r="D68">
        <f>Raw!C179</f>
        <v>1305.8284622633546</v>
      </c>
      <c r="E68">
        <f>Raw!D179</f>
        <v>20</v>
      </c>
      <c r="F68">
        <f>Raw!E179</f>
        <v>50.975261282513401</v>
      </c>
      <c r="G68">
        <f>Raw!F179</f>
        <v>0</v>
      </c>
      <c r="H68" t="str">
        <f>Raw!G179</f>
        <v>ResSpHtHPZ2</v>
      </c>
      <c r="I68">
        <f>Raw!H179</f>
        <v>50.975261282513401</v>
      </c>
    </row>
    <row r="69" spans="1:9">
      <c r="A69" t="str">
        <f t="shared" si="0"/>
        <v>Heating Zone 2 - Cooling Zone 1</v>
      </c>
      <c r="B69" t="str">
        <f>Raw!A180</f>
        <v>Ground Source Heat Pump Upgrade from Air Source Heat Pump - With Desuperheater - Existing House less than 4000 square feet - Heating Zone 2 - Cooling Zone 1</v>
      </c>
      <c r="C69" t="str">
        <f>Raw!B180</f>
        <v>cool</v>
      </c>
      <c r="D69">
        <f>Raw!C180</f>
        <v>36.436239544642852</v>
      </c>
      <c r="E69">
        <f>Raw!D180</f>
        <v>20</v>
      </c>
      <c r="F69">
        <f>Raw!E180</f>
        <v>0</v>
      </c>
      <c r="G69">
        <f>Raw!F180</f>
        <v>0</v>
      </c>
      <c r="H69" t="str">
        <f>Raw!G180</f>
        <v>ResCACPNW</v>
      </c>
      <c r="I69">
        <f>Raw!H180</f>
        <v>0</v>
      </c>
    </row>
    <row r="70" spans="1:9">
      <c r="A70" t="str">
        <f t="shared" ref="A70:A112" si="1">RIGHT(B70,31)</f>
        <v>Heating Zone 2 - Cooling Zone 1</v>
      </c>
      <c r="B70" t="str">
        <f>Raw!A181</f>
        <v>Ground Source Heat Pump Upgrade from Air Source Heat Pump - With Desuperheater - Existing House less than 4000 square feet - Heating Zone 2 - Cooling Zone 1</v>
      </c>
      <c r="C70" t="str">
        <f>Raw!B181</f>
        <v>dhw</v>
      </c>
      <c r="D70">
        <f>Raw!C181</f>
        <v>2008.5243826125002</v>
      </c>
      <c r="E70">
        <f>Raw!D181</f>
        <v>20</v>
      </c>
      <c r="F70">
        <f>Raw!E181</f>
        <v>8878.381625</v>
      </c>
      <c r="G70">
        <f>Raw!F181</f>
        <v>0</v>
      </c>
      <c r="H70" t="str">
        <f>Raw!G181</f>
        <v>ResDHW</v>
      </c>
      <c r="I70">
        <f>Raw!H181</f>
        <v>0</v>
      </c>
    </row>
    <row r="71" spans="1:9">
      <c r="A71" t="str">
        <f t="shared" si="1"/>
        <v>Heating Zone 2 - Cooling Zone 2</v>
      </c>
      <c r="B71" t="str">
        <f>Raw!A182</f>
        <v>Ground Source Heat Pump Upgrade from Air Source Heat Pump - With Desuperheater - Existing House less than 4000 square feet - Heating Zone 2 - Cooling Zone 2</v>
      </c>
      <c r="C71" t="str">
        <f>Raw!B182</f>
        <v>heat</v>
      </c>
      <c r="D71">
        <f>Raw!C182</f>
        <v>1305.8284622633546</v>
      </c>
      <c r="E71">
        <f>Raw!D182</f>
        <v>20</v>
      </c>
      <c r="F71">
        <f>Raw!E182</f>
        <v>50.975261282513401</v>
      </c>
      <c r="G71">
        <f>Raw!F182</f>
        <v>0</v>
      </c>
      <c r="H71" t="str">
        <f>Raw!G182</f>
        <v>ResSpHtHPZ2</v>
      </c>
      <c r="I71">
        <f>Raw!H182</f>
        <v>50.975261282513401</v>
      </c>
    </row>
    <row r="72" spans="1:9">
      <c r="A72" t="str">
        <f t="shared" si="1"/>
        <v>Heating Zone 2 - Cooling Zone 2</v>
      </c>
      <c r="B72" t="str">
        <f>Raw!A183</f>
        <v>Ground Source Heat Pump Upgrade from Air Source Heat Pump - With Desuperheater - Existing House less than 4000 square feet - Heating Zone 2 - Cooling Zone 2</v>
      </c>
      <c r="C72" t="str">
        <f>Raw!B183</f>
        <v>cool</v>
      </c>
      <c r="D72">
        <f>Raw!C183</f>
        <v>115.70859858571436</v>
      </c>
      <c r="E72">
        <f>Raw!D183</f>
        <v>20</v>
      </c>
      <c r="F72">
        <f>Raw!E183</f>
        <v>0</v>
      </c>
      <c r="G72">
        <f>Raw!F183</f>
        <v>0</v>
      </c>
      <c r="H72" t="str">
        <f>Raw!G183</f>
        <v>ResCACPNW</v>
      </c>
      <c r="I72">
        <f>Raw!H183</f>
        <v>0</v>
      </c>
    </row>
    <row r="73" spans="1:9">
      <c r="A73" t="str">
        <f t="shared" si="1"/>
        <v>Heating Zone 2 - Cooling Zone 2</v>
      </c>
      <c r="B73" t="str">
        <f>Raw!A184</f>
        <v>Ground Source Heat Pump Upgrade from Air Source Heat Pump - With Desuperheater - Existing House less than 4000 square feet - Heating Zone 2 - Cooling Zone 2</v>
      </c>
      <c r="C73" t="str">
        <f>Raw!B184</f>
        <v>dhw</v>
      </c>
      <c r="D73">
        <f>Raw!C184</f>
        <v>2008.5243826125002</v>
      </c>
      <c r="E73">
        <f>Raw!D184</f>
        <v>20</v>
      </c>
      <c r="F73">
        <f>Raw!E184</f>
        <v>8878.381625</v>
      </c>
      <c r="G73">
        <f>Raw!F184</f>
        <v>0</v>
      </c>
      <c r="H73" t="str">
        <f>Raw!G184</f>
        <v>ResDHW</v>
      </c>
      <c r="I73">
        <f>Raw!H184</f>
        <v>0</v>
      </c>
    </row>
    <row r="74" spans="1:9">
      <c r="A74" t="str">
        <f t="shared" si="1"/>
        <v>Heating Zone 2 - Cooling Zone 3</v>
      </c>
      <c r="B74" t="str">
        <f>Raw!A185</f>
        <v>Ground Source Heat Pump Upgrade from Air Source Heat Pump - With Desuperheater - Existing House less than 4000 square feet - Heating Zone 2 - Cooling Zone 3</v>
      </c>
      <c r="C74" t="str">
        <f>Raw!B185</f>
        <v>heat</v>
      </c>
      <c r="D74">
        <f>Raw!C185</f>
        <v>1305.8284622633546</v>
      </c>
      <c r="E74">
        <f>Raw!D185</f>
        <v>20</v>
      </c>
      <c r="F74">
        <f>Raw!E185</f>
        <v>50.975261282513401</v>
      </c>
      <c r="G74">
        <f>Raw!F185</f>
        <v>0</v>
      </c>
      <c r="H74" t="str">
        <f>Raw!G185</f>
        <v>ResSpHtHPZ2</v>
      </c>
      <c r="I74">
        <f>Raw!H185</f>
        <v>50.975261282513401</v>
      </c>
    </row>
    <row r="75" spans="1:9">
      <c r="A75" t="str">
        <f t="shared" si="1"/>
        <v>Heating Zone 2 - Cooling Zone 3</v>
      </c>
      <c r="B75" t="str">
        <f>Raw!A186</f>
        <v>Ground Source Heat Pump Upgrade from Air Source Heat Pump - With Desuperheater - Existing House less than 4000 square feet - Heating Zone 2 - Cooling Zone 3</v>
      </c>
      <c r="C75" t="str">
        <f>Raw!B186</f>
        <v>cool</v>
      </c>
      <c r="D75">
        <f>Raw!C186</f>
        <v>247.75304203749999</v>
      </c>
      <c r="E75">
        <f>Raw!D186</f>
        <v>20</v>
      </c>
      <c r="F75">
        <f>Raw!E186</f>
        <v>0</v>
      </c>
      <c r="G75">
        <f>Raw!F186</f>
        <v>0</v>
      </c>
      <c r="H75" t="str">
        <f>Raw!G186</f>
        <v>ResCACPNW</v>
      </c>
      <c r="I75">
        <f>Raw!H186</f>
        <v>0</v>
      </c>
    </row>
    <row r="76" spans="1:9">
      <c r="A76" t="str">
        <f t="shared" si="1"/>
        <v>Heating Zone 2 - Cooling Zone 3</v>
      </c>
      <c r="B76" t="str">
        <f>Raw!A187</f>
        <v>Ground Source Heat Pump Upgrade from Air Source Heat Pump - With Desuperheater - Existing House less than 4000 square feet - Heating Zone 2 - Cooling Zone 3</v>
      </c>
      <c r="C76" t="str">
        <f>Raw!B187</f>
        <v>dhw</v>
      </c>
      <c r="D76">
        <f>Raw!C187</f>
        <v>2008.5243826125002</v>
      </c>
      <c r="E76">
        <f>Raw!D187</f>
        <v>20</v>
      </c>
      <c r="F76">
        <f>Raw!E187</f>
        <v>8878.381625</v>
      </c>
      <c r="G76">
        <f>Raw!F187</f>
        <v>0</v>
      </c>
      <c r="H76" t="str">
        <f>Raw!G187</f>
        <v>ResDHW</v>
      </c>
      <c r="I76">
        <f>Raw!H187</f>
        <v>0</v>
      </c>
    </row>
    <row r="77" spans="1:9">
      <c r="A77" t="str">
        <f t="shared" si="1"/>
        <v>Heating Zone 3 - Cooling Zone 1</v>
      </c>
      <c r="B77" t="str">
        <f>Raw!A188</f>
        <v>Ground Source Heat Pump Upgrade from Air Source Heat Pump - With Desuperheater - Existing House less than 4000 square feet - Heating Zone 3 - Cooling Zone 1</v>
      </c>
      <c r="C77" t="str">
        <f>Raw!B188</f>
        <v>heat</v>
      </c>
      <c r="D77">
        <f>Raw!C188</f>
        <v>2024.043988154627</v>
      </c>
      <c r="E77">
        <f>Raw!D188</f>
        <v>20</v>
      </c>
      <c r="F77">
        <f>Raw!E188</f>
        <v>54.876734813348762</v>
      </c>
      <c r="G77">
        <f>Raw!F188</f>
        <v>0</v>
      </c>
      <c r="H77" t="str">
        <f>Raw!G188</f>
        <v>ResSpHtHPZ3</v>
      </c>
      <c r="I77">
        <f>Raw!H188</f>
        <v>54.876734813348762</v>
      </c>
    </row>
    <row r="78" spans="1:9">
      <c r="A78" t="str">
        <f t="shared" si="1"/>
        <v>Heating Zone 3 - Cooling Zone 1</v>
      </c>
      <c r="B78" t="str">
        <f>Raw!A189</f>
        <v>Ground Source Heat Pump Upgrade from Air Source Heat Pump - With Desuperheater - Existing House less than 4000 square feet - Heating Zone 3 - Cooling Zone 1</v>
      </c>
      <c r="C78" t="str">
        <f>Raw!B189</f>
        <v>cool</v>
      </c>
      <c r="D78">
        <f>Raw!C189</f>
        <v>36.436239544642852</v>
      </c>
      <c r="E78">
        <f>Raw!D189</f>
        <v>20</v>
      </c>
      <c r="F78">
        <f>Raw!E189</f>
        <v>0</v>
      </c>
      <c r="G78">
        <f>Raw!F189</f>
        <v>0</v>
      </c>
      <c r="H78" t="str">
        <f>Raw!G189</f>
        <v>ResCACPNW</v>
      </c>
      <c r="I78">
        <f>Raw!H189</f>
        <v>0</v>
      </c>
    </row>
    <row r="79" spans="1:9">
      <c r="A79" t="str">
        <f t="shared" si="1"/>
        <v>Heating Zone 3 - Cooling Zone 1</v>
      </c>
      <c r="B79" t="str">
        <f>Raw!A190</f>
        <v>Ground Source Heat Pump Upgrade from Air Source Heat Pump - With Desuperheater - Existing House less than 4000 square feet - Heating Zone 3 - Cooling Zone 1</v>
      </c>
      <c r="C79" t="str">
        <f>Raw!B190</f>
        <v>dhw</v>
      </c>
      <c r="D79">
        <f>Raw!C190</f>
        <v>2318.4327623624999</v>
      </c>
      <c r="E79">
        <f>Raw!D190</f>
        <v>20</v>
      </c>
      <c r="F79">
        <f>Raw!E190</f>
        <v>14478.166725000003</v>
      </c>
      <c r="G79">
        <f>Raw!F190</f>
        <v>0</v>
      </c>
      <c r="H79" t="str">
        <f>Raw!G190</f>
        <v>ResDHW</v>
      </c>
      <c r="I79">
        <f>Raw!H190</f>
        <v>0</v>
      </c>
    </row>
    <row r="80" spans="1:9">
      <c r="A80" t="str">
        <f t="shared" si="1"/>
        <v>Heating Zone 3 - Cooling Zone 2</v>
      </c>
      <c r="B80" t="str">
        <f>Raw!A191</f>
        <v>Ground Source Heat Pump Upgrade from Air Source Heat Pump - With Desuperheater - Existing House less than 4000 square feet - Heating Zone 3 - Cooling Zone 2</v>
      </c>
      <c r="C80" t="str">
        <f>Raw!B191</f>
        <v>heat</v>
      </c>
      <c r="D80">
        <f>Raw!C191</f>
        <v>2024.043988154627</v>
      </c>
      <c r="E80">
        <f>Raw!D191</f>
        <v>20</v>
      </c>
      <c r="F80">
        <f>Raw!E191</f>
        <v>54.876734813348762</v>
      </c>
      <c r="G80">
        <f>Raw!F191</f>
        <v>0</v>
      </c>
      <c r="H80" t="str">
        <f>Raw!G191</f>
        <v>ResSpHtHPZ3</v>
      </c>
      <c r="I80">
        <f>Raw!H191</f>
        <v>54.876734813348762</v>
      </c>
    </row>
    <row r="81" spans="1:9">
      <c r="A81" t="str">
        <f t="shared" si="1"/>
        <v>Heating Zone 3 - Cooling Zone 2</v>
      </c>
      <c r="B81" t="str">
        <f>Raw!A192</f>
        <v>Ground Source Heat Pump Upgrade from Air Source Heat Pump - With Desuperheater - Existing House less than 4000 square feet - Heating Zone 3 - Cooling Zone 2</v>
      </c>
      <c r="C81" t="str">
        <f>Raw!B192</f>
        <v>cool</v>
      </c>
      <c r="D81">
        <f>Raw!C192</f>
        <v>115.70859858571436</v>
      </c>
      <c r="E81">
        <f>Raw!D192</f>
        <v>20</v>
      </c>
      <c r="F81">
        <f>Raw!E192</f>
        <v>0</v>
      </c>
      <c r="G81">
        <f>Raw!F192</f>
        <v>0</v>
      </c>
      <c r="H81" t="str">
        <f>Raw!G192</f>
        <v>ResCACPNW</v>
      </c>
      <c r="I81">
        <f>Raw!H192</f>
        <v>0</v>
      </c>
    </row>
    <row r="82" spans="1:9">
      <c r="A82" t="str">
        <f t="shared" si="1"/>
        <v>Heating Zone 3 - Cooling Zone 2</v>
      </c>
      <c r="B82" t="str">
        <f>Raw!A193</f>
        <v>Ground Source Heat Pump Upgrade from Air Source Heat Pump - With Desuperheater - Existing House less than 4000 square feet - Heating Zone 3 - Cooling Zone 2</v>
      </c>
      <c r="C82" t="str">
        <f>Raw!B193</f>
        <v>dhw</v>
      </c>
      <c r="D82">
        <f>Raw!C193</f>
        <v>2318.4327623624999</v>
      </c>
      <c r="E82">
        <f>Raw!D193</f>
        <v>20</v>
      </c>
      <c r="F82">
        <f>Raw!E193</f>
        <v>14478.166725000003</v>
      </c>
      <c r="G82">
        <f>Raw!F193</f>
        <v>0</v>
      </c>
      <c r="H82" t="str">
        <f>Raw!G193</f>
        <v>ResDHW</v>
      </c>
      <c r="I82">
        <f>Raw!H193</f>
        <v>0</v>
      </c>
    </row>
    <row r="83" spans="1:9">
      <c r="A83" t="str">
        <f t="shared" si="1"/>
        <v>Heating Zone 3 - Cooling Zone 3</v>
      </c>
      <c r="B83" t="str">
        <f>Raw!A194</f>
        <v>Ground Source Heat Pump Upgrade from Air Source Heat Pump - With Desuperheater - Existing House less than 4000 square feet - Heating Zone 3 - Cooling Zone 3</v>
      </c>
      <c r="C83" t="str">
        <f>Raw!B194</f>
        <v>heat</v>
      </c>
      <c r="D83">
        <f>Raw!C194</f>
        <v>2024.043988154627</v>
      </c>
      <c r="E83">
        <f>Raw!D194</f>
        <v>20</v>
      </c>
      <c r="F83">
        <f>Raw!E194</f>
        <v>54.876734813348762</v>
      </c>
      <c r="G83">
        <f>Raw!F194</f>
        <v>0</v>
      </c>
      <c r="H83" t="str">
        <f>Raw!G194</f>
        <v>ResSpHtHPZ3</v>
      </c>
      <c r="I83">
        <f>Raw!H194</f>
        <v>54.876734813348762</v>
      </c>
    </row>
    <row r="84" spans="1:9">
      <c r="A84" t="str">
        <f t="shared" si="1"/>
        <v>Heating Zone 3 - Cooling Zone 3</v>
      </c>
      <c r="B84" t="str">
        <f>Raw!A195</f>
        <v>Ground Source Heat Pump Upgrade from Air Source Heat Pump - With Desuperheater - Existing House less than 4000 square feet - Heating Zone 3 - Cooling Zone 3</v>
      </c>
      <c r="C84" t="str">
        <f>Raw!B195</f>
        <v>cool</v>
      </c>
      <c r="D84">
        <f>Raw!C195</f>
        <v>247.75304203749999</v>
      </c>
      <c r="E84">
        <f>Raw!D195</f>
        <v>20</v>
      </c>
      <c r="F84">
        <f>Raw!E195</f>
        <v>0</v>
      </c>
      <c r="G84">
        <f>Raw!F195</f>
        <v>0</v>
      </c>
      <c r="H84" t="str">
        <f>Raw!G195</f>
        <v>ResCACPNW</v>
      </c>
      <c r="I84">
        <f>Raw!H195</f>
        <v>0</v>
      </c>
    </row>
    <row r="85" spans="1:9">
      <c r="A85" t="str">
        <f t="shared" si="1"/>
        <v>Heating Zone 3 - Cooling Zone 3</v>
      </c>
      <c r="B85" t="str">
        <f>Raw!A196</f>
        <v>Ground Source Heat Pump Upgrade from Air Source Heat Pump - With Desuperheater - Existing House less than 4000 square feet - Heating Zone 3 - Cooling Zone 3</v>
      </c>
      <c r="C85" t="str">
        <f>Raw!B196</f>
        <v>dhw</v>
      </c>
      <c r="D85">
        <f>Raw!C196</f>
        <v>2318.4327623624999</v>
      </c>
      <c r="E85">
        <f>Raw!D196</f>
        <v>20</v>
      </c>
      <c r="F85">
        <f>Raw!E196</f>
        <v>14478.166725000003</v>
      </c>
      <c r="G85">
        <f>Raw!F196</f>
        <v>0</v>
      </c>
      <c r="H85" t="str">
        <f>Raw!G196</f>
        <v>ResDHW</v>
      </c>
      <c r="I85">
        <f>Raw!H196</f>
        <v>0</v>
      </c>
    </row>
    <row r="86" spans="1:9">
      <c r="A86" t="str">
        <f t="shared" si="1"/>
        <v>Heating Zone 1 - Cooling Zone 1</v>
      </c>
      <c r="B86" t="str">
        <f>Raw!A197</f>
        <v>Ground Source Heat Pump Upgrade from Air Source Heat Pump - With Desuperheater - Existing House 4000 square feet or greater - Heating Zone 1 - Cooling Zone 1</v>
      </c>
      <c r="C86" t="str">
        <f>Raw!B197</f>
        <v>heat</v>
      </c>
      <c r="D86">
        <f>Raw!C197</f>
        <v>1132.4234015861102</v>
      </c>
      <c r="E86">
        <f>Raw!D197</f>
        <v>20</v>
      </c>
      <c r="F86">
        <f>Raw!E197</f>
        <v>92.390941923862698</v>
      </c>
      <c r="G86">
        <f>Raw!F197</f>
        <v>0</v>
      </c>
      <c r="H86" t="str">
        <f>Raw!G197</f>
        <v>ResSpHtHPZ1</v>
      </c>
      <c r="I86">
        <f>Raw!H197</f>
        <v>92.390941923862698</v>
      </c>
    </row>
    <row r="87" spans="1:9">
      <c r="A87" t="str">
        <f t="shared" si="1"/>
        <v>Heating Zone 1 - Cooling Zone 1</v>
      </c>
      <c r="B87" t="str">
        <f>Raw!A198</f>
        <v>Ground Source Heat Pump Upgrade from Air Source Heat Pump - With Desuperheater - Existing House 4000 square feet or greater - Heating Zone 1 - Cooling Zone 1</v>
      </c>
      <c r="C87" t="str">
        <f>Raw!B198</f>
        <v>cool</v>
      </c>
      <c r="D87">
        <f>Raw!C198</f>
        <v>61.380484749999994</v>
      </c>
      <c r="E87">
        <f>Raw!D198</f>
        <v>20</v>
      </c>
      <c r="F87">
        <f>Raw!E198</f>
        <v>0</v>
      </c>
      <c r="G87">
        <f>Raw!F198</f>
        <v>0</v>
      </c>
      <c r="H87" t="str">
        <f>Raw!G198</f>
        <v>ResCACPNW</v>
      </c>
      <c r="I87">
        <f>Raw!H198</f>
        <v>0</v>
      </c>
    </row>
    <row r="88" spans="1:9">
      <c r="A88" t="str">
        <f t="shared" si="1"/>
        <v>Heating Zone 1 - Cooling Zone 1</v>
      </c>
      <c r="B88" t="str">
        <f>Raw!A199</f>
        <v>Ground Source Heat Pump Upgrade from Air Source Heat Pump - With Desuperheater - Existing House 4000 square feet or greater - Heating Zone 1 - Cooling Zone 1</v>
      </c>
      <c r="C88" t="str">
        <f>Raw!B199</f>
        <v>dhw</v>
      </c>
      <c r="D88">
        <f>Raw!C199</f>
        <v>1616.9923642499998</v>
      </c>
      <c r="E88">
        <f>Raw!D199</f>
        <v>20</v>
      </c>
      <c r="F88">
        <f>Raw!E199</f>
        <v>6948.3720000000003</v>
      </c>
      <c r="G88">
        <f>Raw!F199</f>
        <v>0</v>
      </c>
      <c r="H88" t="str">
        <f>Raw!G199</f>
        <v>ResDHW</v>
      </c>
      <c r="I88">
        <f>Raw!H199</f>
        <v>0</v>
      </c>
    </row>
    <row r="89" spans="1:9">
      <c r="A89" t="str">
        <f t="shared" si="1"/>
        <v>Heating Zone 1 - Cooling Zone 2</v>
      </c>
      <c r="B89" t="str">
        <f>Raw!A200</f>
        <v>Ground Source Heat Pump Upgrade from Air Source Heat Pump - With Desuperheater - Existing House 4000 square feet or greater - Heating Zone 1 - Cooling Zone 2</v>
      </c>
      <c r="C89" t="str">
        <f>Raw!B200</f>
        <v>heat</v>
      </c>
      <c r="D89">
        <f>Raw!C200</f>
        <v>1132.4234015861102</v>
      </c>
      <c r="E89">
        <f>Raw!D200</f>
        <v>20</v>
      </c>
      <c r="F89">
        <f>Raw!E200</f>
        <v>92.390941923862698</v>
      </c>
      <c r="G89">
        <f>Raw!F200</f>
        <v>0</v>
      </c>
      <c r="H89" t="str">
        <f>Raw!G200</f>
        <v>ResSpHtHPZ1</v>
      </c>
      <c r="I89">
        <f>Raw!H200</f>
        <v>92.390941923862698</v>
      </c>
    </row>
    <row r="90" spans="1:9">
      <c r="A90" t="str">
        <f t="shared" si="1"/>
        <v>Heating Zone 1 - Cooling Zone 2</v>
      </c>
      <c r="B90" t="str">
        <f>Raw!A201</f>
        <v>Ground Source Heat Pump Upgrade from Air Source Heat Pump - With Desuperheater - Existing House 4000 square feet or greater - Heating Zone 1 - Cooling Zone 2</v>
      </c>
      <c r="C90" t="str">
        <f>Raw!B201</f>
        <v>cool</v>
      </c>
      <c r="D90">
        <f>Raw!C201</f>
        <v>181.79869203571423</v>
      </c>
      <c r="E90">
        <f>Raw!D201</f>
        <v>20</v>
      </c>
      <c r="F90">
        <f>Raw!E201</f>
        <v>0</v>
      </c>
      <c r="G90">
        <f>Raw!F201</f>
        <v>0</v>
      </c>
      <c r="H90" t="str">
        <f>Raw!G201</f>
        <v>ResCACPNW</v>
      </c>
      <c r="I90">
        <f>Raw!H201</f>
        <v>0</v>
      </c>
    </row>
    <row r="91" spans="1:9">
      <c r="A91" t="str">
        <f t="shared" si="1"/>
        <v>Heating Zone 1 - Cooling Zone 2</v>
      </c>
      <c r="B91" t="str">
        <f>Raw!A202</f>
        <v>Ground Source Heat Pump Upgrade from Air Source Heat Pump - With Desuperheater - Existing House 4000 square feet or greater - Heating Zone 1 - Cooling Zone 2</v>
      </c>
      <c r="C91" t="str">
        <f>Raw!B202</f>
        <v>dhw</v>
      </c>
      <c r="D91">
        <f>Raw!C202</f>
        <v>1616.9923642499998</v>
      </c>
      <c r="E91">
        <f>Raw!D202</f>
        <v>20</v>
      </c>
      <c r="F91">
        <f>Raw!E202</f>
        <v>6948.3720000000003</v>
      </c>
      <c r="G91">
        <f>Raw!F202</f>
        <v>0</v>
      </c>
      <c r="H91" t="str">
        <f>Raw!G202</f>
        <v>ResDHW</v>
      </c>
      <c r="I91">
        <f>Raw!H202</f>
        <v>0</v>
      </c>
    </row>
    <row r="92" spans="1:9">
      <c r="A92" t="str">
        <f t="shared" si="1"/>
        <v>Heating Zone 1 - Cooling Zone 3</v>
      </c>
      <c r="B92" t="str">
        <f>Raw!A203</f>
        <v>Ground Source Heat Pump Upgrade from Air Source Heat Pump - With Desuperheater - Existing House 4000 square feet or greater - Heating Zone 1 - Cooling Zone 3</v>
      </c>
      <c r="C92" t="str">
        <f>Raw!B203</f>
        <v>heat</v>
      </c>
      <c r="D92">
        <f>Raw!C203</f>
        <v>1132.4234015861102</v>
      </c>
      <c r="E92">
        <f>Raw!D203</f>
        <v>20</v>
      </c>
      <c r="F92">
        <f>Raw!E203</f>
        <v>92.390941923862698</v>
      </c>
      <c r="G92">
        <f>Raw!F203</f>
        <v>0</v>
      </c>
      <c r="H92" t="str">
        <f>Raw!G203</f>
        <v>ResSpHtHPZ1</v>
      </c>
      <c r="I92">
        <f>Raw!H203</f>
        <v>92.390941923862698</v>
      </c>
    </row>
    <row r="93" spans="1:9">
      <c r="A93" t="str">
        <f t="shared" si="1"/>
        <v>Heating Zone 1 - Cooling Zone 3</v>
      </c>
      <c r="B93" t="str">
        <f>Raw!A204</f>
        <v>Ground Source Heat Pump Upgrade from Air Source Heat Pump - With Desuperheater - Existing House 4000 square feet or greater - Heating Zone 1 - Cooling Zone 3</v>
      </c>
      <c r="C93" t="str">
        <f>Raw!B204</f>
        <v>cool</v>
      </c>
      <c r="D93">
        <f>Raw!C204</f>
        <v>381.6730038571427</v>
      </c>
      <c r="E93">
        <f>Raw!D204</f>
        <v>20</v>
      </c>
      <c r="F93">
        <f>Raw!E204</f>
        <v>0</v>
      </c>
      <c r="G93">
        <f>Raw!F204</f>
        <v>0</v>
      </c>
      <c r="H93" t="str">
        <f>Raw!G204</f>
        <v>ResCACPNW</v>
      </c>
      <c r="I93">
        <f>Raw!H204</f>
        <v>0</v>
      </c>
    </row>
    <row r="94" spans="1:9">
      <c r="A94" t="str">
        <f t="shared" si="1"/>
        <v>Heating Zone 1 - Cooling Zone 3</v>
      </c>
      <c r="B94" t="str">
        <f>Raw!A205</f>
        <v>Ground Source Heat Pump Upgrade from Air Source Heat Pump - With Desuperheater - Existing House 4000 square feet or greater - Heating Zone 1 - Cooling Zone 3</v>
      </c>
      <c r="C94" t="str">
        <f>Raw!B205</f>
        <v>dhw</v>
      </c>
      <c r="D94">
        <f>Raw!C205</f>
        <v>1616.9923642499998</v>
      </c>
      <c r="E94">
        <f>Raw!D205</f>
        <v>20</v>
      </c>
      <c r="F94">
        <f>Raw!E205</f>
        <v>6948.3720000000003</v>
      </c>
      <c r="G94">
        <f>Raw!F205</f>
        <v>0</v>
      </c>
      <c r="H94" t="str">
        <f>Raw!G205</f>
        <v>ResDHW</v>
      </c>
      <c r="I94">
        <f>Raw!H205</f>
        <v>0</v>
      </c>
    </row>
    <row r="95" spans="1:9">
      <c r="A95" t="str">
        <f t="shared" si="1"/>
        <v>Heating Zone 2 - Cooling Zone 1</v>
      </c>
      <c r="B95" t="str">
        <f>Raw!A206</f>
        <v>Ground Source Heat Pump Upgrade from Air Source Heat Pump - With Desuperheater - Existing House 4000 square feet or greater - Heating Zone 2 - Cooling Zone 1</v>
      </c>
      <c r="C95" t="str">
        <f>Raw!B206</f>
        <v>heat</v>
      </c>
      <c r="D95">
        <f>Raw!C206</f>
        <v>2869.5671714844666</v>
      </c>
      <c r="E95">
        <f>Raw!D206</f>
        <v>20</v>
      </c>
      <c r="F95">
        <f>Raw!E206</f>
        <v>91.198641469819933</v>
      </c>
      <c r="G95">
        <f>Raw!F206</f>
        <v>0</v>
      </c>
      <c r="H95" t="str">
        <f>Raw!G206</f>
        <v>ResSpHtHPZ2</v>
      </c>
      <c r="I95">
        <f>Raw!H206</f>
        <v>91.198641469819933</v>
      </c>
    </row>
    <row r="96" spans="1:9">
      <c r="A96" t="str">
        <f t="shared" si="1"/>
        <v>Heating Zone 2 - Cooling Zone 1</v>
      </c>
      <c r="B96" t="str">
        <f>Raw!A207</f>
        <v>Ground Source Heat Pump Upgrade from Air Source Heat Pump - With Desuperheater - Existing House 4000 square feet or greater - Heating Zone 2 - Cooling Zone 1</v>
      </c>
      <c r="C96" t="str">
        <f>Raw!B207</f>
        <v>cool</v>
      </c>
      <c r="D96">
        <f>Raw!C207</f>
        <v>61.380484749999994</v>
      </c>
      <c r="E96">
        <f>Raw!D207</f>
        <v>20</v>
      </c>
      <c r="F96">
        <f>Raw!E207</f>
        <v>0</v>
      </c>
      <c r="G96">
        <f>Raw!F207</f>
        <v>0</v>
      </c>
      <c r="H96" t="str">
        <f>Raw!G207</f>
        <v>ResCACPNW</v>
      </c>
      <c r="I96">
        <f>Raw!H207</f>
        <v>0</v>
      </c>
    </row>
    <row r="97" spans="1:9">
      <c r="A97" t="str">
        <f t="shared" si="1"/>
        <v>Heating Zone 2 - Cooling Zone 1</v>
      </c>
      <c r="B97" t="str">
        <f>Raw!A208</f>
        <v>Ground Source Heat Pump Upgrade from Air Source Heat Pump - With Desuperheater - Existing House 4000 square feet or greater - Heating Zone 2 - Cooling Zone 1</v>
      </c>
      <c r="C97" t="str">
        <f>Raw!B208</f>
        <v>dhw</v>
      </c>
      <c r="D97">
        <f>Raw!C208</f>
        <v>2215.71985425</v>
      </c>
      <c r="E97">
        <f>Raw!D208</f>
        <v>20</v>
      </c>
      <c r="F97">
        <f>Raw!E208</f>
        <v>13713.364000000003</v>
      </c>
      <c r="G97">
        <f>Raw!F208</f>
        <v>0</v>
      </c>
      <c r="H97" t="str">
        <f>Raw!G208</f>
        <v>ResDHW</v>
      </c>
      <c r="I97">
        <f>Raw!H208</f>
        <v>0</v>
      </c>
    </row>
    <row r="98" spans="1:9">
      <c r="A98" t="str">
        <f t="shared" si="1"/>
        <v>Heating Zone 2 - Cooling Zone 2</v>
      </c>
      <c r="B98" t="str">
        <f>Raw!A209</f>
        <v>Ground Source Heat Pump Upgrade from Air Source Heat Pump - With Desuperheater - Existing House 4000 square feet or greater - Heating Zone 2 - Cooling Zone 2</v>
      </c>
      <c r="C98" t="str">
        <f>Raw!B209</f>
        <v>heat</v>
      </c>
      <c r="D98">
        <f>Raw!C209</f>
        <v>2869.5671714844666</v>
      </c>
      <c r="E98">
        <f>Raw!D209</f>
        <v>20</v>
      </c>
      <c r="F98">
        <f>Raw!E209</f>
        <v>91.198641469819933</v>
      </c>
      <c r="G98">
        <f>Raw!F209</f>
        <v>0</v>
      </c>
      <c r="H98" t="str">
        <f>Raw!G209</f>
        <v>ResSpHtHPZ2</v>
      </c>
      <c r="I98">
        <f>Raw!H209</f>
        <v>91.198641469819933</v>
      </c>
    </row>
    <row r="99" spans="1:9">
      <c r="A99" t="str">
        <f t="shared" si="1"/>
        <v>Heating Zone 2 - Cooling Zone 2</v>
      </c>
      <c r="B99" t="str">
        <f>Raw!A210</f>
        <v>Ground Source Heat Pump Upgrade from Air Source Heat Pump - With Desuperheater - Existing House 4000 square feet or greater - Heating Zone 2 - Cooling Zone 2</v>
      </c>
      <c r="C99" t="str">
        <f>Raw!B210</f>
        <v>cool</v>
      </c>
      <c r="D99">
        <f>Raw!C210</f>
        <v>181.79869203571423</v>
      </c>
      <c r="E99">
        <f>Raw!D210</f>
        <v>20</v>
      </c>
      <c r="F99">
        <f>Raw!E210</f>
        <v>0</v>
      </c>
      <c r="G99">
        <f>Raw!F210</f>
        <v>0</v>
      </c>
      <c r="H99" t="str">
        <f>Raw!G210</f>
        <v>ResCACPNW</v>
      </c>
      <c r="I99">
        <f>Raw!H210</f>
        <v>0</v>
      </c>
    </row>
    <row r="100" spans="1:9">
      <c r="A100" t="str">
        <f t="shared" si="1"/>
        <v>Heating Zone 2 - Cooling Zone 2</v>
      </c>
      <c r="B100" t="str">
        <f>Raw!A211</f>
        <v>Ground Source Heat Pump Upgrade from Air Source Heat Pump - With Desuperheater - Existing House 4000 square feet or greater - Heating Zone 2 - Cooling Zone 2</v>
      </c>
      <c r="C100" t="str">
        <f>Raw!B211</f>
        <v>dhw</v>
      </c>
      <c r="D100">
        <f>Raw!C211</f>
        <v>2215.71985425</v>
      </c>
      <c r="E100">
        <f>Raw!D211</f>
        <v>20</v>
      </c>
      <c r="F100">
        <f>Raw!E211</f>
        <v>13713.364000000003</v>
      </c>
      <c r="G100">
        <f>Raw!F211</f>
        <v>0</v>
      </c>
      <c r="H100" t="str">
        <f>Raw!G211</f>
        <v>ResDHW</v>
      </c>
      <c r="I100">
        <f>Raw!H211</f>
        <v>0</v>
      </c>
    </row>
    <row r="101" spans="1:9">
      <c r="A101" t="str">
        <f t="shared" si="1"/>
        <v>Heating Zone 2 - Cooling Zone 3</v>
      </c>
      <c r="B101" t="str">
        <f>Raw!A212</f>
        <v>Ground Source Heat Pump Upgrade from Air Source Heat Pump - With Desuperheater - Existing House 4000 square feet or greater - Heating Zone 2 - Cooling Zone 3</v>
      </c>
      <c r="C101" t="str">
        <f>Raw!B212</f>
        <v>heat</v>
      </c>
      <c r="D101">
        <f>Raw!C212</f>
        <v>2869.5671714844666</v>
      </c>
      <c r="E101">
        <f>Raw!D212</f>
        <v>20</v>
      </c>
      <c r="F101">
        <f>Raw!E212</f>
        <v>91.198641469819933</v>
      </c>
      <c r="G101">
        <f>Raw!F212</f>
        <v>0</v>
      </c>
      <c r="H101" t="str">
        <f>Raw!G212</f>
        <v>ResSpHtHPZ2</v>
      </c>
      <c r="I101">
        <f>Raw!H212</f>
        <v>91.198641469819933</v>
      </c>
    </row>
    <row r="102" spans="1:9">
      <c r="A102" t="str">
        <f t="shared" si="1"/>
        <v>Heating Zone 2 - Cooling Zone 3</v>
      </c>
      <c r="B102" t="str">
        <f>Raw!A213</f>
        <v>Ground Source Heat Pump Upgrade from Air Source Heat Pump - With Desuperheater - Existing House 4000 square feet or greater - Heating Zone 2 - Cooling Zone 3</v>
      </c>
      <c r="C102" t="str">
        <f>Raw!B213</f>
        <v>cool</v>
      </c>
      <c r="D102">
        <f>Raw!C213</f>
        <v>381.6730038571427</v>
      </c>
      <c r="E102">
        <f>Raw!D213</f>
        <v>20</v>
      </c>
      <c r="F102">
        <f>Raw!E213</f>
        <v>0</v>
      </c>
      <c r="G102">
        <f>Raw!F213</f>
        <v>0</v>
      </c>
      <c r="H102" t="str">
        <f>Raw!G213</f>
        <v>ResCACPNW</v>
      </c>
      <c r="I102">
        <f>Raw!H213</f>
        <v>0</v>
      </c>
    </row>
    <row r="103" spans="1:9">
      <c r="A103" t="str">
        <f t="shared" si="1"/>
        <v>Heating Zone 2 - Cooling Zone 3</v>
      </c>
      <c r="B103" t="str">
        <f>Raw!A214</f>
        <v>Ground Source Heat Pump Upgrade from Air Source Heat Pump - With Desuperheater - Existing House 4000 square feet or greater - Heating Zone 2 - Cooling Zone 3</v>
      </c>
      <c r="C103" t="str">
        <f>Raw!B214</f>
        <v>dhw</v>
      </c>
      <c r="D103">
        <f>Raw!C214</f>
        <v>2215.71985425</v>
      </c>
      <c r="E103">
        <f>Raw!D214</f>
        <v>20</v>
      </c>
      <c r="F103">
        <f>Raw!E214</f>
        <v>13713.364000000003</v>
      </c>
      <c r="G103">
        <f>Raw!F214</f>
        <v>0</v>
      </c>
      <c r="H103" t="str">
        <f>Raw!G214</f>
        <v>ResDHW</v>
      </c>
      <c r="I103">
        <f>Raw!H214</f>
        <v>0</v>
      </c>
    </row>
    <row r="104" spans="1:9">
      <c r="A104" t="str">
        <f t="shared" si="1"/>
        <v>Heating Zone 3 - Cooling Zone 1</v>
      </c>
      <c r="B104" t="str">
        <f>Raw!A215</f>
        <v>Ground Source Heat Pump Upgrade from Air Source Heat Pump - With Desuperheater - Existing House 4000 square feet or greater - Heating Zone 3 - Cooling Zone 1</v>
      </c>
      <c r="C104" t="str">
        <f>Raw!B215</f>
        <v>heat</v>
      </c>
      <c r="D104">
        <f>Raw!C215</f>
        <v>4148.3847787312352</v>
      </c>
      <c r="E104">
        <f>Raw!D215</f>
        <v>20</v>
      </c>
      <c r="F104">
        <f>Raw!E215</f>
        <v>99.587710055462708</v>
      </c>
      <c r="G104">
        <f>Raw!F215</f>
        <v>0</v>
      </c>
      <c r="H104" t="str">
        <f>Raw!G215</f>
        <v>ResSpHtHPZ3</v>
      </c>
      <c r="I104">
        <f>Raw!H215</f>
        <v>99.587710055462708</v>
      </c>
    </row>
    <row r="105" spans="1:9">
      <c r="A105" t="str">
        <f t="shared" si="1"/>
        <v>Heating Zone 3 - Cooling Zone 1</v>
      </c>
      <c r="B105" t="str">
        <f>Raw!A216</f>
        <v>Ground Source Heat Pump Upgrade from Air Source Heat Pump - With Desuperheater - Existing House 4000 square feet or greater - Heating Zone 3 - Cooling Zone 1</v>
      </c>
      <c r="C105" t="str">
        <f>Raw!B216</f>
        <v>cool</v>
      </c>
      <c r="D105">
        <f>Raw!C216</f>
        <v>61.380484749999994</v>
      </c>
      <c r="E105">
        <f>Raw!D216</f>
        <v>20</v>
      </c>
      <c r="F105">
        <f>Raw!E216</f>
        <v>0</v>
      </c>
      <c r="G105">
        <f>Raw!F216</f>
        <v>0</v>
      </c>
      <c r="H105" t="str">
        <f>Raw!G216</f>
        <v>ResCACPNW</v>
      </c>
      <c r="I105">
        <f>Raw!H216</f>
        <v>0</v>
      </c>
    </row>
    <row r="106" spans="1:9">
      <c r="A106" t="str">
        <f t="shared" si="1"/>
        <v>Heating Zone 3 - Cooling Zone 1</v>
      </c>
      <c r="B106" t="str">
        <f>Raw!A217</f>
        <v>Ground Source Heat Pump Upgrade from Air Source Heat Pump - With Desuperheater - Existing House 4000 square feet or greater - Heating Zone 3 - Cooling Zone 1</v>
      </c>
      <c r="C106" t="str">
        <f>Raw!B217</f>
        <v>dhw</v>
      </c>
      <c r="D106">
        <f>Raw!C217</f>
        <v>2533.68478125</v>
      </c>
      <c r="E106">
        <f>Raw!D217</f>
        <v>20</v>
      </c>
      <c r="F106">
        <f>Raw!E217</f>
        <v>22392.255000000005</v>
      </c>
      <c r="G106">
        <f>Raw!F217</f>
        <v>0</v>
      </c>
      <c r="H106" t="str">
        <f>Raw!G217</f>
        <v>ResDHW</v>
      </c>
      <c r="I106">
        <f>Raw!H217</f>
        <v>0</v>
      </c>
    </row>
    <row r="107" spans="1:9">
      <c r="A107" t="str">
        <f t="shared" si="1"/>
        <v>Heating Zone 3 - Cooling Zone 2</v>
      </c>
      <c r="B107" t="str">
        <f>Raw!A218</f>
        <v>Ground Source Heat Pump Upgrade from Air Source Heat Pump - With Desuperheater - Existing House 4000 square feet or greater - Heating Zone 3 - Cooling Zone 2</v>
      </c>
      <c r="C107" t="str">
        <f>Raw!B218</f>
        <v>heat</v>
      </c>
      <c r="D107">
        <f>Raw!C218</f>
        <v>4148.3847787312352</v>
      </c>
      <c r="E107">
        <f>Raw!D218</f>
        <v>20</v>
      </c>
      <c r="F107">
        <f>Raw!E218</f>
        <v>99.587710055462708</v>
      </c>
      <c r="G107">
        <f>Raw!F218</f>
        <v>0</v>
      </c>
      <c r="H107" t="str">
        <f>Raw!G218</f>
        <v>ResSpHtHPZ3</v>
      </c>
      <c r="I107">
        <f>Raw!H218</f>
        <v>99.587710055462708</v>
      </c>
    </row>
    <row r="108" spans="1:9">
      <c r="A108" t="str">
        <f t="shared" si="1"/>
        <v>Heating Zone 3 - Cooling Zone 2</v>
      </c>
      <c r="B108" t="str">
        <f>Raw!A219</f>
        <v>Ground Source Heat Pump Upgrade from Air Source Heat Pump - With Desuperheater - Existing House 4000 square feet or greater - Heating Zone 3 - Cooling Zone 2</v>
      </c>
      <c r="C108" t="str">
        <f>Raw!B219</f>
        <v>cool</v>
      </c>
      <c r="D108">
        <f>Raw!C219</f>
        <v>181.79869203571423</v>
      </c>
      <c r="E108">
        <f>Raw!D219</f>
        <v>20</v>
      </c>
      <c r="F108">
        <f>Raw!E219</f>
        <v>0</v>
      </c>
      <c r="G108">
        <f>Raw!F219</f>
        <v>0</v>
      </c>
      <c r="H108" t="str">
        <f>Raw!G219</f>
        <v>ResCACPNW</v>
      </c>
      <c r="I108">
        <f>Raw!H219</f>
        <v>0</v>
      </c>
    </row>
    <row r="109" spans="1:9">
      <c r="A109" t="str">
        <f t="shared" si="1"/>
        <v>Heating Zone 3 - Cooling Zone 2</v>
      </c>
      <c r="B109" t="str">
        <f>Raw!A220</f>
        <v>Ground Source Heat Pump Upgrade from Air Source Heat Pump - With Desuperheater - Existing House 4000 square feet or greater - Heating Zone 3 - Cooling Zone 2</v>
      </c>
      <c r="C109" t="str">
        <f>Raw!B220</f>
        <v>dhw</v>
      </c>
      <c r="D109">
        <f>Raw!C220</f>
        <v>2533.68478125</v>
      </c>
      <c r="E109">
        <f>Raw!D220</f>
        <v>20</v>
      </c>
      <c r="F109">
        <f>Raw!E220</f>
        <v>22392.255000000005</v>
      </c>
      <c r="G109">
        <f>Raw!F220</f>
        <v>0</v>
      </c>
      <c r="H109" t="str">
        <f>Raw!G220</f>
        <v>ResDHW</v>
      </c>
      <c r="I109">
        <f>Raw!H220</f>
        <v>0</v>
      </c>
    </row>
    <row r="110" spans="1:9">
      <c r="A110" t="str">
        <f t="shared" si="1"/>
        <v>Heating Zone 3 - Cooling Zone 3</v>
      </c>
      <c r="B110" t="str">
        <f>Raw!A221</f>
        <v>Ground Source Heat Pump Upgrade from Air Source Heat Pump - With Desuperheater - Existing House 4000 square feet or greater - Heating Zone 3 - Cooling Zone 3</v>
      </c>
      <c r="C110" t="str">
        <f>Raw!B221</f>
        <v>heat</v>
      </c>
      <c r="D110">
        <f>Raw!C221</f>
        <v>4148.3847787312352</v>
      </c>
      <c r="E110">
        <f>Raw!D221</f>
        <v>20</v>
      </c>
      <c r="F110">
        <f>Raw!E221</f>
        <v>99.587710055462708</v>
      </c>
      <c r="G110">
        <f>Raw!F221</f>
        <v>0</v>
      </c>
      <c r="H110" t="str">
        <f>Raw!G221</f>
        <v>ResSpHtHPZ3</v>
      </c>
      <c r="I110">
        <f>Raw!H221</f>
        <v>99.587710055462708</v>
      </c>
    </row>
    <row r="111" spans="1:9">
      <c r="A111" t="str">
        <f t="shared" si="1"/>
        <v>Heating Zone 3 - Cooling Zone 3</v>
      </c>
      <c r="B111" t="str">
        <f>Raw!A222</f>
        <v>Ground Source Heat Pump Upgrade from Air Source Heat Pump - With Desuperheater - Existing House 4000 square feet or greater - Heating Zone 3 - Cooling Zone 3</v>
      </c>
      <c r="C111" t="str">
        <f>Raw!B222</f>
        <v>cool</v>
      </c>
      <c r="D111">
        <f>Raw!C222</f>
        <v>381.6730038571427</v>
      </c>
      <c r="E111">
        <f>Raw!D222</f>
        <v>20</v>
      </c>
      <c r="F111">
        <f>Raw!E222</f>
        <v>0</v>
      </c>
      <c r="G111">
        <f>Raw!F222</f>
        <v>0</v>
      </c>
      <c r="H111" t="str">
        <f>Raw!G222</f>
        <v>ResCACPNW</v>
      </c>
      <c r="I111">
        <f>Raw!H222</f>
        <v>0</v>
      </c>
    </row>
    <row r="112" spans="1:9">
      <c r="A112" t="str">
        <f t="shared" si="1"/>
        <v>Heating Zone 3 - Cooling Zone 3</v>
      </c>
      <c r="B112" t="str">
        <f>Raw!A223</f>
        <v>Ground Source Heat Pump Upgrade from Air Source Heat Pump - With Desuperheater - Existing House 4000 square feet or greater - Heating Zone 3 - Cooling Zone 3</v>
      </c>
      <c r="C112" t="str">
        <f>Raw!B223</f>
        <v>dhw</v>
      </c>
      <c r="D112">
        <f>Raw!C223</f>
        <v>2533.68478125</v>
      </c>
      <c r="E112">
        <f>Raw!D223</f>
        <v>20</v>
      </c>
      <c r="F112">
        <f>Raw!E223</f>
        <v>22392.255000000005</v>
      </c>
      <c r="G112">
        <f>Raw!F223</f>
        <v>0</v>
      </c>
      <c r="H112" t="str">
        <f>Raw!G223</f>
        <v>ResDHW</v>
      </c>
      <c r="I112">
        <f>Raw!H223</f>
        <v>0</v>
      </c>
    </row>
  </sheetData>
  <mergeCells count="2">
    <mergeCell ref="J3:O3"/>
    <mergeCell ref="P3:Q3"/>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vt:i4>
      </vt:variant>
    </vt:vector>
  </HeadingPairs>
  <TitlesOfParts>
    <vt:vector size="20" baseType="lpstr">
      <vt:lpstr>7PSourceSummary</vt:lpstr>
      <vt:lpstr>forRPM</vt:lpstr>
      <vt:lpstr>SC-New</vt:lpstr>
      <vt:lpstr>SC-NR</vt:lpstr>
      <vt:lpstr>M_Input_Out</vt:lpstr>
      <vt:lpstr>M_Input</vt:lpstr>
      <vt:lpstr>Segmented</vt:lpstr>
      <vt:lpstr>Weighting</vt:lpstr>
      <vt:lpstr>Compiled</vt:lpstr>
      <vt:lpstr>Raw</vt:lpstr>
      <vt:lpstr>WeightedSavings</vt:lpstr>
      <vt:lpstr>SavingsCalcs</vt:lpstr>
      <vt:lpstr>analysis</vt:lpstr>
      <vt:lpstr>AdjustedOutput</vt:lpstr>
      <vt:lpstr>SEEMoutput</vt:lpstr>
      <vt:lpstr>GSHPCostSources</vt:lpstr>
      <vt:lpstr>HP sizes&amp;costs</vt:lpstr>
      <vt:lpstr>Calibration</vt:lpstr>
      <vt:lpstr>(Tons) (Furnsize)</vt:lpstr>
      <vt:lpstr>MeasureOutput</vt:lpstr>
    </vt:vector>
  </TitlesOfParts>
  <Company>Northwest Power and Conservation Council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Tina Jayaweera</dc:creator>
  <cp:lastModifiedBy>Tina Jayaweera</cp:lastModifiedBy>
  <dcterms:created xsi:type="dcterms:W3CDTF">2014-08-11T21:52:53Z</dcterms:created>
  <dcterms:modified xsi:type="dcterms:W3CDTF">2015-03-12T23:10:59Z</dcterms:modified>
</cp:coreProperties>
</file>